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ndy\aag\Data\Corstruth\"/>
    </mc:Choice>
  </mc:AlternateContent>
  <xr:revisionPtr revIDLastSave="0" documentId="8_{A1CE8971-235F-405A-9CC6-1E6F13ED5862}" xr6:coauthVersionLast="47" xr6:coauthVersionMax="47" xr10:uidLastSave="{00000000-0000-0000-0000-000000000000}"/>
  <bookViews>
    <workbookView xWindow="6060" yWindow="435" windowWidth="20370" windowHeight="13905"/>
  </bookViews>
  <sheets>
    <sheet name="CorStruth Main List" sheetId="1" r:id="rId1"/>
  </sheets>
  <calcPr calcId="0"/>
</workbook>
</file>

<file path=xl/calcChain.xml><?xml version="1.0" encoding="utf-8"?>
<calcChain xmlns="http://schemas.openxmlformats.org/spreadsheetml/2006/main">
  <c r="A1" i="1" l="1"/>
  <c r="B1" i="1"/>
  <c r="C1" i="1"/>
  <c r="K1" i="1"/>
  <c r="A2" i="1"/>
  <c r="B2" i="1"/>
  <c r="C2" i="1"/>
  <c r="K2" i="1"/>
  <c r="A3" i="1"/>
  <c r="B3" i="1"/>
  <c r="C3" i="1"/>
  <c r="K3" i="1"/>
  <c r="A4" i="1"/>
  <c r="B4" i="1"/>
  <c r="C4" i="1"/>
  <c r="K4" i="1"/>
  <c r="A5" i="1"/>
  <c r="B5" i="1"/>
  <c r="C5" i="1"/>
  <c r="K5" i="1"/>
  <c r="A6" i="1"/>
  <c r="B6" i="1"/>
  <c r="C6" i="1"/>
  <c r="K6" i="1"/>
  <c r="A7" i="1"/>
  <c r="B7" i="1"/>
  <c r="C7" i="1"/>
  <c r="K7" i="1"/>
  <c r="A8" i="1"/>
  <c r="B8" i="1"/>
  <c r="C8" i="1"/>
  <c r="K8" i="1"/>
  <c r="A9" i="1"/>
  <c r="B9" i="1"/>
  <c r="C9" i="1"/>
  <c r="K9" i="1"/>
  <c r="A10" i="1"/>
  <c r="B10" i="1"/>
  <c r="C10" i="1"/>
  <c r="K10" i="1"/>
  <c r="A11" i="1"/>
  <c r="B11" i="1"/>
  <c r="C11" i="1"/>
  <c r="K11" i="1"/>
  <c r="A12" i="1"/>
  <c r="B12" i="1"/>
  <c r="C12" i="1"/>
  <c r="K12" i="1"/>
  <c r="A13" i="1"/>
  <c r="B13" i="1"/>
  <c r="C13" i="1"/>
  <c r="K13" i="1"/>
  <c r="A14" i="1"/>
  <c r="B14" i="1"/>
  <c r="C14" i="1"/>
  <c r="K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K20" i="1"/>
  <c r="A21" i="1"/>
  <c r="B21" i="1"/>
  <c r="C21" i="1"/>
  <c r="K21" i="1"/>
  <c r="A22" i="1"/>
  <c r="B22" i="1"/>
  <c r="C22" i="1"/>
  <c r="K22" i="1"/>
  <c r="A23" i="1"/>
  <c r="B23" i="1"/>
  <c r="C23" i="1"/>
  <c r="K23" i="1"/>
  <c r="A24" i="1"/>
  <c r="B24" i="1"/>
  <c r="C24" i="1"/>
  <c r="K24" i="1"/>
  <c r="A25" i="1"/>
  <c r="B25" i="1"/>
  <c r="C25" i="1"/>
  <c r="A26" i="1"/>
  <c r="B26" i="1"/>
  <c r="C26" i="1"/>
  <c r="A27" i="1"/>
  <c r="B27" i="1"/>
  <c r="C27" i="1"/>
  <c r="A28" i="1"/>
  <c r="B28" i="1"/>
  <c r="C28" i="1"/>
  <c r="K28" i="1"/>
  <c r="A29" i="1"/>
  <c r="B29" i="1"/>
  <c r="C29" i="1"/>
  <c r="A30" i="1"/>
  <c r="B30" i="1"/>
  <c r="C30" i="1"/>
  <c r="A31" i="1"/>
  <c r="B31" i="1"/>
  <c r="C31" i="1"/>
  <c r="A32" i="1"/>
  <c r="B32" i="1"/>
  <c r="C32" i="1"/>
  <c r="K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K37" i="1"/>
  <c r="A38" i="1"/>
  <c r="B38" i="1"/>
  <c r="C38" i="1"/>
  <c r="K38" i="1"/>
  <c r="A39" i="1"/>
  <c r="B39" i="1"/>
  <c r="C39" i="1"/>
  <c r="K39" i="1"/>
  <c r="A40" i="1"/>
  <c r="B40" i="1"/>
  <c r="C40" i="1"/>
  <c r="K40" i="1"/>
  <c r="A41" i="1"/>
  <c r="B41" i="1"/>
  <c r="C41" i="1"/>
  <c r="K41" i="1"/>
  <c r="A42" i="1"/>
  <c r="B42" i="1"/>
  <c r="C42" i="1"/>
  <c r="K42" i="1"/>
  <c r="A43" i="1"/>
  <c r="B43" i="1"/>
  <c r="C43" i="1"/>
  <c r="K43" i="1"/>
  <c r="A44" i="1"/>
  <c r="B44" i="1"/>
  <c r="C44" i="1"/>
  <c r="A45" i="1"/>
  <c r="B45" i="1"/>
  <c r="C45" i="1"/>
  <c r="A46" i="1"/>
  <c r="B46" i="1"/>
  <c r="C46" i="1"/>
  <c r="K46" i="1"/>
  <c r="A47" i="1"/>
  <c r="B47" i="1"/>
  <c r="C47" i="1"/>
  <c r="K47" i="1"/>
  <c r="A48" i="1"/>
  <c r="B48" i="1"/>
  <c r="C48" i="1"/>
  <c r="K48" i="1"/>
  <c r="A49" i="1"/>
  <c r="B49" i="1"/>
  <c r="C49" i="1"/>
  <c r="K49" i="1"/>
  <c r="A50" i="1"/>
  <c r="B50" i="1"/>
  <c r="C50" i="1"/>
  <c r="K50" i="1"/>
  <c r="A51" i="1"/>
  <c r="B51" i="1"/>
  <c r="C51" i="1"/>
  <c r="K51" i="1"/>
  <c r="A52" i="1"/>
  <c r="B52" i="1"/>
  <c r="C52" i="1"/>
  <c r="K52" i="1"/>
  <c r="A53" i="1"/>
  <c r="B53" i="1"/>
  <c r="C53" i="1"/>
  <c r="K53" i="1"/>
  <c r="A54" i="1"/>
  <c r="B54" i="1"/>
  <c r="C54" i="1"/>
  <c r="K54" i="1"/>
  <c r="A55" i="1"/>
  <c r="B55" i="1"/>
  <c r="C55" i="1"/>
  <c r="K55" i="1"/>
  <c r="A56" i="1"/>
  <c r="B56" i="1"/>
  <c r="C56" i="1"/>
  <c r="K56" i="1"/>
  <c r="A57" i="1"/>
  <c r="B57" i="1"/>
  <c r="C57" i="1"/>
  <c r="K57" i="1"/>
  <c r="A58" i="1"/>
  <c r="B58" i="1"/>
  <c r="C58" i="1"/>
  <c r="K58" i="1"/>
  <c r="A59" i="1"/>
  <c r="B59" i="1"/>
  <c r="C59" i="1"/>
  <c r="K59" i="1"/>
  <c r="A60" i="1"/>
  <c r="B60" i="1"/>
  <c r="C60" i="1"/>
  <c r="K60" i="1"/>
  <c r="A61" i="1"/>
  <c r="B61" i="1"/>
  <c r="C61" i="1"/>
  <c r="K61" i="1"/>
  <c r="A62" i="1"/>
  <c r="B62" i="1"/>
  <c r="C62" i="1"/>
  <c r="K62" i="1"/>
  <c r="A63" i="1"/>
  <c r="B63" i="1"/>
  <c r="C63" i="1"/>
  <c r="K63" i="1"/>
  <c r="A64" i="1"/>
  <c r="B64" i="1"/>
  <c r="C64" i="1"/>
  <c r="K64" i="1"/>
  <c r="A65" i="1"/>
  <c r="B65" i="1"/>
  <c r="C65" i="1"/>
  <c r="K65" i="1"/>
  <c r="A66" i="1"/>
  <c r="B66" i="1"/>
  <c r="C66" i="1"/>
  <c r="K66" i="1"/>
  <c r="A67" i="1"/>
  <c r="B67" i="1"/>
  <c r="C67" i="1"/>
  <c r="A68" i="1"/>
  <c r="B68" i="1"/>
  <c r="C68" i="1"/>
  <c r="A69" i="1"/>
  <c r="B69" i="1"/>
  <c r="C69" i="1"/>
  <c r="A70" i="1"/>
  <c r="B70" i="1"/>
  <c r="C70" i="1"/>
  <c r="A71" i="1"/>
  <c r="B71" i="1"/>
  <c r="C71" i="1"/>
  <c r="A72" i="1"/>
  <c r="B72" i="1"/>
  <c r="C72" i="1"/>
  <c r="A73" i="1"/>
  <c r="B73" i="1"/>
  <c r="C73" i="1"/>
  <c r="K73" i="1"/>
  <c r="A74" i="1"/>
  <c r="B74" i="1"/>
  <c r="C74" i="1"/>
  <c r="K74" i="1"/>
  <c r="A75" i="1"/>
  <c r="B75" i="1"/>
  <c r="C75" i="1"/>
  <c r="K75" i="1"/>
  <c r="A76" i="1"/>
  <c r="B76" i="1"/>
  <c r="C76" i="1"/>
  <c r="K76" i="1"/>
  <c r="A77" i="1"/>
  <c r="B77" i="1"/>
  <c r="C77" i="1"/>
  <c r="K77" i="1"/>
  <c r="A78" i="1"/>
  <c r="B78" i="1"/>
  <c r="C78" i="1"/>
  <c r="K78" i="1"/>
  <c r="A79" i="1"/>
  <c r="B79" i="1"/>
  <c r="C79" i="1"/>
  <c r="K79" i="1"/>
  <c r="A80" i="1"/>
  <c r="B80" i="1"/>
  <c r="C80" i="1"/>
  <c r="K80" i="1"/>
  <c r="A81" i="1"/>
  <c r="B81" i="1"/>
  <c r="C81" i="1"/>
  <c r="A82" i="1"/>
  <c r="B82" i="1"/>
  <c r="C82" i="1"/>
  <c r="A83" i="1"/>
  <c r="B83" i="1"/>
  <c r="C83" i="1"/>
  <c r="A84" i="1"/>
  <c r="B84" i="1"/>
  <c r="C84" i="1"/>
  <c r="A85" i="1"/>
  <c r="B85" i="1"/>
  <c r="C85" i="1"/>
  <c r="A86" i="1"/>
  <c r="B86" i="1"/>
  <c r="C86" i="1"/>
  <c r="A87" i="1"/>
  <c r="B87" i="1"/>
  <c r="C87" i="1"/>
  <c r="A88" i="1"/>
  <c r="B88" i="1"/>
  <c r="C88" i="1"/>
  <c r="K88" i="1"/>
  <c r="A89" i="1"/>
  <c r="B89" i="1"/>
  <c r="C89" i="1"/>
  <c r="K89" i="1"/>
  <c r="A90" i="1"/>
  <c r="B90" i="1"/>
  <c r="C90" i="1"/>
  <c r="K90" i="1"/>
  <c r="A91" i="1"/>
  <c r="B91" i="1"/>
  <c r="C91" i="1"/>
  <c r="A92" i="1"/>
  <c r="B92" i="1"/>
  <c r="C92" i="1"/>
  <c r="A93" i="1"/>
  <c r="B93" i="1"/>
  <c r="C93" i="1"/>
  <c r="A94" i="1"/>
  <c r="B94" i="1"/>
  <c r="C94" i="1"/>
  <c r="A95" i="1"/>
  <c r="B95" i="1"/>
  <c r="C95" i="1"/>
  <c r="A96" i="1"/>
  <c r="B96" i="1"/>
  <c r="C96" i="1"/>
  <c r="A97" i="1"/>
  <c r="B97" i="1"/>
  <c r="C97" i="1"/>
  <c r="K97" i="1"/>
  <c r="A98" i="1"/>
  <c r="B98" i="1"/>
  <c r="C98" i="1"/>
  <c r="K98" i="1"/>
  <c r="A99" i="1"/>
  <c r="B99" i="1"/>
  <c r="C99" i="1"/>
  <c r="K99" i="1"/>
  <c r="A100" i="1"/>
  <c r="B100" i="1"/>
  <c r="C100" i="1"/>
  <c r="K100" i="1"/>
  <c r="A101" i="1"/>
  <c r="B101" i="1"/>
  <c r="C101" i="1"/>
  <c r="K101" i="1"/>
  <c r="A102" i="1"/>
  <c r="B102" i="1"/>
  <c r="C102" i="1"/>
  <c r="K102" i="1"/>
  <c r="A103" i="1"/>
  <c r="B103" i="1"/>
  <c r="C103" i="1"/>
  <c r="K103" i="1"/>
  <c r="A104" i="1"/>
  <c r="B104" i="1"/>
  <c r="C104" i="1"/>
  <c r="K104" i="1"/>
  <c r="A105" i="1"/>
  <c r="B105" i="1"/>
  <c r="C105" i="1"/>
  <c r="A106" i="1"/>
  <c r="B106" i="1"/>
  <c r="C106" i="1"/>
  <c r="K106" i="1"/>
  <c r="A107" i="1"/>
  <c r="B107" i="1"/>
  <c r="C107" i="1"/>
  <c r="K107" i="1"/>
  <c r="A108" i="1"/>
  <c r="B108" i="1"/>
  <c r="C108" i="1"/>
  <c r="K108" i="1"/>
  <c r="A109" i="1"/>
  <c r="B109" i="1"/>
  <c r="C109" i="1"/>
  <c r="K109" i="1"/>
  <c r="A110" i="1"/>
  <c r="B110" i="1"/>
  <c r="C110" i="1"/>
  <c r="K110" i="1"/>
  <c r="A111" i="1"/>
  <c r="B111" i="1"/>
  <c r="C111" i="1"/>
  <c r="K111" i="1"/>
  <c r="A112" i="1"/>
  <c r="B112" i="1"/>
  <c r="C112" i="1"/>
  <c r="K112" i="1"/>
  <c r="A113" i="1"/>
  <c r="B113" i="1"/>
  <c r="C113" i="1"/>
  <c r="K113" i="1"/>
  <c r="A114" i="1"/>
  <c r="B114" i="1"/>
  <c r="C114" i="1"/>
  <c r="K114" i="1"/>
  <c r="A115" i="1"/>
  <c r="B115" i="1"/>
  <c r="C115" i="1"/>
  <c r="K115" i="1"/>
  <c r="A116" i="1"/>
  <c r="B116" i="1"/>
  <c r="C116" i="1"/>
  <c r="K116" i="1"/>
  <c r="A117" i="1"/>
  <c r="B117" i="1"/>
  <c r="C117" i="1"/>
  <c r="A118" i="1"/>
  <c r="B118" i="1"/>
  <c r="C118" i="1"/>
  <c r="A119" i="1"/>
  <c r="B119" i="1"/>
  <c r="C119" i="1"/>
  <c r="A120" i="1"/>
  <c r="B120" i="1"/>
  <c r="C120" i="1"/>
  <c r="A121" i="1"/>
  <c r="B121" i="1"/>
  <c r="C121" i="1"/>
  <c r="A122" i="1"/>
  <c r="B122" i="1"/>
  <c r="C122" i="1"/>
  <c r="A123" i="1"/>
  <c r="B123" i="1"/>
  <c r="C123" i="1"/>
  <c r="A124" i="1"/>
  <c r="B124" i="1"/>
  <c r="C124" i="1"/>
  <c r="A125" i="1"/>
  <c r="B125" i="1"/>
  <c r="C125" i="1"/>
  <c r="A126" i="1"/>
  <c r="B126" i="1"/>
  <c r="C126" i="1"/>
  <c r="A127" i="1"/>
  <c r="B127" i="1"/>
  <c r="C127" i="1"/>
  <c r="A128" i="1"/>
  <c r="B128" i="1"/>
  <c r="C128" i="1"/>
  <c r="A129" i="1"/>
  <c r="B129" i="1"/>
  <c r="C129" i="1"/>
  <c r="A130" i="1"/>
  <c r="B130" i="1"/>
  <c r="C130" i="1"/>
  <c r="A131" i="1"/>
  <c r="B131" i="1"/>
  <c r="C131" i="1"/>
  <c r="A132" i="1"/>
  <c r="B132" i="1"/>
  <c r="C132" i="1"/>
  <c r="A133" i="1"/>
  <c r="B133" i="1"/>
  <c r="C133" i="1"/>
  <c r="A134" i="1"/>
  <c r="B134" i="1"/>
  <c r="C134" i="1"/>
  <c r="A135" i="1"/>
  <c r="B135" i="1"/>
  <c r="C135" i="1"/>
  <c r="A136" i="1"/>
  <c r="B136" i="1"/>
  <c r="C136" i="1"/>
  <c r="A137" i="1"/>
  <c r="B137" i="1"/>
  <c r="C137" i="1"/>
  <c r="A138" i="1"/>
  <c r="B138" i="1"/>
  <c r="C138" i="1"/>
  <c r="A139" i="1"/>
  <c r="B139" i="1"/>
  <c r="C139" i="1"/>
  <c r="A140" i="1"/>
  <c r="B140" i="1"/>
  <c r="C140" i="1"/>
  <c r="A141" i="1"/>
  <c r="B141" i="1"/>
  <c r="C141" i="1"/>
  <c r="A142" i="1"/>
  <c r="B142" i="1"/>
  <c r="C142" i="1"/>
  <c r="A143" i="1"/>
  <c r="B143" i="1"/>
  <c r="C143" i="1"/>
  <c r="A144" i="1"/>
  <c r="B144" i="1"/>
  <c r="C144" i="1"/>
  <c r="A145" i="1"/>
  <c r="B145" i="1"/>
  <c r="C145" i="1"/>
  <c r="A146" i="1"/>
  <c r="B146" i="1"/>
  <c r="C146" i="1"/>
  <c r="A147" i="1"/>
  <c r="B147" i="1"/>
  <c r="C147" i="1"/>
  <c r="A148" i="1"/>
  <c r="B148" i="1"/>
  <c r="C148" i="1"/>
  <c r="A149" i="1"/>
  <c r="B149" i="1"/>
  <c r="C149" i="1"/>
  <c r="A150" i="1"/>
  <c r="B150" i="1"/>
  <c r="C150" i="1"/>
  <c r="A151" i="1"/>
  <c r="B151" i="1"/>
  <c r="C151" i="1"/>
  <c r="A152" i="1"/>
  <c r="B152" i="1"/>
  <c r="C152" i="1"/>
  <c r="A153" i="1"/>
  <c r="B153" i="1"/>
  <c r="C153" i="1"/>
  <c r="A154" i="1"/>
  <c r="B154" i="1"/>
  <c r="C154" i="1"/>
  <c r="A155" i="1"/>
  <c r="B155" i="1"/>
  <c r="C155" i="1"/>
  <c r="A156" i="1"/>
  <c r="B156" i="1"/>
  <c r="C156" i="1"/>
  <c r="A157" i="1"/>
  <c r="B157" i="1"/>
  <c r="C157" i="1"/>
  <c r="A158" i="1"/>
  <c r="B158" i="1"/>
  <c r="C158" i="1"/>
  <c r="A159" i="1"/>
  <c r="B159" i="1"/>
  <c r="C159" i="1"/>
  <c r="A160" i="1"/>
  <c r="B160" i="1"/>
  <c r="C160" i="1"/>
  <c r="A161" i="1"/>
  <c r="B161" i="1"/>
  <c r="C161" i="1"/>
  <c r="A162" i="1"/>
  <c r="B162" i="1"/>
  <c r="C162" i="1"/>
  <c r="A163" i="1"/>
  <c r="B163" i="1"/>
  <c r="C163" i="1"/>
  <c r="A164" i="1"/>
  <c r="B164" i="1"/>
  <c r="C164" i="1"/>
  <c r="A165" i="1"/>
  <c r="B165" i="1"/>
  <c r="C165" i="1"/>
  <c r="A166" i="1"/>
  <c r="B166" i="1"/>
  <c r="C166" i="1"/>
  <c r="A167" i="1"/>
  <c r="B167" i="1"/>
  <c r="C167" i="1"/>
  <c r="A168" i="1"/>
  <c r="B168" i="1"/>
  <c r="C168" i="1"/>
  <c r="A169" i="1"/>
  <c r="B169" i="1"/>
  <c r="C169" i="1"/>
  <c r="A170" i="1"/>
  <c r="B170" i="1"/>
  <c r="C170" i="1"/>
  <c r="A171" i="1"/>
  <c r="B171" i="1"/>
  <c r="C171" i="1"/>
  <c r="A172" i="1"/>
  <c r="B172" i="1"/>
  <c r="C172" i="1"/>
  <c r="A173" i="1"/>
  <c r="B173" i="1"/>
  <c r="C173" i="1"/>
  <c r="A174" i="1"/>
  <c r="B174" i="1"/>
  <c r="C174" i="1"/>
  <c r="A175" i="1"/>
  <c r="B175" i="1"/>
  <c r="C175" i="1"/>
  <c r="K175" i="1"/>
  <c r="A176" i="1"/>
  <c r="B176" i="1"/>
  <c r="C176" i="1"/>
  <c r="K176" i="1"/>
  <c r="A177" i="1"/>
  <c r="B177" i="1"/>
  <c r="C177" i="1"/>
  <c r="K177" i="1"/>
  <c r="A178" i="1"/>
  <c r="B178" i="1"/>
  <c r="C178" i="1"/>
  <c r="K178" i="1"/>
  <c r="A179" i="1"/>
  <c r="B179" i="1"/>
  <c r="C179" i="1"/>
  <c r="K179" i="1"/>
  <c r="A180" i="1"/>
  <c r="B180" i="1"/>
  <c r="C180" i="1"/>
  <c r="K180" i="1"/>
  <c r="A181" i="1"/>
  <c r="B181" i="1"/>
  <c r="C181" i="1"/>
  <c r="K181" i="1"/>
  <c r="A182" i="1"/>
  <c r="B182" i="1"/>
  <c r="C182" i="1"/>
  <c r="K182" i="1"/>
  <c r="A183" i="1"/>
  <c r="B183" i="1"/>
  <c r="C183" i="1"/>
  <c r="K183" i="1"/>
  <c r="A184" i="1"/>
  <c r="B184" i="1"/>
  <c r="C184" i="1"/>
  <c r="K184" i="1"/>
  <c r="A185" i="1"/>
  <c r="B185" i="1"/>
  <c r="C185" i="1"/>
  <c r="K185" i="1"/>
  <c r="A186" i="1"/>
  <c r="B186" i="1"/>
  <c r="C186" i="1"/>
  <c r="K186" i="1"/>
  <c r="A187" i="1"/>
  <c r="B187" i="1"/>
  <c r="C187" i="1"/>
  <c r="K187" i="1"/>
  <c r="A188" i="1"/>
  <c r="B188" i="1"/>
  <c r="C188" i="1"/>
  <c r="K188" i="1"/>
  <c r="A189" i="1"/>
  <c r="B189" i="1"/>
  <c r="C189" i="1"/>
  <c r="K189" i="1"/>
  <c r="A190" i="1"/>
  <c r="B190" i="1"/>
  <c r="C190" i="1"/>
  <c r="K190" i="1"/>
  <c r="A191" i="1"/>
  <c r="B191" i="1"/>
  <c r="C191" i="1"/>
  <c r="K191" i="1"/>
  <c r="A192" i="1"/>
  <c r="B192" i="1"/>
  <c r="C192" i="1"/>
  <c r="A193" i="1"/>
  <c r="B193" i="1"/>
  <c r="C193" i="1"/>
  <c r="K193" i="1"/>
  <c r="A194" i="1"/>
  <c r="B194" i="1"/>
  <c r="C194" i="1"/>
  <c r="K194" i="1"/>
  <c r="A195" i="1"/>
  <c r="B195" i="1"/>
  <c r="C195" i="1"/>
  <c r="K195" i="1"/>
  <c r="A196" i="1"/>
  <c r="B196" i="1"/>
  <c r="C196" i="1"/>
  <c r="K196" i="1"/>
  <c r="A197" i="1"/>
  <c r="B197" i="1"/>
  <c r="C197" i="1"/>
  <c r="K197" i="1"/>
  <c r="A198" i="1"/>
  <c r="B198" i="1"/>
  <c r="C198" i="1"/>
  <c r="K198" i="1"/>
  <c r="A199" i="1"/>
  <c r="B199" i="1"/>
  <c r="C199" i="1"/>
  <c r="K199" i="1"/>
  <c r="A200" i="1"/>
  <c r="B200" i="1"/>
  <c r="C200" i="1"/>
  <c r="K200" i="1"/>
  <c r="A201" i="1"/>
  <c r="B201" i="1"/>
  <c r="C201" i="1"/>
  <c r="K201" i="1"/>
  <c r="A202" i="1"/>
  <c r="B202" i="1"/>
  <c r="C202" i="1"/>
  <c r="K202" i="1"/>
  <c r="A203" i="1"/>
  <c r="B203" i="1"/>
  <c r="C203" i="1"/>
  <c r="K203" i="1"/>
  <c r="A204" i="1"/>
  <c r="B204" i="1"/>
  <c r="C204" i="1"/>
  <c r="K204" i="1"/>
  <c r="A205" i="1"/>
  <c r="B205" i="1"/>
  <c r="C205" i="1"/>
  <c r="K205" i="1"/>
  <c r="A206" i="1"/>
  <c r="B206" i="1"/>
  <c r="C206" i="1"/>
  <c r="K206" i="1"/>
  <c r="A207" i="1"/>
  <c r="B207" i="1"/>
  <c r="C207" i="1"/>
  <c r="K207" i="1"/>
  <c r="A208" i="1"/>
  <c r="B208" i="1"/>
  <c r="C208" i="1"/>
  <c r="K208" i="1"/>
  <c r="A209" i="1"/>
  <c r="B209" i="1"/>
  <c r="C209" i="1"/>
  <c r="K209" i="1"/>
  <c r="A210" i="1"/>
  <c r="B210" i="1"/>
  <c r="C210" i="1"/>
  <c r="K210" i="1"/>
  <c r="A211" i="1"/>
  <c r="B211" i="1"/>
  <c r="C211" i="1"/>
  <c r="K211" i="1"/>
  <c r="A212" i="1"/>
  <c r="B212" i="1"/>
  <c r="C212" i="1"/>
  <c r="K212" i="1"/>
  <c r="A213" i="1"/>
  <c r="B213" i="1"/>
  <c r="C213" i="1"/>
  <c r="K213" i="1"/>
  <c r="A214" i="1"/>
  <c r="B214" i="1"/>
  <c r="C214" i="1"/>
  <c r="K214" i="1"/>
  <c r="A215" i="1"/>
  <c r="B215" i="1"/>
  <c r="C215" i="1"/>
  <c r="K215" i="1"/>
  <c r="A216" i="1"/>
  <c r="B216" i="1"/>
  <c r="C216" i="1"/>
  <c r="K216" i="1"/>
  <c r="A217" i="1"/>
  <c r="B217" i="1"/>
  <c r="C217" i="1"/>
  <c r="K217" i="1"/>
  <c r="A218" i="1"/>
  <c r="B218" i="1"/>
  <c r="C218" i="1"/>
  <c r="K218" i="1"/>
  <c r="A219" i="1"/>
  <c r="B219" i="1"/>
  <c r="C219" i="1"/>
  <c r="K219" i="1"/>
  <c r="A220" i="1"/>
  <c r="B220" i="1"/>
  <c r="C220" i="1"/>
  <c r="K220" i="1"/>
  <c r="A221" i="1"/>
  <c r="B221" i="1"/>
  <c r="C221" i="1"/>
  <c r="K221" i="1"/>
  <c r="A222" i="1"/>
  <c r="B222" i="1"/>
  <c r="C222" i="1"/>
  <c r="K222" i="1"/>
  <c r="A223" i="1"/>
  <c r="B223" i="1"/>
  <c r="C223" i="1"/>
  <c r="K223" i="1"/>
  <c r="A224" i="1"/>
  <c r="B224" i="1"/>
  <c r="C224" i="1"/>
  <c r="K224" i="1"/>
  <c r="A225" i="1"/>
  <c r="B225" i="1"/>
  <c r="C225" i="1"/>
  <c r="K225" i="1"/>
  <c r="A226" i="1"/>
  <c r="B226" i="1"/>
  <c r="C226" i="1"/>
  <c r="K226" i="1"/>
  <c r="A227" i="1"/>
  <c r="B227" i="1"/>
  <c r="C227" i="1"/>
  <c r="K227" i="1"/>
  <c r="A228" i="1"/>
  <c r="B228" i="1"/>
  <c r="C228" i="1"/>
  <c r="K228" i="1"/>
  <c r="A229" i="1"/>
  <c r="B229" i="1"/>
  <c r="C229" i="1"/>
  <c r="K229" i="1"/>
  <c r="A230" i="1"/>
  <c r="B230" i="1"/>
  <c r="C230" i="1"/>
  <c r="K230" i="1"/>
  <c r="A231" i="1"/>
  <c r="B231" i="1"/>
  <c r="C231" i="1"/>
  <c r="K231" i="1"/>
  <c r="A232" i="1"/>
  <c r="B232" i="1"/>
  <c r="C232" i="1"/>
  <c r="K232" i="1"/>
  <c r="A233" i="1"/>
  <c r="B233" i="1"/>
  <c r="C233" i="1"/>
  <c r="K233" i="1"/>
  <c r="A234" i="1"/>
  <c r="B234" i="1"/>
  <c r="C234" i="1"/>
  <c r="K234" i="1"/>
  <c r="A235" i="1"/>
  <c r="B235" i="1"/>
  <c r="C235" i="1"/>
  <c r="K235" i="1"/>
  <c r="A236" i="1"/>
  <c r="B236" i="1"/>
  <c r="C236" i="1"/>
  <c r="K236" i="1"/>
  <c r="A237" i="1"/>
  <c r="B237" i="1"/>
  <c r="C237" i="1"/>
  <c r="K237" i="1"/>
  <c r="A238" i="1"/>
  <c r="B238" i="1"/>
  <c r="C238" i="1"/>
  <c r="K238" i="1"/>
  <c r="A239" i="1"/>
  <c r="B239" i="1"/>
  <c r="C239" i="1"/>
  <c r="K239" i="1"/>
  <c r="A240" i="1"/>
  <c r="B240" i="1"/>
  <c r="C240" i="1"/>
  <c r="K240" i="1"/>
  <c r="A241" i="1"/>
  <c r="B241" i="1"/>
  <c r="C241" i="1"/>
  <c r="K241" i="1"/>
  <c r="A242" i="1"/>
  <c r="B242" i="1"/>
  <c r="C242" i="1"/>
  <c r="A243" i="1"/>
  <c r="B243" i="1"/>
  <c r="C243" i="1"/>
  <c r="A244" i="1"/>
  <c r="B244" i="1"/>
  <c r="C244" i="1"/>
  <c r="A245" i="1"/>
  <c r="B245" i="1"/>
  <c r="C245" i="1"/>
  <c r="A246" i="1"/>
  <c r="B246" i="1"/>
  <c r="C246" i="1"/>
  <c r="A247" i="1"/>
  <c r="B247" i="1"/>
  <c r="C247" i="1"/>
  <c r="A248" i="1"/>
  <c r="B248" i="1"/>
  <c r="C248" i="1"/>
  <c r="A249" i="1"/>
  <c r="B249" i="1"/>
  <c r="C249" i="1"/>
  <c r="A250" i="1"/>
  <c r="B250" i="1"/>
  <c r="C250" i="1"/>
  <c r="A251" i="1"/>
  <c r="B251" i="1"/>
  <c r="C251" i="1"/>
  <c r="A252" i="1"/>
  <c r="B252" i="1"/>
  <c r="C252" i="1"/>
  <c r="A253" i="1"/>
  <c r="B253" i="1"/>
  <c r="C253" i="1"/>
  <c r="A254" i="1"/>
  <c r="B254" i="1"/>
  <c r="C254" i="1"/>
  <c r="A255" i="1"/>
  <c r="B255" i="1"/>
  <c r="C255" i="1"/>
  <c r="A256" i="1"/>
  <c r="B256" i="1"/>
  <c r="C256" i="1"/>
  <c r="K256" i="1"/>
  <c r="A257" i="1"/>
  <c r="B257" i="1"/>
  <c r="C257" i="1"/>
  <c r="K257" i="1"/>
  <c r="A258" i="1"/>
  <c r="B258" i="1"/>
  <c r="C258" i="1"/>
  <c r="K258" i="1"/>
  <c r="A259" i="1"/>
  <c r="B259" i="1"/>
  <c r="C259" i="1"/>
  <c r="K259" i="1"/>
  <c r="A260" i="1"/>
  <c r="B260" i="1"/>
  <c r="C260" i="1"/>
  <c r="K260" i="1"/>
  <c r="A261" i="1"/>
  <c r="B261" i="1"/>
  <c r="C261" i="1"/>
  <c r="K261" i="1"/>
  <c r="A262" i="1"/>
  <c r="B262" i="1"/>
  <c r="C262" i="1"/>
  <c r="K262" i="1"/>
  <c r="A263" i="1"/>
  <c r="B263" i="1"/>
  <c r="C263" i="1"/>
  <c r="K263" i="1"/>
  <c r="A264" i="1"/>
  <c r="B264" i="1"/>
  <c r="C264" i="1"/>
  <c r="K264" i="1"/>
  <c r="A265" i="1"/>
  <c r="B265" i="1"/>
  <c r="C265" i="1"/>
  <c r="K265" i="1"/>
  <c r="A266" i="1"/>
  <c r="B266" i="1"/>
  <c r="C266" i="1"/>
  <c r="K266" i="1"/>
  <c r="A267" i="1"/>
  <c r="B267" i="1"/>
  <c r="C267" i="1"/>
  <c r="K267" i="1"/>
  <c r="A268" i="1"/>
  <c r="B268" i="1"/>
  <c r="C268" i="1"/>
  <c r="K268" i="1"/>
  <c r="A269" i="1"/>
  <c r="B269" i="1"/>
  <c r="C269" i="1"/>
  <c r="K269" i="1"/>
  <c r="A270" i="1"/>
  <c r="B270" i="1"/>
  <c r="C270" i="1"/>
  <c r="K270" i="1"/>
  <c r="A271" i="1"/>
  <c r="B271" i="1"/>
  <c r="C271" i="1"/>
  <c r="K271" i="1"/>
  <c r="A272" i="1"/>
  <c r="B272" i="1"/>
  <c r="C272" i="1"/>
  <c r="K272" i="1"/>
  <c r="A273" i="1"/>
  <c r="B273" i="1"/>
  <c r="C273" i="1"/>
  <c r="K273" i="1"/>
  <c r="A274" i="1"/>
  <c r="B274" i="1"/>
  <c r="C274" i="1"/>
  <c r="K274" i="1"/>
  <c r="A275" i="1"/>
  <c r="B275" i="1"/>
  <c r="C275" i="1"/>
  <c r="K275" i="1"/>
  <c r="A276" i="1"/>
  <c r="B276" i="1"/>
  <c r="C276" i="1"/>
  <c r="K276" i="1"/>
  <c r="A277" i="1"/>
  <c r="B277" i="1"/>
  <c r="C277" i="1"/>
  <c r="K277" i="1"/>
  <c r="A278" i="1"/>
  <c r="B278" i="1"/>
  <c r="C278" i="1"/>
  <c r="K278" i="1"/>
  <c r="A279" i="1"/>
  <c r="B279" i="1"/>
  <c r="C279" i="1"/>
  <c r="K279" i="1"/>
  <c r="A280" i="1"/>
  <c r="B280" i="1"/>
  <c r="C280" i="1"/>
  <c r="K280" i="1"/>
  <c r="A281" i="1"/>
  <c r="B281" i="1"/>
  <c r="C281" i="1"/>
  <c r="K281" i="1"/>
  <c r="A282" i="1"/>
  <c r="B282" i="1"/>
  <c r="C282" i="1"/>
  <c r="K282" i="1"/>
  <c r="A283" i="1"/>
  <c r="B283" i="1"/>
  <c r="C283" i="1"/>
  <c r="K283" i="1"/>
  <c r="A284" i="1"/>
  <c r="B284" i="1"/>
  <c r="C284" i="1"/>
  <c r="K284" i="1"/>
  <c r="A285" i="1"/>
  <c r="B285" i="1"/>
  <c r="C285" i="1"/>
  <c r="K285" i="1"/>
  <c r="A286" i="1"/>
  <c r="B286" i="1"/>
  <c r="C286" i="1"/>
  <c r="K286" i="1"/>
  <c r="A287" i="1"/>
  <c r="B287" i="1"/>
  <c r="C287" i="1"/>
  <c r="K287" i="1"/>
  <c r="A288" i="1"/>
  <c r="B288" i="1"/>
  <c r="C288" i="1"/>
  <c r="K288" i="1"/>
  <c r="A289" i="1"/>
  <c r="B289" i="1"/>
  <c r="C289" i="1"/>
  <c r="K289" i="1"/>
  <c r="A290" i="1"/>
  <c r="B290" i="1"/>
  <c r="C290" i="1"/>
  <c r="K290" i="1"/>
  <c r="A291" i="1"/>
  <c r="B291" i="1"/>
  <c r="C291" i="1"/>
  <c r="K291" i="1"/>
  <c r="A292" i="1"/>
  <c r="B292" i="1"/>
  <c r="C292" i="1"/>
  <c r="K292" i="1"/>
  <c r="A293" i="1"/>
  <c r="B293" i="1"/>
  <c r="C293" i="1"/>
  <c r="K293" i="1"/>
  <c r="A294" i="1"/>
  <c r="B294" i="1"/>
  <c r="C294" i="1"/>
  <c r="K294" i="1"/>
  <c r="A295" i="1"/>
  <c r="B295" i="1"/>
  <c r="C295" i="1"/>
  <c r="K295" i="1"/>
  <c r="A296" i="1"/>
  <c r="B296" i="1"/>
  <c r="C296" i="1"/>
  <c r="A297" i="1"/>
  <c r="B297" i="1"/>
  <c r="C297" i="1"/>
  <c r="K297" i="1"/>
  <c r="A298" i="1"/>
  <c r="B298" i="1"/>
  <c r="C298" i="1"/>
  <c r="K298" i="1"/>
  <c r="A299" i="1"/>
  <c r="B299" i="1"/>
  <c r="C299" i="1"/>
  <c r="K299" i="1"/>
  <c r="A300" i="1"/>
  <c r="B300" i="1"/>
  <c r="C300" i="1"/>
  <c r="K300" i="1"/>
  <c r="A301" i="1"/>
  <c r="B301" i="1"/>
  <c r="C301" i="1"/>
  <c r="K301" i="1"/>
  <c r="A302" i="1"/>
  <c r="B302" i="1"/>
  <c r="C302" i="1"/>
  <c r="K302" i="1"/>
  <c r="A303" i="1"/>
  <c r="B303" i="1"/>
  <c r="C303" i="1"/>
  <c r="K303" i="1"/>
  <c r="A304" i="1"/>
  <c r="B304" i="1"/>
  <c r="C304" i="1"/>
  <c r="K304" i="1"/>
  <c r="A305" i="1"/>
  <c r="B305" i="1"/>
  <c r="C305" i="1"/>
  <c r="K305" i="1"/>
  <c r="A306" i="1"/>
  <c r="B306" i="1"/>
  <c r="C306" i="1"/>
  <c r="K306" i="1"/>
  <c r="A307" i="1"/>
  <c r="B307" i="1"/>
  <c r="C307" i="1"/>
  <c r="K307" i="1"/>
  <c r="A308" i="1"/>
  <c r="B308" i="1"/>
  <c r="C308" i="1"/>
  <c r="K308" i="1"/>
  <c r="A309" i="1"/>
  <c r="B309" i="1"/>
  <c r="C309" i="1"/>
  <c r="K309" i="1"/>
  <c r="A310" i="1"/>
  <c r="B310" i="1"/>
  <c r="C310" i="1"/>
  <c r="K310" i="1"/>
  <c r="A311" i="1"/>
  <c r="B311" i="1"/>
  <c r="C311" i="1"/>
  <c r="K311" i="1"/>
  <c r="A312" i="1"/>
  <c r="B312" i="1"/>
  <c r="C312" i="1"/>
  <c r="K312" i="1"/>
  <c r="A313" i="1"/>
  <c r="B313" i="1"/>
  <c r="C313" i="1"/>
  <c r="K313" i="1"/>
  <c r="A314" i="1"/>
  <c r="B314" i="1"/>
  <c r="C314" i="1"/>
  <c r="K314" i="1"/>
  <c r="A315" i="1"/>
  <c r="B315" i="1"/>
  <c r="C315" i="1"/>
  <c r="K315" i="1"/>
  <c r="A316" i="1"/>
  <c r="B316" i="1"/>
  <c r="C316" i="1"/>
  <c r="K316" i="1"/>
  <c r="A317" i="1"/>
  <c r="B317" i="1"/>
  <c r="C317" i="1"/>
  <c r="K317" i="1"/>
  <c r="A318" i="1"/>
  <c r="B318" i="1"/>
  <c r="C318" i="1"/>
  <c r="K318" i="1"/>
  <c r="A319" i="1"/>
  <c r="B319" i="1"/>
  <c r="C319" i="1"/>
  <c r="K319" i="1"/>
  <c r="A320" i="1"/>
  <c r="B320" i="1"/>
  <c r="C320" i="1"/>
  <c r="K320" i="1"/>
  <c r="A321" i="1"/>
  <c r="K321" i="1"/>
  <c r="A322" i="1"/>
  <c r="K322" i="1"/>
  <c r="A323" i="1"/>
  <c r="K323" i="1"/>
  <c r="A324" i="1"/>
  <c r="K324" i="1"/>
  <c r="A325" i="1"/>
  <c r="B325" i="1"/>
  <c r="C325" i="1"/>
  <c r="K325" i="1"/>
  <c r="A326" i="1"/>
  <c r="B326" i="1"/>
  <c r="C326" i="1"/>
  <c r="K326" i="1"/>
  <c r="A327" i="1"/>
  <c r="B327" i="1"/>
  <c r="C327" i="1"/>
  <c r="K327" i="1"/>
  <c r="A328" i="1"/>
  <c r="B328" i="1"/>
  <c r="C328" i="1"/>
  <c r="K328" i="1"/>
  <c r="A329" i="1"/>
  <c r="B329" i="1"/>
  <c r="C329" i="1"/>
  <c r="K329" i="1"/>
  <c r="A330" i="1"/>
  <c r="B330" i="1"/>
  <c r="C330" i="1"/>
  <c r="K330" i="1"/>
  <c r="A331" i="1"/>
  <c r="B331" i="1"/>
  <c r="C331" i="1"/>
  <c r="K331" i="1"/>
  <c r="A332" i="1"/>
  <c r="B332" i="1"/>
  <c r="C332" i="1"/>
  <c r="K332" i="1"/>
  <c r="A333" i="1"/>
  <c r="B333" i="1"/>
  <c r="C333" i="1"/>
  <c r="K333" i="1"/>
  <c r="A334" i="1"/>
  <c r="B334" i="1"/>
  <c r="C334" i="1"/>
  <c r="K334" i="1"/>
  <c r="A335" i="1"/>
  <c r="A336" i="1"/>
  <c r="K336" i="1"/>
  <c r="A337" i="1"/>
  <c r="A338" i="1"/>
  <c r="B338" i="1"/>
  <c r="C338" i="1"/>
  <c r="K338" i="1"/>
  <c r="A339" i="1"/>
  <c r="B339" i="1"/>
  <c r="C339" i="1"/>
  <c r="K339" i="1"/>
  <c r="A340" i="1"/>
  <c r="B340" i="1"/>
  <c r="C340" i="1"/>
  <c r="K340" i="1"/>
  <c r="A341" i="1"/>
  <c r="B341" i="1"/>
  <c r="C341" i="1"/>
  <c r="K341" i="1"/>
  <c r="A342" i="1"/>
  <c r="B342" i="1"/>
  <c r="C342" i="1"/>
  <c r="K342" i="1"/>
  <c r="A343" i="1"/>
  <c r="B343" i="1"/>
  <c r="C343" i="1"/>
  <c r="K343" i="1"/>
  <c r="A344" i="1"/>
  <c r="B344" i="1"/>
  <c r="C344" i="1"/>
  <c r="K344" i="1"/>
  <c r="A345" i="1"/>
  <c r="B345" i="1"/>
  <c r="C345" i="1"/>
  <c r="K345" i="1"/>
  <c r="A346" i="1"/>
  <c r="B346" i="1"/>
  <c r="C346" i="1"/>
  <c r="K346" i="1"/>
  <c r="A347" i="1"/>
  <c r="B347" i="1"/>
  <c r="C347" i="1"/>
  <c r="K347" i="1"/>
  <c r="A348" i="1"/>
  <c r="B348" i="1"/>
  <c r="C348" i="1"/>
  <c r="K348" i="1"/>
  <c r="A349" i="1"/>
  <c r="B349" i="1"/>
  <c r="C349" i="1"/>
  <c r="K349" i="1"/>
  <c r="A350" i="1"/>
  <c r="B350" i="1"/>
  <c r="C350" i="1"/>
  <c r="K350" i="1"/>
  <c r="A351" i="1"/>
  <c r="B351" i="1"/>
  <c r="C351" i="1"/>
  <c r="K351" i="1"/>
  <c r="A352" i="1"/>
  <c r="B352" i="1"/>
  <c r="C352" i="1"/>
  <c r="K352" i="1"/>
  <c r="A353" i="1"/>
  <c r="B353" i="1"/>
  <c r="C353" i="1"/>
  <c r="K353" i="1"/>
  <c r="A354" i="1"/>
  <c r="B354" i="1"/>
  <c r="C354" i="1"/>
  <c r="K354" i="1"/>
  <c r="A355" i="1"/>
  <c r="B355" i="1"/>
  <c r="C355" i="1"/>
  <c r="K355" i="1"/>
  <c r="A356" i="1"/>
  <c r="A357" i="1"/>
  <c r="A358" i="1"/>
  <c r="B358" i="1"/>
  <c r="C358" i="1"/>
  <c r="K358" i="1"/>
  <c r="A359" i="1"/>
  <c r="B359" i="1"/>
  <c r="C359" i="1"/>
  <c r="K359" i="1"/>
  <c r="A360" i="1"/>
  <c r="B360" i="1"/>
  <c r="C360" i="1"/>
  <c r="K360" i="1"/>
  <c r="A361" i="1"/>
  <c r="B361" i="1"/>
  <c r="C361" i="1"/>
  <c r="K361" i="1"/>
  <c r="A362" i="1"/>
  <c r="B362" i="1"/>
  <c r="C362" i="1"/>
  <c r="K362" i="1"/>
  <c r="A363" i="1"/>
  <c r="B363" i="1"/>
  <c r="C363" i="1"/>
  <c r="K363" i="1"/>
  <c r="A364" i="1"/>
  <c r="B364" i="1"/>
  <c r="C364" i="1"/>
  <c r="K364" i="1"/>
  <c r="A365" i="1"/>
  <c r="B365" i="1"/>
  <c r="C365" i="1"/>
  <c r="K365" i="1"/>
  <c r="A366" i="1"/>
  <c r="B366" i="1"/>
  <c r="C366" i="1"/>
  <c r="K366" i="1"/>
  <c r="A367" i="1"/>
  <c r="B367" i="1"/>
  <c r="C367" i="1"/>
  <c r="K367" i="1"/>
  <c r="A368" i="1"/>
  <c r="B368" i="1"/>
  <c r="C368" i="1"/>
  <c r="K368" i="1"/>
  <c r="A369" i="1"/>
  <c r="B369" i="1"/>
  <c r="C369" i="1"/>
  <c r="K369" i="1"/>
  <c r="A370" i="1"/>
  <c r="B370" i="1"/>
  <c r="C370" i="1"/>
  <c r="K370" i="1"/>
  <c r="A371" i="1"/>
  <c r="B371" i="1"/>
  <c r="C371" i="1"/>
  <c r="A372" i="1"/>
  <c r="B372" i="1"/>
  <c r="C372" i="1"/>
  <c r="K372" i="1"/>
  <c r="A373" i="1"/>
  <c r="B373" i="1"/>
  <c r="C373" i="1"/>
  <c r="K373" i="1"/>
  <c r="A374" i="1"/>
  <c r="B374" i="1"/>
  <c r="C374" i="1"/>
  <c r="K374" i="1"/>
  <c r="A375" i="1"/>
  <c r="B375" i="1"/>
  <c r="C375" i="1"/>
  <c r="K375" i="1"/>
  <c r="A376" i="1"/>
  <c r="B376" i="1"/>
  <c r="C376" i="1"/>
  <c r="K376" i="1"/>
  <c r="A377" i="1"/>
  <c r="B377" i="1"/>
  <c r="C377" i="1"/>
  <c r="K377" i="1"/>
  <c r="A378" i="1"/>
  <c r="B378" i="1"/>
  <c r="C378" i="1"/>
  <c r="K378" i="1"/>
  <c r="A379" i="1"/>
  <c r="B379" i="1"/>
  <c r="C379" i="1"/>
  <c r="K379" i="1"/>
  <c r="A380" i="1"/>
  <c r="B380" i="1"/>
  <c r="C380" i="1"/>
  <c r="K380" i="1"/>
  <c r="A381" i="1"/>
  <c r="B381" i="1"/>
  <c r="C381" i="1"/>
  <c r="K381" i="1"/>
  <c r="A382" i="1"/>
  <c r="B382" i="1"/>
  <c r="C382" i="1"/>
  <c r="K382" i="1"/>
  <c r="A383" i="1"/>
  <c r="B383" i="1"/>
  <c r="C383" i="1"/>
  <c r="K383" i="1"/>
  <c r="A384" i="1"/>
  <c r="B384" i="1"/>
  <c r="C384" i="1"/>
  <c r="K384" i="1"/>
  <c r="A385" i="1"/>
  <c r="B385" i="1"/>
  <c r="C385" i="1"/>
  <c r="K385" i="1"/>
  <c r="A386" i="1"/>
  <c r="B386" i="1"/>
  <c r="C386" i="1"/>
  <c r="K386" i="1"/>
  <c r="A387" i="1"/>
  <c r="B387" i="1"/>
  <c r="C387" i="1"/>
  <c r="A388" i="1"/>
  <c r="B388" i="1"/>
  <c r="C388" i="1"/>
  <c r="A389" i="1"/>
  <c r="B389" i="1"/>
  <c r="C389" i="1"/>
  <c r="K389" i="1"/>
  <c r="A390" i="1"/>
  <c r="B390" i="1"/>
  <c r="C390" i="1"/>
  <c r="K390" i="1"/>
  <c r="A391" i="1"/>
  <c r="B391" i="1"/>
  <c r="C391" i="1"/>
  <c r="K391" i="1"/>
  <c r="A392" i="1"/>
  <c r="B392" i="1"/>
  <c r="C392" i="1"/>
  <c r="K392" i="1"/>
  <c r="A393" i="1"/>
  <c r="B393" i="1"/>
  <c r="C393" i="1"/>
  <c r="K393" i="1"/>
  <c r="A394" i="1"/>
  <c r="B394" i="1"/>
  <c r="C394" i="1"/>
  <c r="K394" i="1"/>
  <c r="A395" i="1"/>
  <c r="B395" i="1"/>
  <c r="C395" i="1"/>
  <c r="K395" i="1"/>
  <c r="A396" i="1"/>
  <c r="B396" i="1"/>
  <c r="C396" i="1"/>
  <c r="K396" i="1"/>
  <c r="A397" i="1"/>
  <c r="B397" i="1"/>
  <c r="C397" i="1"/>
  <c r="K397" i="1"/>
  <c r="A398" i="1"/>
  <c r="B398" i="1"/>
  <c r="C398" i="1"/>
  <c r="K398" i="1"/>
  <c r="A399" i="1"/>
  <c r="B399" i="1"/>
  <c r="C399" i="1"/>
  <c r="K399" i="1"/>
  <c r="A400" i="1"/>
  <c r="B400" i="1"/>
  <c r="C400" i="1"/>
  <c r="K400" i="1"/>
  <c r="A401" i="1"/>
  <c r="B401" i="1"/>
  <c r="C401" i="1"/>
  <c r="K401" i="1"/>
  <c r="A402" i="1"/>
  <c r="B402" i="1"/>
  <c r="C402" i="1"/>
  <c r="K402" i="1"/>
  <c r="A403" i="1"/>
  <c r="B403" i="1"/>
  <c r="C403" i="1"/>
  <c r="K403" i="1"/>
  <c r="A404" i="1"/>
  <c r="B404" i="1"/>
  <c r="C404" i="1"/>
  <c r="K404" i="1"/>
  <c r="A405" i="1"/>
  <c r="B405" i="1"/>
  <c r="C405" i="1"/>
  <c r="K405" i="1"/>
  <c r="A406" i="1"/>
  <c r="B406" i="1"/>
  <c r="C406" i="1"/>
  <c r="K406" i="1"/>
  <c r="A407" i="1"/>
  <c r="B407" i="1"/>
  <c r="C407" i="1"/>
  <c r="K407" i="1"/>
  <c r="A408" i="1"/>
  <c r="B408" i="1"/>
  <c r="C408" i="1"/>
  <c r="K408" i="1"/>
  <c r="A409" i="1"/>
  <c r="B409" i="1"/>
  <c r="C409" i="1"/>
  <c r="K409" i="1"/>
  <c r="A410" i="1"/>
  <c r="B410" i="1"/>
  <c r="C410" i="1"/>
  <c r="A411" i="1"/>
  <c r="B411" i="1"/>
  <c r="C411" i="1"/>
  <c r="K411" i="1"/>
  <c r="A412" i="1"/>
  <c r="B412" i="1"/>
  <c r="C412" i="1"/>
  <c r="K412" i="1"/>
  <c r="A413" i="1"/>
  <c r="B413" i="1"/>
  <c r="C413" i="1"/>
  <c r="K413" i="1"/>
  <c r="A414" i="1"/>
  <c r="B414" i="1"/>
  <c r="C414" i="1"/>
  <c r="K414" i="1"/>
  <c r="A415" i="1"/>
  <c r="B415" i="1"/>
  <c r="C415" i="1"/>
  <c r="K415" i="1"/>
  <c r="A416" i="1"/>
  <c r="B416" i="1"/>
  <c r="C416" i="1"/>
  <c r="K416" i="1"/>
  <c r="A417" i="1"/>
  <c r="B417" i="1"/>
  <c r="C417" i="1"/>
  <c r="K417" i="1"/>
  <c r="A418" i="1"/>
  <c r="B418" i="1"/>
  <c r="C418" i="1"/>
  <c r="K418" i="1"/>
  <c r="A419" i="1"/>
  <c r="B419" i="1"/>
  <c r="C419" i="1"/>
  <c r="K419" i="1"/>
  <c r="A420" i="1"/>
  <c r="B420" i="1"/>
  <c r="C420" i="1"/>
  <c r="K420" i="1"/>
  <c r="A421" i="1"/>
  <c r="B421" i="1"/>
  <c r="C421" i="1"/>
  <c r="K421" i="1"/>
  <c r="A422" i="1"/>
  <c r="B422" i="1"/>
  <c r="C422" i="1"/>
  <c r="K422" i="1"/>
  <c r="A423" i="1"/>
  <c r="B423" i="1"/>
  <c r="C423" i="1"/>
  <c r="K423" i="1"/>
  <c r="A424" i="1"/>
  <c r="B424" i="1"/>
  <c r="C424" i="1"/>
  <c r="K424" i="1"/>
  <c r="A425" i="1"/>
  <c r="B425" i="1"/>
  <c r="C425" i="1"/>
  <c r="K425" i="1"/>
  <c r="A426" i="1"/>
  <c r="B426" i="1"/>
  <c r="C426" i="1"/>
  <c r="K426" i="1"/>
  <c r="A427" i="1"/>
  <c r="B427" i="1"/>
  <c r="C427" i="1"/>
  <c r="K427" i="1"/>
  <c r="A428" i="1"/>
  <c r="B428" i="1"/>
  <c r="C428" i="1"/>
  <c r="K428" i="1"/>
  <c r="A429" i="1"/>
  <c r="B429" i="1"/>
  <c r="C429" i="1"/>
  <c r="K429" i="1"/>
  <c r="A430" i="1"/>
  <c r="B430" i="1"/>
  <c r="C430" i="1"/>
  <c r="K430" i="1"/>
  <c r="A431" i="1"/>
  <c r="B431" i="1"/>
  <c r="C431" i="1"/>
  <c r="K431" i="1"/>
  <c r="A432" i="1"/>
  <c r="B432" i="1"/>
  <c r="C432" i="1"/>
  <c r="A433" i="1"/>
  <c r="B433" i="1"/>
  <c r="C433" i="1"/>
  <c r="K433" i="1"/>
  <c r="A434" i="1"/>
  <c r="B434" i="1"/>
  <c r="C434" i="1"/>
  <c r="K434" i="1"/>
  <c r="A435" i="1"/>
  <c r="B435" i="1"/>
  <c r="C435" i="1"/>
  <c r="K435" i="1"/>
  <c r="A436" i="1"/>
  <c r="B436" i="1"/>
  <c r="C436" i="1"/>
  <c r="K436" i="1"/>
  <c r="A437" i="1"/>
  <c r="K437" i="1"/>
  <c r="A438" i="1"/>
  <c r="B438" i="1"/>
  <c r="C438" i="1"/>
  <c r="K438" i="1"/>
  <c r="A439" i="1"/>
  <c r="B439" i="1"/>
  <c r="C439" i="1"/>
  <c r="K439" i="1"/>
  <c r="A440" i="1"/>
  <c r="B440" i="1"/>
  <c r="C440" i="1"/>
  <c r="K440" i="1"/>
  <c r="A441" i="1"/>
  <c r="B441" i="1"/>
  <c r="C441" i="1"/>
  <c r="K441" i="1"/>
  <c r="A442" i="1"/>
  <c r="B442" i="1"/>
  <c r="C442" i="1"/>
  <c r="K442" i="1"/>
  <c r="A443" i="1"/>
  <c r="B443" i="1"/>
  <c r="C443" i="1"/>
  <c r="K443" i="1"/>
  <c r="A444" i="1"/>
  <c r="B444" i="1"/>
  <c r="C444" i="1"/>
  <c r="K444" i="1"/>
  <c r="A445" i="1"/>
  <c r="B445" i="1"/>
  <c r="C445" i="1"/>
  <c r="K445" i="1"/>
  <c r="A446" i="1"/>
  <c r="B446" i="1"/>
  <c r="C446" i="1"/>
  <c r="K446" i="1"/>
  <c r="A447" i="1"/>
  <c r="B447" i="1"/>
  <c r="C447" i="1"/>
  <c r="K447" i="1"/>
  <c r="A448" i="1"/>
  <c r="B448" i="1"/>
  <c r="C448" i="1"/>
  <c r="K448" i="1"/>
  <c r="A449" i="1"/>
  <c r="B449" i="1"/>
  <c r="C449" i="1"/>
  <c r="K449" i="1"/>
  <c r="A450" i="1"/>
  <c r="B450" i="1"/>
  <c r="C450" i="1"/>
  <c r="K450" i="1"/>
  <c r="A451" i="1"/>
  <c r="B451" i="1"/>
  <c r="C451" i="1"/>
  <c r="K451" i="1"/>
  <c r="A452" i="1"/>
  <c r="B452" i="1"/>
  <c r="C452" i="1"/>
  <c r="K452" i="1"/>
  <c r="A453" i="1"/>
  <c r="B453" i="1"/>
  <c r="C453" i="1"/>
  <c r="K453" i="1"/>
  <c r="A454" i="1"/>
  <c r="B454" i="1"/>
  <c r="C454" i="1"/>
  <c r="K454" i="1"/>
  <c r="A455" i="1"/>
  <c r="B455" i="1"/>
  <c r="C455" i="1"/>
  <c r="K455" i="1"/>
  <c r="A456" i="1"/>
  <c r="B456" i="1"/>
  <c r="C456" i="1"/>
  <c r="K456" i="1"/>
  <c r="A457" i="1"/>
  <c r="B457" i="1"/>
  <c r="C457" i="1"/>
  <c r="K457" i="1"/>
  <c r="A458" i="1"/>
  <c r="B458" i="1"/>
  <c r="C458" i="1"/>
  <c r="K458" i="1"/>
  <c r="A459" i="1"/>
  <c r="B459" i="1"/>
  <c r="C459" i="1"/>
  <c r="K459" i="1"/>
  <c r="A460" i="1"/>
  <c r="B460" i="1"/>
  <c r="C460" i="1"/>
  <c r="K460" i="1"/>
  <c r="A461" i="1"/>
  <c r="B461" i="1"/>
  <c r="C461" i="1"/>
  <c r="K461" i="1"/>
  <c r="A462" i="1"/>
  <c r="B462" i="1"/>
  <c r="C462" i="1"/>
  <c r="K462" i="1"/>
  <c r="A463" i="1"/>
  <c r="B463" i="1"/>
  <c r="C463" i="1"/>
  <c r="K463" i="1"/>
  <c r="A464" i="1"/>
  <c r="B464" i="1"/>
  <c r="C464" i="1"/>
  <c r="K464" i="1"/>
  <c r="A465" i="1"/>
  <c r="B465" i="1"/>
  <c r="C465" i="1"/>
  <c r="K465" i="1"/>
  <c r="A466" i="1"/>
  <c r="B466" i="1"/>
  <c r="C466" i="1"/>
  <c r="K466" i="1"/>
  <c r="A467" i="1"/>
  <c r="B467" i="1"/>
  <c r="C467" i="1"/>
  <c r="K467" i="1"/>
  <c r="A468" i="1"/>
  <c r="B468" i="1"/>
  <c r="C468" i="1"/>
  <c r="K468" i="1"/>
  <c r="A469" i="1"/>
  <c r="B469" i="1"/>
  <c r="C469" i="1"/>
  <c r="K469" i="1"/>
  <c r="A470" i="1"/>
  <c r="B470" i="1"/>
  <c r="C470" i="1"/>
  <c r="K470" i="1"/>
  <c r="A471" i="1"/>
  <c r="B471" i="1"/>
  <c r="C471" i="1"/>
  <c r="K471" i="1"/>
  <c r="A472" i="1"/>
  <c r="B472" i="1"/>
  <c r="C472" i="1"/>
  <c r="K472" i="1"/>
  <c r="A473" i="1"/>
  <c r="B473" i="1"/>
  <c r="C473" i="1"/>
  <c r="A474" i="1"/>
  <c r="B474" i="1"/>
  <c r="C474" i="1"/>
  <c r="A475" i="1"/>
  <c r="B475" i="1"/>
  <c r="C475" i="1"/>
  <c r="A476" i="1"/>
  <c r="B476" i="1"/>
  <c r="C476" i="1"/>
  <c r="A477" i="1"/>
  <c r="B477" i="1"/>
  <c r="C477" i="1"/>
  <c r="K477" i="1"/>
  <c r="A478" i="1"/>
  <c r="B478" i="1"/>
  <c r="C478" i="1"/>
  <c r="K478" i="1"/>
  <c r="A479" i="1"/>
  <c r="B479" i="1"/>
  <c r="C479" i="1"/>
  <c r="K479" i="1"/>
  <c r="A480" i="1"/>
  <c r="B480" i="1"/>
  <c r="C480" i="1"/>
  <c r="K480" i="1"/>
  <c r="A481" i="1"/>
  <c r="B481" i="1"/>
  <c r="C481" i="1"/>
  <c r="K481" i="1"/>
  <c r="A482" i="1"/>
  <c r="B482" i="1"/>
  <c r="C482" i="1"/>
  <c r="K482" i="1"/>
  <c r="A483" i="1"/>
  <c r="B483" i="1"/>
  <c r="C483" i="1"/>
  <c r="K483" i="1"/>
  <c r="A484" i="1"/>
  <c r="B484" i="1"/>
  <c r="C484" i="1"/>
  <c r="K484" i="1"/>
  <c r="A485" i="1"/>
  <c r="B485" i="1"/>
  <c r="C485" i="1"/>
  <c r="K485" i="1"/>
  <c r="A486" i="1"/>
  <c r="B486" i="1"/>
  <c r="C486" i="1"/>
  <c r="A487" i="1"/>
  <c r="B487" i="1"/>
  <c r="C487" i="1"/>
  <c r="A488" i="1"/>
  <c r="B488" i="1"/>
  <c r="C488" i="1"/>
  <c r="K488" i="1"/>
  <c r="A489" i="1"/>
  <c r="B489" i="1"/>
  <c r="C489" i="1"/>
  <c r="K489" i="1"/>
  <c r="A490" i="1"/>
  <c r="B490" i="1"/>
  <c r="C490" i="1"/>
  <c r="K490" i="1"/>
  <c r="A491" i="1"/>
  <c r="B491" i="1"/>
  <c r="C491" i="1"/>
  <c r="K491" i="1"/>
  <c r="A492" i="1"/>
  <c r="B492" i="1"/>
  <c r="C492" i="1"/>
  <c r="K492" i="1"/>
  <c r="A493" i="1"/>
  <c r="B493" i="1"/>
  <c r="C493" i="1"/>
  <c r="K493" i="1"/>
  <c r="A494" i="1"/>
  <c r="B494" i="1"/>
  <c r="C494" i="1"/>
  <c r="K494" i="1"/>
  <c r="A495" i="1"/>
  <c r="B495" i="1"/>
  <c r="C495" i="1"/>
  <c r="K495" i="1"/>
  <c r="A496" i="1"/>
  <c r="B496" i="1"/>
  <c r="C496" i="1"/>
  <c r="K496" i="1"/>
  <c r="A497" i="1"/>
  <c r="B497" i="1"/>
  <c r="C497" i="1"/>
  <c r="K497" i="1"/>
  <c r="A498" i="1"/>
  <c r="B498" i="1"/>
  <c r="C498" i="1"/>
  <c r="K498" i="1"/>
  <c r="A499" i="1"/>
  <c r="B499" i="1"/>
  <c r="C499" i="1"/>
  <c r="K499" i="1"/>
  <c r="A500" i="1"/>
  <c r="B500" i="1"/>
  <c r="C500" i="1"/>
  <c r="K500" i="1"/>
  <c r="A501" i="1"/>
  <c r="B501" i="1"/>
  <c r="C501" i="1"/>
  <c r="K501" i="1"/>
  <c r="A502" i="1"/>
  <c r="B502" i="1"/>
  <c r="C502" i="1"/>
  <c r="K502" i="1"/>
  <c r="A503" i="1"/>
  <c r="B503" i="1"/>
  <c r="C503" i="1"/>
  <c r="K503" i="1"/>
  <c r="A504" i="1"/>
  <c r="B504" i="1"/>
  <c r="C504" i="1"/>
  <c r="K504" i="1"/>
  <c r="A505" i="1"/>
  <c r="B505" i="1"/>
  <c r="C505" i="1"/>
  <c r="K505" i="1"/>
  <c r="A506" i="1"/>
  <c r="B506" i="1"/>
  <c r="C506" i="1"/>
  <c r="K506" i="1"/>
  <c r="A507" i="1"/>
  <c r="B507" i="1"/>
  <c r="C507" i="1"/>
  <c r="K507" i="1"/>
  <c r="A508" i="1"/>
  <c r="B508" i="1"/>
  <c r="C508" i="1"/>
  <c r="K508" i="1"/>
  <c r="A509" i="1"/>
  <c r="B509" i="1"/>
  <c r="C509" i="1"/>
  <c r="K509" i="1"/>
  <c r="A510" i="1"/>
  <c r="B510" i="1"/>
  <c r="C510" i="1"/>
  <c r="K510" i="1"/>
  <c r="A511" i="1"/>
  <c r="B511" i="1"/>
  <c r="C511" i="1"/>
  <c r="K511" i="1"/>
  <c r="A512" i="1"/>
  <c r="B512" i="1"/>
  <c r="C512" i="1"/>
  <c r="K512" i="1"/>
  <c r="A513" i="1"/>
  <c r="B513" i="1"/>
  <c r="C513" i="1"/>
  <c r="K513" i="1"/>
  <c r="A514" i="1"/>
  <c r="B514" i="1"/>
  <c r="C514" i="1"/>
  <c r="K514" i="1"/>
  <c r="A515" i="1"/>
  <c r="B515" i="1"/>
  <c r="C515" i="1"/>
  <c r="K515" i="1"/>
  <c r="A516" i="1"/>
  <c r="B516" i="1"/>
  <c r="C516" i="1"/>
  <c r="K516" i="1"/>
  <c r="A517" i="1"/>
  <c r="B517" i="1"/>
  <c r="C517" i="1"/>
  <c r="K517" i="1"/>
  <c r="A518" i="1"/>
  <c r="B518" i="1"/>
  <c r="C518" i="1"/>
  <c r="K518" i="1"/>
  <c r="A519" i="1"/>
  <c r="B519" i="1"/>
  <c r="C519" i="1"/>
  <c r="K519" i="1"/>
  <c r="A520" i="1"/>
  <c r="B520" i="1"/>
  <c r="C520" i="1"/>
  <c r="K520" i="1"/>
  <c r="A521" i="1"/>
  <c r="B521" i="1"/>
  <c r="C521" i="1"/>
  <c r="K521" i="1"/>
  <c r="A522" i="1"/>
  <c r="B522" i="1"/>
  <c r="C522" i="1"/>
  <c r="K522" i="1"/>
  <c r="A523" i="1"/>
  <c r="B523" i="1"/>
  <c r="C523" i="1"/>
  <c r="K523" i="1"/>
  <c r="A524" i="1"/>
  <c r="B524" i="1"/>
  <c r="C524" i="1"/>
  <c r="K524" i="1"/>
  <c r="A525" i="1"/>
  <c r="B525" i="1"/>
  <c r="C525" i="1"/>
  <c r="K525" i="1"/>
  <c r="A526" i="1"/>
  <c r="B526" i="1"/>
  <c r="C526" i="1"/>
  <c r="K526" i="1"/>
  <c r="A527" i="1"/>
  <c r="B527" i="1"/>
  <c r="C527" i="1"/>
  <c r="K527" i="1"/>
  <c r="A528" i="1"/>
  <c r="B528" i="1"/>
  <c r="C528" i="1"/>
  <c r="K528" i="1"/>
  <c r="A529" i="1"/>
  <c r="B529" i="1"/>
  <c r="C529" i="1"/>
  <c r="K529" i="1"/>
  <c r="A530" i="1"/>
  <c r="B530" i="1"/>
  <c r="C530" i="1"/>
  <c r="K530" i="1"/>
  <c r="A531" i="1"/>
  <c r="B531" i="1"/>
  <c r="C531" i="1"/>
  <c r="K531" i="1"/>
  <c r="A532" i="1"/>
  <c r="B532" i="1"/>
  <c r="C532" i="1"/>
  <c r="K532" i="1"/>
  <c r="A533" i="1"/>
  <c r="B533" i="1"/>
  <c r="C533" i="1"/>
  <c r="K533" i="1"/>
  <c r="A534" i="1"/>
  <c r="B534" i="1"/>
  <c r="C534" i="1"/>
  <c r="K534" i="1"/>
  <c r="A535" i="1"/>
  <c r="B535" i="1"/>
  <c r="C535" i="1"/>
  <c r="K535" i="1"/>
  <c r="A536" i="1"/>
  <c r="B536" i="1"/>
  <c r="C536" i="1"/>
  <c r="K536" i="1"/>
  <c r="A537" i="1"/>
  <c r="B537" i="1"/>
  <c r="C537" i="1"/>
  <c r="K537" i="1"/>
  <c r="A538" i="1"/>
  <c r="B538" i="1"/>
  <c r="C538" i="1"/>
  <c r="K538" i="1"/>
  <c r="A539" i="1"/>
  <c r="B539" i="1"/>
  <c r="C539" i="1"/>
  <c r="K539" i="1"/>
  <c r="A540" i="1"/>
  <c r="B540" i="1"/>
  <c r="C540" i="1"/>
  <c r="K540" i="1"/>
  <c r="A541" i="1"/>
  <c r="B541" i="1"/>
  <c r="C541" i="1"/>
  <c r="K541" i="1"/>
  <c r="A542" i="1"/>
  <c r="B542" i="1"/>
  <c r="C542" i="1"/>
  <c r="K542" i="1"/>
  <c r="A543" i="1"/>
  <c r="B543" i="1"/>
  <c r="C543" i="1"/>
  <c r="K543" i="1"/>
  <c r="A544" i="1"/>
  <c r="B544" i="1"/>
  <c r="C544" i="1"/>
  <c r="A545" i="1"/>
  <c r="B545" i="1"/>
  <c r="C545" i="1"/>
  <c r="K545" i="1"/>
  <c r="A546" i="1"/>
  <c r="B546" i="1"/>
  <c r="C546" i="1"/>
  <c r="K546" i="1"/>
  <c r="A547" i="1"/>
  <c r="B547" i="1"/>
  <c r="C547" i="1"/>
  <c r="A548" i="1"/>
  <c r="B548" i="1"/>
  <c r="C548" i="1"/>
  <c r="A549" i="1"/>
  <c r="B549" i="1"/>
  <c r="C549" i="1"/>
  <c r="A550" i="1"/>
  <c r="B550" i="1"/>
  <c r="C550" i="1"/>
  <c r="K550" i="1"/>
  <c r="A551" i="1"/>
  <c r="B551" i="1"/>
  <c r="C551" i="1"/>
  <c r="K551" i="1"/>
  <c r="A552" i="1"/>
  <c r="B552" i="1"/>
  <c r="C552" i="1"/>
  <c r="K552" i="1"/>
  <c r="A553" i="1"/>
  <c r="B553" i="1"/>
  <c r="C553" i="1"/>
  <c r="K553" i="1"/>
  <c r="A554" i="1"/>
  <c r="B554" i="1"/>
  <c r="C554" i="1"/>
  <c r="K554" i="1"/>
  <c r="A555" i="1"/>
  <c r="B555" i="1"/>
  <c r="C555" i="1"/>
  <c r="K555" i="1"/>
  <c r="A556" i="1"/>
  <c r="B556" i="1"/>
  <c r="C556" i="1"/>
  <c r="K556" i="1"/>
  <c r="A557" i="1"/>
  <c r="B557" i="1"/>
  <c r="C557" i="1"/>
  <c r="K557" i="1"/>
  <c r="A558" i="1"/>
  <c r="B558" i="1"/>
  <c r="C558" i="1"/>
  <c r="K558" i="1"/>
  <c r="A559" i="1"/>
  <c r="B559" i="1"/>
  <c r="C559" i="1"/>
  <c r="K559" i="1"/>
  <c r="A560" i="1"/>
  <c r="B560" i="1"/>
  <c r="C560" i="1"/>
  <c r="K560" i="1"/>
  <c r="A561" i="1"/>
  <c r="B561" i="1"/>
  <c r="C561" i="1"/>
  <c r="K561" i="1"/>
  <c r="A562" i="1"/>
  <c r="B562" i="1"/>
  <c r="C562" i="1"/>
  <c r="K562" i="1"/>
  <c r="A563" i="1"/>
  <c r="B563" i="1"/>
  <c r="C563" i="1"/>
  <c r="K563" i="1"/>
  <c r="A564" i="1"/>
  <c r="B564" i="1"/>
  <c r="C564" i="1"/>
  <c r="K564" i="1"/>
  <c r="A565" i="1"/>
  <c r="B565" i="1"/>
  <c r="C565" i="1"/>
  <c r="K565" i="1"/>
  <c r="A566" i="1"/>
  <c r="B566" i="1"/>
  <c r="C566" i="1"/>
  <c r="K566" i="1"/>
  <c r="A567" i="1"/>
  <c r="B567" i="1"/>
  <c r="C567" i="1"/>
  <c r="K567" i="1"/>
  <c r="A568" i="1"/>
  <c r="B568" i="1"/>
  <c r="C568" i="1"/>
  <c r="K568" i="1"/>
  <c r="A569" i="1"/>
  <c r="B569" i="1"/>
  <c r="C569" i="1"/>
  <c r="K569" i="1"/>
  <c r="A570" i="1"/>
  <c r="B570" i="1"/>
  <c r="C570" i="1"/>
  <c r="K570" i="1"/>
  <c r="A571" i="1"/>
  <c r="B571" i="1"/>
  <c r="C571" i="1"/>
  <c r="K571" i="1"/>
  <c r="A572" i="1"/>
  <c r="B572" i="1"/>
  <c r="C572" i="1"/>
  <c r="K572" i="1"/>
  <c r="A573" i="1"/>
  <c r="B573" i="1"/>
  <c r="C573" i="1"/>
  <c r="K573" i="1"/>
  <c r="A574" i="1"/>
  <c r="B574" i="1"/>
  <c r="C574" i="1"/>
  <c r="K574" i="1"/>
  <c r="A575" i="1"/>
  <c r="B575" i="1"/>
  <c r="C575" i="1"/>
  <c r="K575" i="1"/>
  <c r="A576" i="1"/>
  <c r="B576" i="1"/>
  <c r="C576" i="1"/>
  <c r="K576" i="1"/>
  <c r="A577" i="1"/>
  <c r="B577" i="1"/>
  <c r="C577" i="1"/>
  <c r="K577" i="1"/>
  <c r="A578" i="1"/>
  <c r="B578" i="1"/>
  <c r="C578" i="1"/>
  <c r="K578" i="1"/>
  <c r="A579" i="1"/>
  <c r="B579" i="1"/>
  <c r="C579" i="1"/>
  <c r="K579" i="1"/>
  <c r="A580" i="1"/>
  <c r="B580" i="1"/>
  <c r="C580" i="1"/>
  <c r="K580" i="1"/>
  <c r="A581" i="1"/>
  <c r="B581" i="1"/>
  <c r="C581" i="1"/>
  <c r="K581" i="1"/>
  <c r="A582" i="1"/>
  <c r="B582" i="1"/>
  <c r="C582" i="1"/>
  <c r="K582" i="1"/>
  <c r="A583" i="1"/>
  <c r="B583" i="1"/>
  <c r="C583" i="1"/>
  <c r="K583" i="1"/>
  <c r="A584" i="1"/>
  <c r="B584" i="1"/>
  <c r="C584" i="1"/>
  <c r="K584" i="1"/>
  <c r="A585" i="1"/>
  <c r="B585" i="1"/>
  <c r="C585" i="1"/>
  <c r="K585" i="1"/>
  <c r="A586" i="1"/>
  <c r="B586" i="1"/>
  <c r="C586" i="1"/>
  <c r="A587" i="1"/>
  <c r="B587" i="1"/>
  <c r="C587" i="1"/>
  <c r="K587" i="1"/>
  <c r="A588" i="1"/>
  <c r="B588" i="1"/>
  <c r="C588" i="1"/>
  <c r="K588" i="1"/>
  <c r="A589" i="1"/>
  <c r="B589" i="1"/>
  <c r="C589" i="1"/>
  <c r="K589" i="1"/>
  <c r="A590" i="1"/>
  <c r="B590" i="1"/>
  <c r="C590" i="1"/>
  <c r="K590" i="1"/>
  <c r="A591" i="1"/>
  <c r="B591" i="1"/>
  <c r="C591" i="1"/>
  <c r="K591" i="1"/>
  <c r="A592" i="1"/>
  <c r="B592" i="1"/>
  <c r="C592" i="1"/>
  <c r="K592" i="1"/>
  <c r="A593" i="1"/>
  <c r="B593" i="1"/>
  <c r="C593" i="1"/>
  <c r="K593" i="1"/>
  <c r="A594" i="1"/>
  <c r="B594" i="1"/>
  <c r="C594" i="1"/>
  <c r="K594" i="1"/>
  <c r="A595" i="1"/>
  <c r="B595" i="1"/>
  <c r="C595" i="1"/>
  <c r="K595" i="1"/>
  <c r="A596" i="1"/>
  <c r="B596" i="1"/>
  <c r="C596" i="1"/>
  <c r="K596" i="1"/>
  <c r="A597" i="1"/>
  <c r="B597" i="1"/>
  <c r="C597" i="1"/>
  <c r="K597" i="1"/>
  <c r="A598" i="1"/>
  <c r="B598" i="1"/>
  <c r="C598" i="1"/>
  <c r="K598" i="1"/>
  <c r="A599" i="1"/>
  <c r="B599" i="1"/>
  <c r="C599" i="1"/>
  <c r="K599" i="1"/>
  <c r="A600" i="1"/>
  <c r="B600" i="1"/>
  <c r="C600" i="1"/>
  <c r="K600" i="1"/>
  <c r="A601" i="1"/>
  <c r="B601" i="1"/>
  <c r="C601" i="1"/>
  <c r="K601" i="1"/>
  <c r="A602" i="1"/>
  <c r="B602" i="1"/>
  <c r="C602" i="1"/>
  <c r="K602" i="1"/>
  <c r="A603" i="1"/>
  <c r="B603" i="1"/>
  <c r="C603" i="1"/>
  <c r="K603" i="1"/>
  <c r="A604" i="1"/>
  <c r="B604" i="1"/>
  <c r="C604" i="1"/>
  <c r="K604" i="1"/>
  <c r="A605" i="1"/>
  <c r="B605" i="1"/>
  <c r="C605" i="1"/>
  <c r="K605" i="1"/>
  <c r="A606" i="1"/>
  <c r="B606" i="1"/>
  <c r="C606" i="1"/>
  <c r="K606" i="1"/>
  <c r="A607" i="1"/>
  <c r="B607" i="1"/>
  <c r="C607" i="1"/>
  <c r="K607" i="1"/>
  <c r="A608" i="1"/>
  <c r="B608" i="1"/>
  <c r="C608" i="1"/>
  <c r="K608" i="1"/>
  <c r="A609" i="1"/>
  <c r="B609" i="1"/>
  <c r="C609" i="1"/>
  <c r="K609" i="1"/>
  <c r="A610" i="1"/>
  <c r="B610" i="1"/>
  <c r="C610" i="1"/>
  <c r="K610" i="1"/>
  <c r="A611" i="1"/>
  <c r="B611" i="1"/>
  <c r="C611" i="1"/>
  <c r="K611" i="1"/>
  <c r="A612" i="1"/>
  <c r="B612" i="1"/>
  <c r="C612" i="1"/>
  <c r="K612" i="1"/>
  <c r="A613" i="1"/>
  <c r="B613" i="1"/>
  <c r="C613" i="1"/>
  <c r="K613" i="1"/>
  <c r="A614" i="1"/>
  <c r="B614" i="1"/>
  <c r="C614" i="1"/>
  <c r="K614" i="1"/>
  <c r="A615" i="1"/>
  <c r="B615" i="1"/>
  <c r="C615" i="1"/>
  <c r="K615" i="1"/>
  <c r="A616" i="1"/>
  <c r="B616" i="1"/>
  <c r="C616" i="1"/>
  <c r="K616" i="1"/>
  <c r="A617" i="1"/>
  <c r="B617" i="1"/>
  <c r="C617" i="1"/>
  <c r="K617" i="1"/>
  <c r="A618" i="1"/>
  <c r="B618" i="1"/>
  <c r="C618" i="1"/>
  <c r="A619" i="1"/>
  <c r="B619" i="1"/>
  <c r="C619" i="1"/>
  <c r="A620" i="1"/>
  <c r="B620" i="1"/>
  <c r="C620" i="1"/>
  <c r="A621" i="1"/>
  <c r="B621" i="1"/>
  <c r="C621" i="1"/>
  <c r="K621" i="1"/>
  <c r="A622" i="1"/>
  <c r="B622" i="1"/>
  <c r="C622" i="1"/>
  <c r="K622" i="1"/>
  <c r="A623" i="1"/>
  <c r="B623" i="1"/>
  <c r="C623" i="1"/>
  <c r="K623" i="1"/>
  <c r="A624" i="1"/>
  <c r="B624" i="1"/>
  <c r="C624" i="1"/>
  <c r="K624" i="1"/>
  <c r="A625" i="1"/>
  <c r="B625" i="1"/>
  <c r="C625" i="1"/>
  <c r="K625" i="1"/>
  <c r="A626" i="1"/>
  <c r="B626" i="1"/>
  <c r="C626" i="1"/>
  <c r="K626" i="1"/>
  <c r="A627" i="1"/>
  <c r="B627" i="1"/>
  <c r="C627" i="1"/>
  <c r="K627" i="1"/>
  <c r="A628" i="1"/>
  <c r="B628" i="1"/>
  <c r="C628" i="1"/>
  <c r="K628" i="1"/>
  <c r="A629" i="1"/>
  <c r="B629" i="1"/>
  <c r="C629" i="1"/>
  <c r="K629" i="1"/>
  <c r="A630" i="1"/>
  <c r="B630" i="1"/>
  <c r="C630" i="1"/>
  <c r="K630" i="1"/>
  <c r="A631" i="1"/>
  <c r="B631" i="1"/>
  <c r="C631" i="1"/>
  <c r="K631" i="1"/>
  <c r="A632" i="1"/>
  <c r="B632" i="1"/>
  <c r="C632" i="1"/>
  <c r="K632" i="1"/>
  <c r="A633" i="1"/>
  <c r="B633" i="1"/>
  <c r="C633" i="1"/>
  <c r="K633" i="1"/>
  <c r="A634" i="1"/>
  <c r="B634" i="1"/>
  <c r="C634" i="1"/>
  <c r="K634" i="1"/>
  <c r="A635" i="1"/>
  <c r="B635" i="1"/>
  <c r="C635" i="1"/>
  <c r="K635" i="1"/>
  <c r="A636" i="1"/>
  <c r="B636" i="1"/>
  <c r="C636" i="1"/>
  <c r="K636" i="1"/>
  <c r="A637" i="1"/>
  <c r="B637" i="1"/>
  <c r="C637" i="1"/>
  <c r="K637" i="1"/>
  <c r="A638" i="1"/>
  <c r="B638" i="1"/>
  <c r="C638" i="1"/>
  <c r="K638" i="1"/>
  <c r="A639" i="1"/>
  <c r="B639" i="1"/>
  <c r="C639" i="1"/>
  <c r="K639" i="1"/>
  <c r="A640" i="1"/>
  <c r="B640" i="1"/>
  <c r="C640" i="1"/>
  <c r="K640" i="1"/>
  <c r="A641" i="1"/>
  <c r="B641" i="1"/>
  <c r="C641" i="1"/>
  <c r="K641" i="1"/>
  <c r="A642" i="1"/>
  <c r="B642" i="1"/>
  <c r="C642" i="1"/>
  <c r="K642" i="1"/>
  <c r="A643" i="1"/>
  <c r="B643" i="1"/>
  <c r="C643" i="1"/>
  <c r="K643" i="1"/>
  <c r="A644" i="1"/>
  <c r="B644" i="1"/>
  <c r="C644" i="1"/>
  <c r="K644" i="1"/>
  <c r="A645" i="1"/>
  <c r="B645" i="1"/>
  <c r="C645" i="1"/>
  <c r="K645" i="1"/>
  <c r="A646" i="1"/>
  <c r="B646" i="1"/>
  <c r="C646" i="1"/>
  <c r="K646" i="1"/>
  <c r="A647" i="1"/>
  <c r="B647" i="1"/>
  <c r="C647" i="1"/>
  <c r="K647" i="1"/>
  <c r="A648" i="1"/>
  <c r="B648" i="1"/>
  <c r="C648" i="1"/>
  <c r="K648" i="1"/>
  <c r="A649" i="1"/>
  <c r="B649" i="1"/>
  <c r="C649" i="1"/>
  <c r="K649" i="1"/>
  <c r="A650" i="1"/>
  <c r="B650" i="1"/>
  <c r="C650" i="1"/>
  <c r="K650" i="1"/>
  <c r="A651" i="1"/>
  <c r="B651" i="1"/>
  <c r="C651" i="1"/>
  <c r="K651" i="1"/>
  <c r="A652" i="1"/>
  <c r="B652" i="1"/>
  <c r="C652" i="1"/>
  <c r="K652" i="1"/>
  <c r="A653" i="1"/>
  <c r="B653" i="1"/>
  <c r="C653" i="1"/>
  <c r="K653" i="1"/>
  <c r="A654" i="1"/>
  <c r="B654" i="1"/>
  <c r="C654" i="1"/>
  <c r="K654" i="1"/>
  <c r="A655" i="1"/>
  <c r="B655" i="1"/>
  <c r="C655" i="1"/>
  <c r="K655" i="1"/>
  <c r="A656" i="1"/>
  <c r="B656" i="1"/>
  <c r="C656" i="1"/>
  <c r="K656" i="1"/>
  <c r="A657" i="1"/>
  <c r="B657" i="1"/>
  <c r="C657" i="1"/>
  <c r="K657" i="1"/>
  <c r="A658" i="1"/>
  <c r="B658" i="1"/>
  <c r="C658" i="1"/>
  <c r="K658" i="1"/>
  <c r="A659" i="1"/>
  <c r="B659" i="1"/>
  <c r="C659" i="1"/>
  <c r="K659" i="1"/>
  <c r="A660" i="1"/>
  <c r="B660" i="1"/>
  <c r="C660" i="1"/>
  <c r="K660" i="1"/>
  <c r="A661" i="1"/>
  <c r="B661" i="1"/>
  <c r="C661" i="1"/>
  <c r="K661" i="1"/>
  <c r="A662" i="1"/>
  <c r="B662" i="1"/>
  <c r="C662" i="1"/>
  <c r="K662" i="1"/>
  <c r="A663" i="1"/>
  <c r="B663" i="1"/>
  <c r="C663" i="1"/>
  <c r="K663" i="1"/>
  <c r="A664" i="1"/>
  <c r="B664" i="1"/>
  <c r="C664" i="1"/>
  <c r="K664" i="1"/>
  <c r="A665" i="1"/>
  <c r="B665" i="1"/>
  <c r="C665" i="1"/>
  <c r="K665" i="1"/>
  <c r="A666" i="1"/>
  <c r="B666" i="1"/>
  <c r="C666" i="1"/>
  <c r="K666" i="1"/>
  <c r="A667" i="1"/>
  <c r="B667" i="1"/>
  <c r="C667" i="1"/>
  <c r="K667" i="1"/>
  <c r="A668" i="1"/>
  <c r="B668" i="1"/>
  <c r="C668" i="1"/>
  <c r="K668" i="1"/>
  <c r="A669" i="1"/>
  <c r="B669" i="1"/>
  <c r="C669" i="1"/>
  <c r="K669" i="1"/>
  <c r="A670" i="1"/>
  <c r="B670" i="1"/>
  <c r="C670" i="1"/>
  <c r="K670" i="1"/>
  <c r="A671" i="1"/>
  <c r="B671" i="1"/>
  <c r="C671" i="1"/>
  <c r="K671" i="1"/>
  <c r="A672" i="1"/>
  <c r="B672" i="1"/>
  <c r="C672" i="1"/>
  <c r="K672" i="1"/>
  <c r="A673" i="1"/>
  <c r="B673" i="1"/>
  <c r="C673" i="1"/>
  <c r="K673" i="1"/>
  <c r="A674" i="1"/>
  <c r="B674" i="1"/>
  <c r="C674" i="1"/>
  <c r="K674" i="1"/>
  <c r="A675" i="1"/>
  <c r="B675" i="1"/>
  <c r="C675" i="1"/>
  <c r="K675" i="1"/>
  <c r="A676" i="1"/>
  <c r="B676" i="1"/>
  <c r="C676" i="1"/>
  <c r="K676" i="1"/>
  <c r="A677" i="1"/>
  <c r="B677" i="1"/>
  <c r="C677" i="1"/>
  <c r="K677" i="1"/>
  <c r="A678" i="1"/>
  <c r="B678" i="1"/>
  <c r="C678" i="1"/>
  <c r="K678" i="1"/>
  <c r="A679" i="1"/>
  <c r="B679" i="1"/>
  <c r="C679" i="1"/>
  <c r="K679" i="1"/>
  <c r="A680" i="1"/>
  <c r="B680" i="1"/>
  <c r="C680" i="1"/>
  <c r="K680" i="1"/>
  <c r="A681" i="1"/>
  <c r="B681" i="1"/>
  <c r="C681" i="1"/>
  <c r="K681" i="1"/>
  <c r="A682" i="1"/>
  <c r="B682" i="1"/>
  <c r="C682" i="1"/>
  <c r="K682" i="1"/>
  <c r="A683" i="1"/>
  <c r="B683" i="1"/>
  <c r="C683" i="1"/>
  <c r="K683" i="1"/>
  <c r="A684" i="1"/>
  <c r="B684" i="1"/>
  <c r="C684" i="1"/>
  <c r="K684" i="1"/>
  <c r="A685" i="1"/>
  <c r="B685" i="1"/>
  <c r="C685" i="1"/>
  <c r="K685" i="1"/>
  <c r="A686" i="1"/>
  <c r="B686" i="1"/>
  <c r="C686" i="1"/>
  <c r="K686" i="1"/>
  <c r="A687" i="1"/>
  <c r="B687" i="1"/>
  <c r="C687" i="1"/>
  <c r="K687" i="1"/>
  <c r="A688" i="1"/>
  <c r="B688" i="1"/>
  <c r="C688" i="1"/>
  <c r="K688" i="1"/>
  <c r="A689" i="1"/>
  <c r="B689" i="1"/>
  <c r="C689" i="1"/>
  <c r="K689" i="1"/>
  <c r="A690" i="1"/>
  <c r="B690" i="1"/>
  <c r="C690" i="1"/>
  <c r="K690" i="1"/>
  <c r="A691" i="1"/>
  <c r="B691" i="1"/>
  <c r="C691" i="1"/>
  <c r="K691" i="1"/>
  <c r="A692" i="1"/>
  <c r="B692" i="1"/>
  <c r="C692" i="1"/>
  <c r="K692" i="1"/>
  <c r="A693" i="1"/>
  <c r="K693" i="1"/>
  <c r="A694" i="1"/>
  <c r="K694" i="1"/>
  <c r="A695" i="1"/>
  <c r="K695" i="1"/>
  <c r="A696" i="1"/>
  <c r="K696" i="1"/>
  <c r="A697" i="1"/>
  <c r="K697" i="1"/>
  <c r="A698" i="1"/>
  <c r="B698" i="1"/>
  <c r="C698" i="1"/>
  <c r="K698" i="1"/>
  <c r="A699" i="1"/>
  <c r="B699" i="1"/>
  <c r="C699" i="1"/>
  <c r="K699" i="1"/>
  <c r="A700" i="1"/>
  <c r="B700" i="1"/>
  <c r="C700" i="1"/>
  <c r="K700" i="1"/>
  <c r="A701" i="1"/>
  <c r="B701" i="1"/>
  <c r="C701" i="1"/>
  <c r="A702" i="1"/>
  <c r="B702" i="1"/>
  <c r="C702" i="1"/>
  <c r="K702" i="1"/>
  <c r="A703" i="1"/>
  <c r="B703" i="1"/>
  <c r="C703" i="1"/>
  <c r="K703" i="1"/>
  <c r="A704" i="1"/>
  <c r="B704" i="1"/>
  <c r="C704" i="1"/>
  <c r="K704" i="1"/>
  <c r="A705" i="1"/>
  <c r="B705" i="1"/>
  <c r="C705" i="1"/>
  <c r="K705" i="1"/>
  <c r="A706" i="1"/>
  <c r="B706" i="1"/>
  <c r="C706" i="1"/>
  <c r="K706" i="1"/>
  <c r="A707" i="1"/>
  <c r="B707" i="1"/>
  <c r="C707" i="1"/>
  <c r="K707" i="1"/>
  <c r="A708" i="1"/>
  <c r="B708" i="1"/>
  <c r="C708" i="1"/>
  <c r="K708" i="1"/>
  <c r="A709" i="1"/>
  <c r="B709" i="1"/>
  <c r="C709" i="1"/>
  <c r="K709" i="1"/>
  <c r="A710" i="1"/>
  <c r="B710" i="1"/>
  <c r="C710" i="1"/>
  <c r="K710" i="1"/>
  <c r="A711" i="1"/>
  <c r="B711" i="1"/>
  <c r="C711" i="1"/>
  <c r="A712" i="1"/>
  <c r="B712" i="1"/>
  <c r="C712" i="1"/>
  <c r="A713" i="1"/>
  <c r="B713" i="1"/>
  <c r="C713" i="1"/>
  <c r="A714" i="1"/>
  <c r="B714" i="1"/>
  <c r="C714" i="1"/>
  <c r="K714" i="1"/>
  <c r="A715" i="1"/>
  <c r="B715" i="1"/>
  <c r="C715" i="1"/>
  <c r="K715" i="1"/>
  <c r="A716" i="1"/>
  <c r="B716" i="1"/>
  <c r="C716" i="1"/>
  <c r="K716" i="1"/>
  <c r="A717" i="1"/>
  <c r="B717" i="1"/>
  <c r="C717" i="1"/>
  <c r="K717" i="1"/>
  <c r="A718" i="1"/>
  <c r="B718" i="1"/>
  <c r="C718" i="1"/>
  <c r="K718" i="1"/>
  <c r="A719" i="1"/>
  <c r="B719" i="1"/>
  <c r="C719" i="1"/>
  <c r="K719" i="1"/>
  <c r="A720" i="1"/>
  <c r="B720" i="1"/>
  <c r="C720" i="1"/>
  <c r="K720" i="1"/>
  <c r="A721" i="1"/>
  <c r="B721" i="1"/>
  <c r="C721" i="1"/>
  <c r="K721" i="1"/>
  <c r="A722" i="1"/>
  <c r="B722" i="1"/>
  <c r="C722" i="1"/>
  <c r="K722" i="1"/>
  <c r="A723" i="1"/>
  <c r="B723" i="1"/>
  <c r="C723" i="1"/>
  <c r="K723" i="1"/>
  <c r="A724" i="1"/>
  <c r="B724" i="1"/>
  <c r="C724" i="1"/>
  <c r="K724" i="1"/>
  <c r="A725" i="1"/>
  <c r="B725" i="1"/>
  <c r="C725" i="1"/>
  <c r="K725" i="1"/>
  <c r="A726" i="1"/>
  <c r="B726" i="1"/>
  <c r="C726" i="1"/>
  <c r="K726" i="1"/>
  <c r="A727" i="1"/>
  <c r="B727" i="1"/>
  <c r="C727" i="1"/>
  <c r="K727" i="1"/>
  <c r="A728" i="1"/>
  <c r="B728" i="1"/>
  <c r="C728" i="1"/>
  <c r="K728" i="1"/>
  <c r="A729" i="1"/>
  <c r="B729" i="1"/>
  <c r="C729" i="1"/>
  <c r="K729" i="1"/>
  <c r="A730" i="1"/>
  <c r="B730" i="1"/>
  <c r="C730" i="1"/>
  <c r="K730" i="1"/>
  <c r="A731" i="1"/>
  <c r="B731" i="1"/>
  <c r="C731" i="1"/>
  <c r="K731" i="1"/>
  <c r="A732" i="1"/>
  <c r="B732" i="1"/>
  <c r="C732" i="1"/>
  <c r="K732" i="1"/>
  <c r="A733" i="1"/>
  <c r="B733" i="1"/>
  <c r="C733" i="1"/>
  <c r="K733" i="1"/>
  <c r="A734" i="1"/>
  <c r="B734" i="1"/>
  <c r="C734" i="1"/>
  <c r="K734" i="1"/>
  <c r="A735" i="1"/>
  <c r="B735" i="1"/>
  <c r="C735" i="1"/>
  <c r="K735" i="1"/>
  <c r="A736" i="1"/>
  <c r="B736" i="1"/>
  <c r="C736" i="1"/>
  <c r="K736" i="1"/>
  <c r="A737" i="1"/>
  <c r="B737" i="1"/>
  <c r="C737" i="1"/>
  <c r="K737" i="1"/>
  <c r="A738" i="1"/>
  <c r="B738" i="1"/>
  <c r="C738" i="1"/>
  <c r="K738" i="1"/>
  <c r="A739" i="1"/>
  <c r="B739" i="1"/>
  <c r="C739" i="1"/>
  <c r="K739" i="1"/>
  <c r="A740" i="1"/>
  <c r="B740" i="1"/>
  <c r="C740" i="1"/>
  <c r="K740" i="1"/>
  <c r="A741" i="1"/>
  <c r="B741" i="1"/>
  <c r="C741" i="1"/>
  <c r="K741" i="1"/>
  <c r="A742" i="1"/>
  <c r="B742" i="1"/>
  <c r="C742" i="1"/>
  <c r="K742" i="1"/>
  <c r="A743" i="1"/>
  <c r="B743" i="1"/>
  <c r="C743" i="1"/>
  <c r="K743" i="1"/>
  <c r="A744" i="1"/>
  <c r="B744" i="1"/>
  <c r="C744" i="1"/>
  <c r="K744" i="1"/>
  <c r="A745" i="1"/>
  <c r="B745" i="1"/>
  <c r="C745" i="1"/>
  <c r="A746" i="1"/>
  <c r="B746" i="1"/>
  <c r="C746" i="1"/>
  <c r="A747" i="1"/>
  <c r="B747" i="1"/>
  <c r="C747" i="1"/>
  <c r="K747" i="1"/>
  <c r="A748" i="1"/>
  <c r="B748" i="1"/>
  <c r="C748" i="1"/>
  <c r="K748" i="1"/>
  <c r="A749" i="1"/>
  <c r="B749" i="1"/>
  <c r="C749" i="1"/>
  <c r="K749" i="1"/>
  <c r="A750" i="1"/>
  <c r="B750" i="1"/>
  <c r="C750" i="1"/>
  <c r="K750" i="1"/>
  <c r="A751" i="1"/>
  <c r="B751" i="1"/>
  <c r="C751" i="1"/>
  <c r="K751" i="1"/>
  <c r="A752" i="1"/>
  <c r="B752" i="1"/>
  <c r="C752" i="1"/>
  <c r="K752" i="1"/>
  <c r="A753" i="1"/>
  <c r="B753" i="1"/>
  <c r="C753" i="1"/>
  <c r="K753" i="1"/>
  <c r="A754" i="1"/>
  <c r="B754" i="1"/>
  <c r="C754" i="1"/>
  <c r="K754" i="1"/>
  <c r="A755" i="1"/>
  <c r="B755" i="1"/>
  <c r="C755" i="1"/>
  <c r="K755" i="1"/>
  <c r="A756" i="1"/>
  <c r="B756" i="1"/>
  <c r="C756" i="1"/>
  <c r="K756" i="1"/>
  <c r="A757" i="1"/>
  <c r="B757" i="1"/>
  <c r="C757" i="1"/>
  <c r="K757" i="1"/>
  <c r="A758" i="1"/>
  <c r="B758" i="1"/>
  <c r="C758" i="1"/>
  <c r="K758" i="1"/>
  <c r="A759" i="1"/>
  <c r="B759" i="1"/>
  <c r="C759" i="1"/>
  <c r="K759" i="1"/>
  <c r="A760" i="1"/>
  <c r="B760" i="1"/>
  <c r="C760" i="1"/>
  <c r="K760" i="1"/>
  <c r="A761" i="1"/>
  <c r="B761" i="1"/>
  <c r="C761" i="1"/>
  <c r="K761" i="1"/>
  <c r="A762" i="1"/>
  <c r="B762" i="1"/>
  <c r="C762" i="1"/>
  <c r="K762" i="1"/>
  <c r="A763" i="1"/>
  <c r="B763" i="1"/>
  <c r="C763" i="1"/>
  <c r="K763" i="1"/>
  <c r="A764" i="1"/>
  <c r="B764" i="1"/>
  <c r="C764" i="1"/>
  <c r="K764" i="1"/>
  <c r="A765" i="1"/>
  <c r="B765" i="1"/>
  <c r="C765" i="1"/>
  <c r="A766" i="1"/>
  <c r="B766" i="1"/>
  <c r="C766" i="1"/>
  <c r="A767" i="1"/>
  <c r="B767" i="1"/>
  <c r="C767" i="1"/>
  <c r="A768" i="1"/>
  <c r="B768" i="1"/>
  <c r="C768" i="1"/>
  <c r="K768" i="1"/>
  <c r="A769" i="1"/>
  <c r="B769" i="1"/>
  <c r="C769" i="1"/>
  <c r="K769" i="1"/>
  <c r="A770" i="1"/>
  <c r="B770" i="1"/>
  <c r="C770" i="1"/>
  <c r="K770" i="1"/>
  <c r="A771" i="1"/>
  <c r="B771" i="1"/>
  <c r="C771" i="1"/>
  <c r="K771" i="1"/>
  <c r="A772" i="1"/>
  <c r="B772" i="1"/>
  <c r="C772" i="1"/>
  <c r="K772" i="1"/>
  <c r="A773" i="1"/>
  <c r="B773" i="1"/>
  <c r="C773" i="1"/>
  <c r="K773" i="1"/>
  <c r="A774" i="1"/>
  <c r="B774" i="1"/>
  <c r="C774" i="1"/>
  <c r="K774" i="1"/>
  <c r="A775" i="1"/>
  <c r="B775" i="1"/>
  <c r="C775" i="1"/>
  <c r="K775" i="1"/>
  <c r="A776" i="1"/>
  <c r="B776" i="1"/>
  <c r="C776" i="1"/>
  <c r="K776" i="1"/>
  <c r="A777" i="1"/>
  <c r="B777" i="1"/>
  <c r="C777" i="1"/>
  <c r="K777" i="1"/>
  <c r="A778" i="1"/>
  <c r="B778" i="1"/>
  <c r="C778" i="1"/>
  <c r="K778" i="1"/>
  <c r="A779" i="1"/>
  <c r="B779" i="1"/>
  <c r="C779" i="1"/>
  <c r="K779" i="1"/>
  <c r="A780" i="1"/>
  <c r="A781" i="1"/>
  <c r="A782" i="1"/>
  <c r="A783" i="1"/>
  <c r="A784" i="1"/>
  <c r="K784" i="1"/>
  <c r="A785" i="1"/>
  <c r="K785" i="1"/>
  <c r="A786" i="1"/>
  <c r="K786" i="1"/>
  <c r="A787" i="1"/>
  <c r="K787" i="1"/>
  <c r="A788" i="1"/>
  <c r="K788" i="1"/>
  <c r="A789" i="1"/>
  <c r="K789" i="1"/>
  <c r="A790" i="1"/>
  <c r="K790" i="1"/>
  <c r="A791" i="1"/>
  <c r="B791" i="1"/>
  <c r="C791" i="1"/>
  <c r="K791" i="1"/>
  <c r="A792" i="1"/>
  <c r="B792" i="1"/>
  <c r="C792" i="1"/>
  <c r="K792" i="1"/>
  <c r="A793" i="1"/>
  <c r="B793" i="1"/>
  <c r="C793" i="1"/>
  <c r="K793" i="1"/>
  <c r="A794" i="1"/>
  <c r="B794" i="1"/>
  <c r="C794" i="1"/>
  <c r="K794" i="1"/>
  <c r="A795" i="1"/>
  <c r="B795" i="1"/>
  <c r="C795" i="1"/>
  <c r="K795" i="1"/>
  <c r="A796" i="1"/>
  <c r="B796" i="1"/>
  <c r="C796" i="1"/>
  <c r="K796" i="1"/>
  <c r="A797" i="1"/>
  <c r="B797" i="1"/>
  <c r="C797" i="1"/>
  <c r="K797" i="1"/>
  <c r="A798" i="1"/>
  <c r="B798" i="1"/>
  <c r="C798" i="1"/>
  <c r="K798" i="1"/>
  <c r="A799" i="1"/>
  <c r="B799" i="1"/>
  <c r="C799" i="1"/>
  <c r="K799" i="1"/>
  <c r="A800" i="1"/>
  <c r="B800" i="1"/>
  <c r="C800" i="1"/>
  <c r="K800" i="1"/>
  <c r="A801" i="1"/>
  <c r="B801" i="1"/>
  <c r="C801" i="1"/>
  <c r="K801" i="1"/>
  <c r="A802" i="1"/>
  <c r="B802" i="1"/>
  <c r="C802" i="1"/>
  <c r="K802" i="1"/>
  <c r="A803" i="1"/>
  <c r="B803" i="1"/>
  <c r="C803" i="1"/>
  <c r="K803" i="1"/>
  <c r="A804" i="1"/>
  <c r="B804" i="1"/>
  <c r="C804" i="1"/>
  <c r="K804" i="1"/>
  <c r="A805" i="1"/>
  <c r="B805" i="1"/>
  <c r="C805" i="1"/>
  <c r="K805" i="1"/>
  <c r="A806" i="1"/>
  <c r="B806" i="1"/>
  <c r="C806" i="1"/>
  <c r="A807" i="1"/>
  <c r="B807" i="1"/>
  <c r="C807" i="1"/>
  <c r="A808" i="1"/>
  <c r="B808" i="1"/>
  <c r="C808" i="1"/>
  <c r="K808" i="1"/>
  <c r="A809" i="1"/>
  <c r="B809" i="1"/>
  <c r="C809" i="1"/>
  <c r="K809" i="1"/>
  <c r="A810" i="1"/>
  <c r="B810" i="1"/>
  <c r="C810" i="1"/>
  <c r="K810" i="1"/>
  <c r="A811" i="1"/>
  <c r="B811" i="1"/>
  <c r="C811" i="1"/>
  <c r="K811" i="1"/>
  <c r="A812" i="1"/>
  <c r="B812" i="1"/>
  <c r="C812" i="1"/>
  <c r="K812" i="1"/>
  <c r="A813" i="1"/>
  <c r="B813" i="1"/>
  <c r="C813" i="1"/>
  <c r="K813" i="1"/>
  <c r="A814" i="1"/>
  <c r="B814" i="1"/>
  <c r="C814" i="1"/>
  <c r="K814" i="1"/>
  <c r="A815" i="1"/>
  <c r="B815" i="1"/>
  <c r="C815" i="1"/>
  <c r="K815" i="1"/>
  <c r="A816" i="1"/>
  <c r="B816" i="1"/>
  <c r="C816" i="1"/>
  <c r="K816" i="1"/>
  <c r="A817" i="1"/>
  <c r="B817" i="1"/>
  <c r="C817" i="1"/>
  <c r="K817" i="1"/>
  <c r="A818" i="1"/>
  <c r="B818" i="1"/>
  <c r="C818" i="1"/>
  <c r="K818" i="1"/>
  <c r="A819" i="1"/>
  <c r="B819" i="1"/>
  <c r="C819" i="1"/>
  <c r="K819" i="1"/>
  <c r="A820" i="1"/>
  <c r="B820" i="1"/>
  <c r="C820" i="1"/>
  <c r="K820" i="1"/>
  <c r="A821" i="1"/>
  <c r="B821" i="1"/>
  <c r="C821" i="1"/>
  <c r="K821" i="1"/>
  <c r="A822" i="1"/>
  <c r="B822" i="1"/>
  <c r="C822" i="1"/>
  <c r="K822" i="1"/>
  <c r="A823" i="1"/>
  <c r="B823" i="1"/>
  <c r="C823" i="1"/>
  <c r="K823" i="1"/>
  <c r="A824" i="1"/>
  <c r="B824" i="1"/>
  <c r="C824" i="1"/>
  <c r="K824" i="1"/>
  <c r="A825" i="1"/>
  <c r="B825" i="1"/>
  <c r="C825" i="1"/>
  <c r="K825" i="1"/>
  <c r="A826" i="1"/>
  <c r="B826" i="1"/>
  <c r="C826" i="1"/>
  <c r="K826" i="1"/>
  <c r="A827" i="1"/>
  <c r="B827" i="1"/>
  <c r="C827" i="1"/>
  <c r="K827" i="1"/>
  <c r="A828" i="1"/>
  <c r="B828" i="1"/>
  <c r="C828" i="1"/>
  <c r="K828" i="1"/>
  <c r="A829" i="1"/>
  <c r="B829" i="1"/>
  <c r="C829" i="1"/>
  <c r="K829" i="1"/>
  <c r="A830" i="1"/>
  <c r="B830" i="1"/>
  <c r="C830" i="1"/>
  <c r="K830" i="1"/>
  <c r="A831" i="1"/>
  <c r="B831" i="1"/>
  <c r="C831" i="1"/>
  <c r="K831" i="1"/>
  <c r="A832" i="1"/>
  <c r="B832" i="1"/>
  <c r="C832" i="1"/>
  <c r="K832" i="1"/>
  <c r="A833" i="1"/>
  <c r="B833" i="1"/>
  <c r="C833" i="1"/>
  <c r="K833" i="1"/>
  <c r="A834" i="1"/>
  <c r="B834" i="1"/>
  <c r="C834" i="1"/>
  <c r="K834" i="1"/>
  <c r="A835" i="1"/>
  <c r="B835" i="1"/>
  <c r="C835" i="1"/>
  <c r="K835" i="1"/>
  <c r="A836" i="1"/>
  <c r="B836" i="1"/>
  <c r="C836" i="1"/>
  <c r="K836" i="1"/>
  <c r="A837" i="1"/>
  <c r="B837" i="1"/>
  <c r="C837" i="1"/>
  <c r="K837" i="1"/>
  <c r="A838" i="1"/>
  <c r="B838" i="1"/>
  <c r="C838" i="1"/>
  <c r="K838" i="1"/>
  <c r="A839" i="1"/>
  <c r="B839" i="1"/>
  <c r="C839" i="1"/>
  <c r="K839" i="1"/>
  <c r="A840" i="1"/>
  <c r="B840" i="1"/>
  <c r="C840" i="1"/>
  <c r="K840" i="1"/>
  <c r="A841" i="1"/>
  <c r="B841" i="1"/>
  <c r="C841" i="1"/>
  <c r="K841" i="1"/>
  <c r="A842" i="1"/>
  <c r="B842" i="1"/>
  <c r="C842" i="1"/>
  <c r="K842" i="1"/>
  <c r="A843" i="1"/>
  <c r="B843" i="1"/>
  <c r="C843" i="1"/>
  <c r="K843" i="1"/>
  <c r="A844" i="1"/>
  <c r="B844" i="1"/>
  <c r="C844" i="1"/>
  <c r="K844" i="1"/>
  <c r="A845" i="1"/>
  <c r="B845" i="1"/>
  <c r="C845" i="1"/>
  <c r="K845" i="1"/>
  <c r="A846" i="1"/>
  <c r="B846" i="1"/>
  <c r="C846" i="1"/>
  <c r="K846" i="1"/>
  <c r="A847" i="1"/>
  <c r="B847" i="1"/>
  <c r="C847" i="1"/>
  <c r="K847" i="1"/>
  <c r="A848" i="1"/>
  <c r="B848" i="1"/>
  <c r="C848" i="1"/>
  <c r="K848" i="1"/>
  <c r="A849" i="1"/>
  <c r="B849" i="1"/>
  <c r="C849" i="1"/>
  <c r="K849" i="1"/>
  <c r="A850" i="1"/>
  <c r="B850" i="1"/>
  <c r="C850" i="1"/>
  <c r="K850" i="1"/>
  <c r="A851" i="1"/>
  <c r="B851" i="1"/>
  <c r="C851" i="1"/>
  <c r="K851" i="1"/>
  <c r="A852" i="1"/>
  <c r="B852" i="1"/>
  <c r="C852" i="1"/>
  <c r="K852" i="1"/>
  <c r="A853" i="1"/>
  <c r="B853" i="1"/>
  <c r="C853" i="1"/>
  <c r="A854" i="1"/>
  <c r="B854" i="1"/>
  <c r="C854" i="1"/>
  <c r="A855" i="1"/>
  <c r="B855" i="1"/>
  <c r="C855" i="1"/>
  <c r="K855" i="1"/>
  <c r="A856" i="1"/>
  <c r="B856" i="1"/>
  <c r="C856" i="1"/>
  <c r="K856" i="1"/>
  <c r="A857" i="1"/>
  <c r="B857" i="1"/>
  <c r="C857" i="1"/>
  <c r="K857" i="1"/>
  <c r="A858" i="1"/>
  <c r="B858" i="1"/>
  <c r="C858" i="1"/>
  <c r="K858" i="1"/>
  <c r="A859" i="1"/>
  <c r="B859" i="1"/>
  <c r="C859" i="1"/>
  <c r="K859" i="1"/>
  <c r="A860" i="1"/>
  <c r="B860" i="1"/>
  <c r="C860" i="1"/>
  <c r="K860" i="1"/>
  <c r="A861" i="1"/>
  <c r="B861" i="1"/>
  <c r="C861" i="1"/>
  <c r="K861" i="1"/>
  <c r="A862" i="1"/>
  <c r="B862" i="1"/>
  <c r="C862" i="1"/>
  <c r="K862" i="1"/>
  <c r="A863" i="1"/>
  <c r="B863" i="1"/>
  <c r="C863" i="1"/>
  <c r="K863" i="1"/>
  <c r="A864" i="1"/>
  <c r="B864" i="1"/>
  <c r="C864" i="1"/>
  <c r="K864" i="1"/>
  <c r="A865" i="1"/>
  <c r="B865" i="1"/>
  <c r="C865" i="1"/>
  <c r="K865" i="1"/>
  <c r="A866" i="1"/>
  <c r="B866" i="1"/>
  <c r="C866" i="1"/>
  <c r="K866" i="1"/>
  <c r="A867" i="1"/>
  <c r="B867" i="1"/>
  <c r="C867" i="1"/>
  <c r="K867" i="1"/>
  <c r="A868" i="1"/>
  <c r="B868" i="1"/>
  <c r="C868" i="1"/>
  <c r="K868" i="1"/>
  <c r="A869" i="1"/>
  <c r="B869" i="1"/>
  <c r="C869" i="1"/>
  <c r="K869" i="1"/>
  <c r="A870" i="1"/>
  <c r="B870" i="1"/>
  <c r="C870" i="1"/>
  <c r="K870" i="1"/>
  <c r="A871" i="1"/>
  <c r="B871" i="1"/>
  <c r="C871" i="1"/>
  <c r="K871" i="1"/>
  <c r="A872" i="1"/>
  <c r="B872" i="1"/>
  <c r="C872" i="1"/>
  <c r="K872" i="1"/>
  <c r="A873" i="1"/>
  <c r="B873" i="1"/>
  <c r="C873" i="1"/>
  <c r="K873" i="1"/>
  <c r="A874" i="1"/>
  <c r="B874" i="1"/>
  <c r="C874" i="1"/>
  <c r="K874" i="1"/>
  <c r="A875" i="1"/>
  <c r="B875" i="1"/>
  <c r="C875" i="1"/>
  <c r="K875" i="1"/>
  <c r="A876" i="1"/>
  <c r="B876" i="1"/>
  <c r="C876" i="1"/>
  <c r="K876" i="1"/>
  <c r="A877" i="1"/>
  <c r="B877" i="1"/>
  <c r="C877" i="1"/>
  <c r="K877" i="1"/>
  <c r="A878" i="1"/>
  <c r="B878" i="1"/>
  <c r="C878" i="1"/>
  <c r="K878" i="1"/>
  <c r="A879" i="1"/>
  <c r="B879" i="1"/>
  <c r="C879" i="1"/>
  <c r="K879" i="1"/>
  <c r="A880" i="1"/>
  <c r="B880" i="1"/>
  <c r="C880" i="1"/>
  <c r="K880" i="1"/>
  <c r="A881" i="1"/>
  <c r="B881" i="1"/>
  <c r="C881" i="1"/>
  <c r="K881" i="1"/>
  <c r="A882" i="1"/>
  <c r="B882" i="1"/>
  <c r="C882" i="1"/>
  <c r="K882" i="1"/>
  <c r="A883" i="1"/>
  <c r="B883" i="1"/>
  <c r="C883" i="1"/>
  <c r="K883" i="1"/>
  <c r="A884" i="1"/>
  <c r="B884" i="1"/>
  <c r="C884" i="1"/>
  <c r="K884" i="1"/>
  <c r="A885" i="1"/>
  <c r="B885" i="1"/>
  <c r="C885" i="1"/>
  <c r="K885" i="1"/>
  <c r="A886" i="1"/>
  <c r="B886" i="1"/>
  <c r="C886" i="1"/>
  <c r="K886" i="1"/>
  <c r="A887" i="1"/>
  <c r="B887" i="1"/>
  <c r="C887" i="1"/>
  <c r="K887" i="1"/>
  <c r="A888" i="1"/>
  <c r="B888" i="1"/>
  <c r="C888" i="1"/>
  <c r="K888" i="1"/>
  <c r="A889" i="1"/>
  <c r="B889" i="1"/>
  <c r="C889" i="1"/>
  <c r="K889" i="1"/>
  <c r="A890" i="1"/>
  <c r="B890" i="1"/>
  <c r="C890" i="1"/>
  <c r="K890" i="1"/>
  <c r="A891" i="1"/>
  <c r="B891" i="1"/>
  <c r="C891" i="1"/>
  <c r="K891" i="1"/>
  <c r="A892" i="1"/>
  <c r="B892" i="1"/>
  <c r="C892" i="1"/>
  <c r="K892" i="1"/>
  <c r="A893" i="1"/>
  <c r="B893" i="1"/>
  <c r="C893" i="1"/>
  <c r="K893" i="1"/>
  <c r="A894" i="1"/>
  <c r="B894" i="1"/>
  <c r="C894" i="1"/>
  <c r="K894" i="1"/>
  <c r="A895" i="1"/>
  <c r="B895" i="1"/>
  <c r="C895" i="1"/>
  <c r="K895" i="1"/>
  <c r="A896" i="1"/>
  <c r="B896" i="1"/>
  <c r="C896" i="1"/>
  <c r="K896" i="1"/>
  <c r="A897" i="1"/>
  <c r="B897" i="1"/>
  <c r="C897" i="1"/>
  <c r="K897" i="1"/>
  <c r="A898" i="1"/>
  <c r="B898" i="1"/>
  <c r="C898" i="1"/>
  <c r="A899" i="1"/>
  <c r="B899" i="1"/>
  <c r="C899" i="1"/>
  <c r="A900" i="1"/>
  <c r="B900" i="1"/>
  <c r="C900" i="1"/>
  <c r="K900" i="1"/>
  <c r="A901" i="1"/>
  <c r="B901" i="1"/>
  <c r="C901" i="1"/>
  <c r="K901" i="1"/>
  <c r="A902" i="1"/>
  <c r="B902" i="1"/>
  <c r="C902" i="1"/>
  <c r="K902" i="1"/>
  <c r="A903" i="1"/>
  <c r="B903" i="1"/>
  <c r="C903" i="1"/>
  <c r="K903" i="1"/>
  <c r="A904" i="1"/>
  <c r="B904" i="1"/>
  <c r="C904" i="1"/>
  <c r="K904" i="1"/>
  <c r="A905" i="1"/>
  <c r="B905" i="1"/>
  <c r="C905" i="1"/>
  <c r="K905" i="1"/>
  <c r="A906" i="1"/>
  <c r="B906" i="1"/>
  <c r="C906" i="1"/>
  <c r="K906" i="1"/>
  <c r="A907" i="1"/>
  <c r="B907" i="1"/>
  <c r="C907" i="1"/>
  <c r="K907" i="1"/>
  <c r="A908" i="1"/>
  <c r="B908" i="1"/>
  <c r="C908" i="1"/>
  <c r="K908" i="1"/>
  <c r="A909" i="1"/>
  <c r="B909" i="1"/>
  <c r="C909" i="1"/>
  <c r="K909" i="1"/>
  <c r="A910" i="1"/>
  <c r="B910" i="1"/>
  <c r="C910" i="1"/>
  <c r="K910" i="1"/>
  <c r="A911" i="1"/>
  <c r="B911" i="1"/>
  <c r="C911" i="1"/>
  <c r="K911" i="1"/>
  <c r="A912" i="1"/>
  <c r="B912" i="1"/>
  <c r="C912" i="1"/>
  <c r="K912" i="1"/>
  <c r="A913" i="1"/>
  <c r="B913" i="1"/>
  <c r="C913" i="1"/>
  <c r="K913" i="1"/>
  <c r="A914" i="1"/>
  <c r="B914" i="1"/>
  <c r="C914" i="1"/>
  <c r="K914" i="1"/>
  <c r="A915" i="1"/>
  <c r="B915" i="1"/>
  <c r="C915" i="1"/>
  <c r="K915" i="1"/>
  <c r="A916" i="1"/>
  <c r="B916" i="1"/>
  <c r="C916" i="1"/>
  <c r="A917" i="1"/>
  <c r="B917" i="1"/>
  <c r="C917" i="1"/>
  <c r="A918" i="1"/>
  <c r="B918" i="1"/>
  <c r="C918" i="1"/>
  <c r="K918" i="1"/>
  <c r="A919" i="1"/>
  <c r="B919" i="1"/>
  <c r="C919" i="1"/>
  <c r="K919" i="1"/>
  <c r="A920" i="1"/>
  <c r="B920" i="1"/>
  <c r="C920" i="1"/>
  <c r="K920" i="1"/>
  <c r="A921" i="1"/>
  <c r="B921" i="1"/>
  <c r="C921" i="1"/>
  <c r="K921" i="1"/>
  <c r="A922" i="1"/>
  <c r="B922" i="1"/>
  <c r="C922" i="1"/>
  <c r="K922" i="1"/>
  <c r="A923" i="1"/>
  <c r="B923" i="1"/>
  <c r="C923" i="1"/>
  <c r="K923" i="1"/>
  <c r="A924" i="1"/>
  <c r="B924" i="1"/>
  <c r="C924" i="1"/>
  <c r="K924" i="1"/>
  <c r="A925" i="1"/>
  <c r="B925" i="1"/>
  <c r="C925" i="1"/>
  <c r="K925" i="1"/>
  <c r="A926" i="1"/>
  <c r="B926" i="1"/>
  <c r="C926" i="1"/>
  <c r="K926" i="1"/>
  <c r="A927" i="1"/>
  <c r="B927" i="1"/>
  <c r="C927" i="1"/>
  <c r="K927" i="1"/>
  <c r="A928" i="1"/>
  <c r="B928" i="1"/>
  <c r="C928" i="1"/>
  <c r="K928" i="1"/>
  <c r="A929" i="1"/>
  <c r="B929" i="1"/>
  <c r="C929" i="1"/>
  <c r="K929" i="1"/>
  <c r="A930" i="1"/>
  <c r="B930" i="1"/>
  <c r="C930" i="1"/>
  <c r="K930" i="1"/>
  <c r="A931" i="1"/>
  <c r="B931" i="1"/>
  <c r="C931" i="1"/>
  <c r="K931" i="1"/>
  <c r="A932" i="1"/>
  <c r="B932" i="1"/>
  <c r="C932" i="1"/>
  <c r="K932" i="1"/>
  <c r="A933" i="1"/>
  <c r="B933" i="1"/>
  <c r="C933" i="1"/>
  <c r="K933" i="1"/>
  <c r="A934" i="1"/>
  <c r="B934" i="1"/>
  <c r="C934" i="1"/>
  <c r="K934" i="1"/>
  <c r="A935" i="1"/>
  <c r="B935" i="1"/>
  <c r="C935" i="1"/>
  <c r="K935" i="1"/>
  <c r="A936" i="1"/>
  <c r="B936" i="1"/>
  <c r="C936" i="1"/>
  <c r="K936" i="1"/>
  <c r="A937" i="1"/>
  <c r="B937" i="1"/>
  <c r="C937" i="1"/>
  <c r="K937" i="1"/>
  <c r="A938" i="1"/>
  <c r="B938" i="1"/>
  <c r="C938" i="1"/>
  <c r="K938" i="1"/>
  <c r="A939" i="1"/>
  <c r="B939" i="1"/>
  <c r="C939" i="1"/>
  <c r="K939" i="1"/>
  <c r="A940" i="1"/>
  <c r="B940" i="1"/>
  <c r="C940" i="1"/>
  <c r="K940" i="1"/>
  <c r="A941" i="1"/>
  <c r="B941" i="1"/>
  <c r="C941" i="1"/>
  <c r="K941" i="1"/>
  <c r="A942" i="1"/>
  <c r="B942" i="1"/>
  <c r="C942" i="1"/>
  <c r="K942" i="1"/>
  <c r="A943" i="1"/>
  <c r="B943" i="1"/>
  <c r="C943" i="1"/>
  <c r="K943" i="1"/>
  <c r="A944" i="1"/>
  <c r="B944" i="1"/>
  <c r="C944" i="1"/>
  <c r="K944" i="1"/>
  <c r="A945" i="1"/>
  <c r="B945" i="1"/>
  <c r="C945" i="1"/>
  <c r="K945" i="1"/>
  <c r="A946" i="1"/>
  <c r="B946" i="1"/>
  <c r="C946" i="1"/>
  <c r="K946" i="1"/>
  <c r="A947" i="1"/>
  <c r="B947" i="1"/>
  <c r="C947" i="1"/>
  <c r="K947" i="1"/>
  <c r="A948" i="1"/>
  <c r="B948" i="1"/>
  <c r="C948" i="1"/>
  <c r="K948" i="1"/>
  <c r="A949" i="1"/>
  <c r="B949" i="1"/>
  <c r="C949" i="1"/>
  <c r="K949" i="1"/>
  <c r="A950" i="1"/>
  <c r="B950" i="1"/>
  <c r="C950" i="1"/>
  <c r="K950" i="1"/>
  <c r="A951" i="1"/>
  <c r="B951" i="1"/>
  <c r="C951" i="1"/>
  <c r="K951" i="1"/>
  <c r="A952" i="1"/>
  <c r="B952" i="1"/>
  <c r="C952" i="1"/>
  <c r="K952" i="1"/>
  <c r="A953" i="1"/>
  <c r="B953" i="1"/>
  <c r="C953" i="1"/>
  <c r="K953" i="1"/>
  <c r="A954" i="1"/>
  <c r="B954" i="1"/>
  <c r="C954" i="1"/>
  <c r="K954" i="1"/>
  <c r="A955" i="1"/>
  <c r="B955" i="1"/>
  <c r="C955" i="1"/>
  <c r="K955" i="1"/>
  <c r="A956" i="1"/>
  <c r="B956" i="1"/>
  <c r="C956" i="1"/>
  <c r="K956" i="1"/>
  <c r="A957" i="1"/>
  <c r="B957" i="1"/>
  <c r="C957" i="1"/>
  <c r="K957" i="1"/>
  <c r="A958" i="1"/>
  <c r="B958" i="1"/>
  <c r="C958" i="1"/>
  <c r="K958" i="1"/>
  <c r="A959" i="1"/>
  <c r="B959" i="1"/>
  <c r="C959" i="1"/>
  <c r="K959" i="1"/>
  <c r="A960" i="1"/>
  <c r="B960" i="1"/>
  <c r="C960" i="1"/>
  <c r="K960" i="1"/>
  <c r="A961" i="1"/>
  <c r="B961" i="1"/>
  <c r="C961" i="1"/>
  <c r="K961" i="1"/>
  <c r="A962" i="1"/>
  <c r="B962" i="1"/>
  <c r="C962" i="1"/>
  <c r="K962" i="1"/>
  <c r="A963" i="1"/>
  <c r="B963" i="1"/>
  <c r="C963" i="1"/>
  <c r="K963" i="1"/>
  <c r="A964" i="1"/>
  <c r="B964" i="1"/>
  <c r="C964" i="1"/>
  <c r="K964" i="1"/>
  <c r="A965" i="1"/>
  <c r="B965" i="1"/>
  <c r="C965" i="1"/>
  <c r="K965" i="1"/>
  <c r="A966" i="1"/>
  <c r="B966" i="1"/>
  <c r="C966" i="1"/>
  <c r="K966" i="1"/>
  <c r="A967" i="1"/>
  <c r="B967" i="1"/>
  <c r="C967" i="1"/>
  <c r="K967" i="1"/>
  <c r="A968" i="1"/>
  <c r="B968" i="1"/>
  <c r="C968" i="1"/>
  <c r="K968" i="1"/>
  <c r="A969" i="1"/>
  <c r="B969" i="1"/>
  <c r="C969" i="1"/>
  <c r="K969" i="1"/>
  <c r="A970" i="1"/>
  <c r="B970" i="1"/>
  <c r="C970" i="1"/>
  <c r="K970" i="1"/>
  <c r="A971" i="1"/>
  <c r="B971" i="1"/>
  <c r="C971" i="1"/>
  <c r="K971" i="1"/>
  <c r="A972" i="1"/>
  <c r="B972" i="1"/>
  <c r="C972" i="1"/>
  <c r="K972" i="1"/>
  <c r="A973" i="1"/>
  <c r="B973" i="1"/>
  <c r="C973" i="1"/>
  <c r="K973" i="1"/>
  <c r="A974" i="1"/>
  <c r="B974" i="1"/>
  <c r="C974" i="1"/>
  <c r="K974" i="1"/>
  <c r="A975" i="1"/>
  <c r="B975" i="1"/>
  <c r="C975" i="1"/>
  <c r="K975" i="1"/>
  <c r="A976" i="1"/>
  <c r="B976" i="1"/>
  <c r="C976" i="1"/>
  <c r="K976" i="1"/>
  <c r="A977" i="1"/>
  <c r="B977" i="1"/>
  <c r="C977" i="1"/>
  <c r="K977" i="1"/>
  <c r="A978" i="1"/>
  <c r="B978" i="1"/>
  <c r="C978" i="1"/>
  <c r="K978" i="1"/>
  <c r="A979" i="1"/>
  <c r="B979" i="1"/>
  <c r="C979" i="1"/>
  <c r="K979" i="1"/>
  <c r="A980" i="1"/>
  <c r="B980" i="1"/>
  <c r="C980" i="1"/>
  <c r="K980" i="1"/>
  <c r="A981" i="1"/>
  <c r="B981" i="1"/>
  <c r="C981" i="1"/>
  <c r="K981" i="1"/>
  <c r="A982" i="1"/>
  <c r="B982" i="1"/>
  <c r="C982" i="1"/>
  <c r="K982" i="1"/>
  <c r="A983" i="1"/>
  <c r="B983" i="1"/>
  <c r="C983" i="1"/>
  <c r="K983" i="1"/>
  <c r="A984" i="1"/>
  <c r="B984" i="1"/>
  <c r="C984" i="1"/>
  <c r="K984" i="1"/>
  <c r="A985" i="1"/>
  <c r="B985" i="1"/>
  <c r="C985" i="1"/>
  <c r="K985" i="1"/>
  <c r="A986" i="1"/>
  <c r="B986" i="1"/>
  <c r="C986" i="1"/>
  <c r="K986" i="1"/>
  <c r="A987" i="1"/>
  <c r="B987" i="1"/>
  <c r="C987" i="1"/>
  <c r="K987" i="1"/>
  <c r="A988" i="1"/>
  <c r="B988" i="1"/>
  <c r="C988" i="1"/>
  <c r="K988" i="1"/>
  <c r="A989" i="1"/>
  <c r="B989" i="1"/>
  <c r="C989" i="1"/>
  <c r="K989" i="1"/>
  <c r="A990" i="1"/>
  <c r="B990" i="1"/>
  <c r="C990" i="1"/>
  <c r="K990" i="1"/>
  <c r="A991" i="1"/>
  <c r="B991" i="1"/>
  <c r="C991" i="1"/>
  <c r="K991" i="1"/>
  <c r="A992" i="1"/>
  <c r="B992" i="1"/>
  <c r="C992" i="1"/>
  <c r="K992" i="1"/>
  <c r="A993" i="1"/>
  <c r="B993" i="1"/>
  <c r="C993" i="1"/>
  <c r="K993" i="1"/>
  <c r="A994" i="1"/>
  <c r="B994" i="1"/>
  <c r="C994" i="1"/>
  <c r="K994" i="1"/>
  <c r="A995" i="1"/>
  <c r="B995" i="1"/>
  <c r="C995" i="1"/>
  <c r="K995" i="1"/>
  <c r="A996" i="1"/>
  <c r="B996" i="1"/>
  <c r="C996" i="1"/>
  <c r="K996" i="1"/>
  <c r="A997" i="1"/>
  <c r="B997" i="1"/>
  <c r="C997" i="1"/>
  <c r="K997" i="1"/>
  <c r="A998" i="1"/>
  <c r="B998" i="1"/>
  <c r="C998" i="1"/>
  <c r="K998" i="1"/>
  <c r="A999" i="1"/>
  <c r="B999" i="1"/>
  <c r="C999" i="1"/>
  <c r="K999" i="1"/>
  <c r="A1000" i="1"/>
  <c r="B1000" i="1"/>
  <c r="C1000" i="1"/>
  <c r="K1000" i="1"/>
  <c r="A1001" i="1"/>
  <c r="B1001" i="1"/>
  <c r="C1001" i="1"/>
  <c r="K1001" i="1"/>
  <c r="A1002" i="1"/>
  <c r="B1002" i="1"/>
  <c r="C1002" i="1"/>
  <c r="K1002" i="1"/>
  <c r="A1003" i="1"/>
  <c r="B1003" i="1"/>
  <c r="C1003" i="1"/>
  <c r="K1003" i="1"/>
  <c r="A1004" i="1"/>
  <c r="B1004" i="1"/>
  <c r="C1004" i="1"/>
  <c r="K1004" i="1"/>
  <c r="A1005" i="1"/>
  <c r="B1005" i="1"/>
  <c r="C1005" i="1"/>
  <c r="K1005" i="1"/>
  <c r="A1006" i="1"/>
  <c r="B1006" i="1"/>
  <c r="C1006" i="1"/>
  <c r="K1006" i="1"/>
  <c r="A1007" i="1"/>
  <c r="B1007" i="1"/>
  <c r="C1007" i="1"/>
  <c r="K1007" i="1"/>
  <c r="A1008" i="1"/>
  <c r="B1008" i="1"/>
  <c r="C1008" i="1"/>
  <c r="K1008" i="1"/>
  <c r="A1009" i="1"/>
  <c r="B1009" i="1"/>
  <c r="C1009" i="1"/>
  <c r="K1009" i="1"/>
  <c r="A1010" i="1"/>
  <c r="B1010" i="1"/>
  <c r="C1010" i="1"/>
  <c r="K1010" i="1"/>
  <c r="A1011" i="1"/>
  <c r="B1011" i="1"/>
  <c r="C1011" i="1"/>
  <c r="K1011" i="1"/>
  <c r="A1012" i="1"/>
  <c r="B1012" i="1"/>
  <c r="C1012" i="1"/>
  <c r="K1012" i="1"/>
  <c r="A1013" i="1"/>
  <c r="B1013" i="1"/>
  <c r="C1013" i="1"/>
  <c r="K1013" i="1"/>
  <c r="A1014" i="1"/>
  <c r="B1014" i="1"/>
  <c r="C1014" i="1"/>
  <c r="K1014" i="1"/>
  <c r="A1015" i="1"/>
  <c r="B1015" i="1"/>
  <c r="C1015" i="1"/>
  <c r="K1015" i="1"/>
  <c r="A1016" i="1"/>
  <c r="B1016" i="1"/>
  <c r="C1016" i="1"/>
  <c r="K1016" i="1"/>
  <c r="A1017" i="1"/>
  <c r="B1017" i="1"/>
  <c r="C1017" i="1"/>
  <c r="K1017" i="1"/>
  <c r="A1018" i="1"/>
  <c r="B1018" i="1"/>
  <c r="C1018" i="1"/>
  <c r="K1018" i="1"/>
  <c r="A1019" i="1"/>
  <c r="B1019" i="1"/>
  <c r="C1019" i="1"/>
  <c r="A1020" i="1"/>
  <c r="B1020" i="1"/>
  <c r="C1020" i="1"/>
  <c r="A1021" i="1"/>
  <c r="B1021" i="1"/>
  <c r="C1021" i="1"/>
  <c r="A1022" i="1"/>
  <c r="B1022" i="1"/>
  <c r="C1022" i="1"/>
  <c r="A1023" i="1"/>
  <c r="B1023" i="1"/>
  <c r="C1023" i="1"/>
  <c r="A1024" i="1"/>
  <c r="B1024" i="1"/>
  <c r="C1024" i="1"/>
  <c r="A1025" i="1"/>
  <c r="B1025" i="1"/>
  <c r="C1025" i="1"/>
  <c r="A1026" i="1"/>
  <c r="B1026" i="1"/>
  <c r="C1026" i="1"/>
  <c r="A1027" i="1"/>
  <c r="B1027" i="1"/>
  <c r="C1027" i="1"/>
  <c r="A1028" i="1"/>
  <c r="B1028" i="1"/>
  <c r="C1028" i="1"/>
  <c r="A1029" i="1"/>
  <c r="B1029" i="1"/>
  <c r="C1029" i="1"/>
  <c r="A1030" i="1"/>
  <c r="B1030" i="1"/>
  <c r="C1030" i="1"/>
  <c r="K1030" i="1"/>
  <c r="A1031" i="1"/>
  <c r="B1031" i="1"/>
  <c r="C1031" i="1"/>
  <c r="K1031" i="1"/>
  <c r="A1032" i="1"/>
  <c r="B1032" i="1"/>
  <c r="C1032" i="1"/>
  <c r="K1032" i="1"/>
  <c r="A1033" i="1"/>
  <c r="B1033" i="1"/>
  <c r="C1033" i="1"/>
  <c r="K1033" i="1"/>
  <c r="A1034" i="1"/>
  <c r="B1034" i="1"/>
  <c r="C1034" i="1"/>
  <c r="K1034" i="1"/>
  <c r="A1035" i="1"/>
  <c r="B1035" i="1"/>
  <c r="C1035" i="1"/>
  <c r="K1035" i="1"/>
  <c r="A1036" i="1"/>
  <c r="B1036" i="1"/>
  <c r="C1036" i="1"/>
  <c r="K1036" i="1"/>
  <c r="A1037" i="1"/>
  <c r="B1037" i="1"/>
  <c r="C1037" i="1"/>
  <c r="K1037" i="1"/>
  <c r="A1038" i="1"/>
  <c r="B1038" i="1"/>
  <c r="C1038" i="1"/>
  <c r="K1038" i="1"/>
  <c r="A1039" i="1"/>
  <c r="B1039" i="1"/>
  <c r="C1039" i="1"/>
  <c r="K1039" i="1"/>
  <c r="A1040" i="1"/>
  <c r="B1040" i="1"/>
  <c r="C1040" i="1"/>
  <c r="K1040" i="1"/>
  <c r="A1041" i="1"/>
  <c r="B1041" i="1"/>
  <c r="C1041" i="1"/>
  <c r="K1041" i="1"/>
  <c r="A1042" i="1"/>
  <c r="B1042" i="1"/>
  <c r="C1042" i="1"/>
  <c r="K1042" i="1"/>
  <c r="A1043" i="1"/>
  <c r="B1043" i="1"/>
  <c r="C1043" i="1"/>
  <c r="K1043" i="1"/>
  <c r="A1044" i="1"/>
  <c r="B1044" i="1"/>
  <c r="C1044" i="1"/>
  <c r="K1044" i="1"/>
  <c r="A1045" i="1"/>
  <c r="B1045" i="1"/>
  <c r="C1045" i="1"/>
  <c r="K1045" i="1"/>
  <c r="A1046" i="1"/>
  <c r="B1046" i="1"/>
  <c r="C1046" i="1"/>
  <c r="K1046" i="1"/>
  <c r="A1047" i="1"/>
  <c r="B1047" i="1"/>
  <c r="C1047" i="1"/>
  <c r="K1047" i="1"/>
  <c r="A1048" i="1"/>
  <c r="B1048" i="1"/>
  <c r="C1048" i="1"/>
  <c r="K1048" i="1"/>
  <c r="A1049" i="1"/>
  <c r="B1049" i="1"/>
  <c r="C1049" i="1"/>
  <c r="K1049" i="1"/>
  <c r="A1050" i="1"/>
  <c r="B1050" i="1"/>
  <c r="C1050" i="1"/>
  <c r="K1050" i="1"/>
  <c r="A1051" i="1"/>
  <c r="B1051" i="1"/>
  <c r="C1051" i="1"/>
  <c r="K1051" i="1"/>
  <c r="A1052" i="1"/>
  <c r="B1052" i="1"/>
  <c r="C1052" i="1"/>
  <c r="K1052" i="1"/>
  <c r="A1053" i="1"/>
  <c r="B1053" i="1"/>
  <c r="C1053" i="1"/>
  <c r="K1053" i="1"/>
  <c r="A1054" i="1"/>
  <c r="B1054" i="1"/>
  <c r="C1054" i="1"/>
  <c r="K1054" i="1"/>
  <c r="A1055" i="1"/>
  <c r="B1055" i="1"/>
  <c r="C1055" i="1"/>
  <c r="K1055" i="1"/>
  <c r="A1056" i="1"/>
  <c r="B1056" i="1"/>
  <c r="C1056" i="1"/>
  <c r="K1056" i="1"/>
  <c r="A1057" i="1"/>
  <c r="B1057" i="1"/>
  <c r="C1057" i="1"/>
  <c r="K1057" i="1"/>
  <c r="A1058" i="1"/>
  <c r="B1058" i="1"/>
  <c r="C1058" i="1"/>
  <c r="K1058" i="1"/>
  <c r="A1059" i="1"/>
  <c r="B1059" i="1"/>
  <c r="C1059" i="1"/>
  <c r="K1059" i="1"/>
  <c r="A1060" i="1"/>
  <c r="B1060" i="1"/>
  <c r="C1060" i="1"/>
  <c r="K1060" i="1"/>
  <c r="A1061" i="1"/>
  <c r="B1061" i="1"/>
  <c r="C1061" i="1"/>
  <c r="K1061" i="1"/>
  <c r="A1062" i="1"/>
  <c r="B1062" i="1"/>
  <c r="C1062" i="1"/>
  <c r="K1062" i="1"/>
  <c r="A1063" i="1"/>
  <c r="B1063" i="1"/>
  <c r="C1063" i="1"/>
  <c r="K1063" i="1"/>
  <c r="A1064" i="1"/>
  <c r="B1064" i="1"/>
  <c r="C1064" i="1"/>
  <c r="K1064" i="1"/>
  <c r="A1065" i="1"/>
  <c r="B1065" i="1"/>
  <c r="C1065" i="1"/>
  <c r="K1065" i="1"/>
  <c r="A1066" i="1"/>
  <c r="B1066" i="1"/>
  <c r="C1066" i="1"/>
  <c r="K1066" i="1"/>
  <c r="A1067" i="1"/>
  <c r="B1067" i="1"/>
  <c r="C1067" i="1"/>
  <c r="K1067" i="1"/>
  <c r="A1068" i="1"/>
  <c r="B1068" i="1"/>
  <c r="C1068" i="1"/>
  <c r="K1068" i="1"/>
  <c r="A1069" i="1"/>
  <c r="B1069" i="1"/>
  <c r="C1069" i="1"/>
  <c r="K1069" i="1"/>
  <c r="A1070" i="1"/>
  <c r="B1070" i="1"/>
  <c r="C1070" i="1"/>
  <c r="K1070" i="1"/>
  <c r="A1071" i="1"/>
  <c r="B1071" i="1"/>
  <c r="C1071" i="1"/>
  <c r="K1071" i="1"/>
  <c r="A1072" i="1"/>
  <c r="B1072" i="1"/>
  <c r="C1072" i="1"/>
  <c r="K1072" i="1"/>
  <c r="A1073" i="1"/>
  <c r="B1073" i="1"/>
  <c r="C1073" i="1"/>
  <c r="K1073" i="1"/>
  <c r="A1074" i="1"/>
  <c r="B1074" i="1"/>
  <c r="C1074" i="1"/>
  <c r="K1074" i="1"/>
  <c r="A1075" i="1"/>
  <c r="B1075" i="1"/>
  <c r="C1075" i="1"/>
  <c r="K1075" i="1"/>
  <c r="A1076" i="1"/>
  <c r="B1076" i="1"/>
  <c r="C1076" i="1"/>
  <c r="K1076" i="1"/>
  <c r="A1077" i="1"/>
  <c r="B1077" i="1"/>
  <c r="C1077" i="1"/>
  <c r="K1077" i="1"/>
  <c r="A1078" i="1"/>
  <c r="B1078" i="1"/>
  <c r="C1078" i="1"/>
  <c r="K1078" i="1"/>
  <c r="A1079" i="1"/>
  <c r="B1079" i="1"/>
  <c r="C1079" i="1"/>
  <c r="K1079" i="1"/>
  <c r="A1080" i="1"/>
  <c r="B1080" i="1"/>
  <c r="C1080" i="1"/>
  <c r="K1080" i="1"/>
  <c r="A1081" i="1"/>
  <c r="B1081" i="1"/>
  <c r="C1081" i="1"/>
  <c r="K1081" i="1"/>
  <c r="A1082" i="1"/>
  <c r="B1082" i="1"/>
  <c r="C1082" i="1"/>
  <c r="K1082" i="1"/>
  <c r="A1083" i="1"/>
  <c r="B1083" i="1"/>
  <c r="C1083" i="1"/>
  <c r="K1083" i="1"/>
  <c r="A1084" i="1"/>
  <c r="B1084" i="1"/>
  <c r="C1084" i="1"/>
  <c r="K1084" i="1"/>
  <c r="A1085" i="1"/>
  <c r="B1085" i="1"/>
  <c r="C1085" i="1"/>
  <c r="K1085" i="1"/>
  <c r="A1086" i="1"/>
  <c r="B1086" i="1"/>
  <c r="C1086" i="1"/>
  <c r="K1086" i="1"/>
  <c r="A1087" i="1"/>
  <c r="B1087" i="1"/>
  <c r="C1087" i="1"/>
  <c r="K1087" i="1"/>
  <c r="A1088" i="1"/>
  <c r="B1088" i="1"/>
  <c r="C1088" i="1"/>
  <c r="K1088" i="1"/>
  <c r="A1089" i="1"/>
  <c r="B1089" i="1"/>
  <c r="C1089" i="1"/>
  <c r="K1089" i="1"/>
  <c r="A1090" i="1"/>
  <c r="B1090" i="1"/>
  <c r="C1090" i="1"/>
  <c r="K1090" i="1"/>
  <c r="A1091" i="1"/>
  <c r="B1091" i="1"/>
  <c r="C1091" i="1"/>
  <c r="K1091" i="1"/>
  <c r="A1092" i="1"/>
  <c r="B1092" i="1"/>
  <c r="C1092" i="1"/>
  <c r="K1092" i="1"/>
  <c r="A1093" i="1"/>
  <c r="B1093" i="1"/>
  <c r="C1093" i="1"/>
  <c r="K1093" i="1"/>
  <c r="A1094" i="1"/>
  <c r="B1094" i="1"/>
  <c r="C1094" i="1"/>
  <c r="K1094" i="1"/>
  <c r="A1095" i="1"/>
  <c r="B1095" i="1"/>
  <c r="C1095" i="1"/>
  <c r="K1095" i="1"/>
  <c r="A1096" i="1"/>
  <c r="B1096" i="1"/>
  <c r="C1096" i="1"/>
  <c r="K1096" i="1"/>
  <c r="A1097" i="1"/>
  <c r="B1097" i="1"/>
  <c r="C1097" i="1"/>
  <c r="K1097" i="1"/>
  <c r="A1098" i="1"/>
  <c r="B1098" i="1"/>
  <c r="C1098" i="1"/>
  <c r="K1098" i="1"/>
  <c r="A1099" i="1"/>
  <c r="B1099" i="1"/>
  <c r="C1099" i="1"/>
  <c r="K1099" i="1"/>
  <c r="A1100" i="1"/>
  <c r="B1100" i="1"/>
  <c r="C1100" i="1"/>
  <c r="K1100" i="1"/>
  <c r="A1101" i="1"/>
  <c r="B1101" i="1"/>
  <c r="C1101" i="1"/>
  <c r="K1101" i="1"/>
  <c r="A1102" i="1"/>
  <c r="B1102" i="1"/>
  <c r="C1102" i="1"/>
  <c r="K1102" i="1"/>
  <c r="A1103" i="1"/>
  <c r="B1103" i="1"/>
  <c r="C1103" i="1"/>
  <c r="A1104" i="1"/>
  <c r="B1104" i="1"/>
  <c r="C1104" i="1"/>
  <c r="A1105" i="1"/>
  <c r="B1105" i="1"/>
  <c r="C1105" i="1"/>
  <c r="K1105" i="1"/>
  <c r="A1106" i="1"/>
  <c r="B1106" i="1"/>
  <c r="C1106" i="1"/>
  <c r="K1106" i="1"/>
  <c r="A1107" i="1"/>
  <c r="B1107" i="1"/>
  <c r="C1107" i="1"/>
  <c r="K1107" i="1"/>
  <c r="A1108" i="1"/>
  <c r="B1108" i="1"/>
  <c r="C1108" i="1"/>
  <c r="K1108" i="1"/>
  <c r="A1109" i="1"/>
  <c r="B1109" i="1"/>
  <c r="C1109" i="1"/>
  <c r="K1109" i="1"/>
  <c r="A1110" i="1"/>
  <c r="B1110" i="1"/>
  <c r="C1110" i="1"/>
  <c r="K1110" i="1"/>
  <c r="A1111" i="1"/>
  <c r="B1111" i="1"/>
  <c r="C1111" i="1"/>
  <c r="K1111" i="1"/>
  <c r="A1112" i="1"/>
  <c r="B1112" i="1"/>
  <c r="C1112" i="1"/>
  <c r="K1112" i="1"/>
  <c r="A1113" i="1"/>
  <c r="B1113" i="1"/>
  <c r="C1113" i="1"/>
  <c r="K1113" i="1"/>
  <c r="A1114" i="1"/>
  <c r="B1114" i="1"/>
  <c r="C1114" i="1"/>
  <c r="K1114" i="1"/>
  <c r="A1115" i="1"/>
  <c r="B1115" i="1"/>
  <c r="C1115" i="1"/>
  <c r="K1115" i="1"/>
  <c r="A1116" i="1"/>
  <c r="B1116" i="1"/>
  <c r="C1116" i="1"/>
  <c r="K1116" i="1"/>
  <c r="A1117" i="1"/>
  <c r="B1117" i="1"/>
  <c r="C1117" i="1"/>
  <c r="K1117" i="1"/>
  <c r="A1118" i="1"/>
  <c r="B1118" i="1"/>
  <c r="C1118" i="1"/>
  <c r="K1118" i="1"/>
  <c r="A1119" i="1"/>
  <c r="B1119" i="1"/>
  <c r="C1119" i="1"/>
  <c r="K1119" i="1"/>
  <c r="A1120" i="1"/>
  <c r="B1120" i="1"/>
  <c r="C1120" i="1"/>
  <c r="K1120" i="1"/>
  <c r="A1121" i="1"/>
  <c r="B1121" i="1"/>
  <c r="C1121" i="1"/>
  <c r="K1121" i="1"/>
  <c r="A1122" i="1"/>
  <c r="B1122" i="1"/>
  <c r="C1122" i="1"/>
  <c r="K1122" i="1"/>
  <c r="A1123" i="1"/>
  <c r="B1123" i="1"/>
  <c r="C1123" i="1"/>
  <c r="K1123" i="1"/>
  <c r="A1124" i="1"/>
  <c r="B1124" i="1"/>
  <c r="C1124" i="1"/>
  <c r="K1124" i="1"/>
  <c r="A1125" i="1"/>
  <c r="B1125" i="1"/>
  <c r="C1125" i="1"/>
  <c r="K1125" i="1"/>
  <c r="A1126" i="1"/>
  <c r="B1126" i="1"/>
  <c r="C1126" i="1"/>
  <c r="K1126" i="1"/>
  <c r="A1127" i="1"/>
  <c r="B1127" i="1"/>
  <c r="C1127" i="1"/>
  <c r="K1127" i="1"/>
  <c r="A1128" i="1"/>
  <c r="B1128" i="1"/>
  <c r="C1128" i="1"/>
  <c r="K1128" i="1"/>
  <c r="A1129" i="1"/>
  <c r="B1129" i="1"/>
  <c r="C1129" i="1"/>
  <c r="K1129" i="1"/>
  <c r="A1130" i="1"/>
  <c r="B1130" i="1"/>
  <c r="C1130" i="1"/>
  <c r="K1130" i="1"/>
  <c r="A1131" i="1"/>
  <c r="B1131" i="1"/>
  <c r="C1131" i="1"/>
  <c r="K1131" i="1"/>
  <c r="A1132" i="1"/>
  <c r="B1132" i="1"/>
  <c r="C1132" i="1"/>
  <c r="K1132" i="1"/>
  <c r="A1133" i="1"/>
  <c r="B1133" i="1"/>
  <c r="C1133" i="1"/>
  <c r="K1133" i="1"/>
  <c r="A1134" i="1"/>
  <c r="B1134" i="1"/>
  <c r="C1134" i="1"/>
  <c r="K1134" i="1"/>
  <c r="A1135" i="1"/>
  <c r="B1135" i="1"/>
  <c r="C1135" i="1"/>
  <c r="K1135" i="1"/>
  <c r="A1136" i="1"/>
  <c r="B1136" i="1"/>
  <c r="C1136" i="1"/>
  <c r="K1136" i="1"/>
  <c r="A1137" i="1"/>
  <c r="B1137" i="1"/>
  <c r="C1137" i="1"/>
  <c r="K1137" i="1"/>
  <c r="A1138" i="1"/>
  <c r="B1138" i="1"/>
  <c r="C1138" i="1"/>
  <c r="K1138" i="1"/>
  <c r="A1139" i="1"/>
  <c r="B1139" i="1"/>
  <c r="C1139" i="1"/>
  <c r="K1139" i="1"/>
  <c r="A1140" i="1"/>
  <c r="B1140" i="1"/>
  <c r="C1140" i="1"/>
  <c r="K1140" i="1"/>
  <c r="A1141" i="1"/>
  <c r="B1141" i="1"/>
  <c r="C1141" i="1"/>
  <c r="K1141" i="1"/>
  <c r="A1142" i="1"/>
  <c r="B1142" i="1"/>
  <c r="C1142" i="1"/>
  <c r="K1142" i="1"/>
  <c r="A1143" i="1"/>
  <c r="B1143" i="1"/>
  <c r="C1143" i="1"/>
  <c r="K1143" i="1"/>
  <c r="A1144" i="1"/>
  <c r="B1144" i="1"/>
  <c r="C1144" i="1"/>
  <c r="K1144" i="1"/>
  <c r="A1145" i="1"/>
  <c r="B1145" i="1"/>
  <c r="C1145" i="1"/>
  <c r="K1145" i="1"/>
  <c r="A1146" i="1"/>
  <c r="B1146" i="1"/>
  <c r="C1146" i="1"/>
  <c r="K1146" i="1"/>
  <c r="A1147" i="1"/>
  <c r="B1147" i="1"/>
  <c r="C1147" i="1"/>
  <c r="K1147" i="1"/>
  <c r="A1148" i="1"/>
  <c r="B1148" i="1"/>
  <c r="C1148" i="1"/>
  <c r="K1148" i="1"/>
  <c r="A1149" i="1"/>
  <c r="B1149" i="1"/>
  <c r="C1149" i="1"/>
  <c r="K1149" i="1"/>
  <c r="A1150" i="1"/>
  <c r="B1150" i="1"/>
  <c r="C1150" i="1"/>
  <c r="K1150" i="1"/>
  <c r="A1151" i="1"/>
  <c r="B1151" i="1"/>
  <c r="C1151" i="1"/>
  <c r="K1151" i="1"/>
  <c r="A1152" i="1"/>
  <c r="B1152" i="1"/>
  <c r="C1152" i="1"/>
  <c r="K1152" i="1"/>
  <c r="A1153" i="1"/>
  <c r="B1153" i="1"/>
  <c r="C1153" i="1"/>
  <c r="K1153" i="1"/>
  <c r="A1154" i="1"/>
  <c r="B1154" i="1"/>
  <c r="C1154" i="1"/>
  <c r="K1154" i="1"/>
  <c r="A1155" i="1"/>
  <c r="B1155" i="1"/>
  <c r="C1155" i="1"/>
  <c r="K1155" i="1"/>
  <c r="A1156" i="1"/>
  <c r="B1156" i="1"/>
  <c r="C1156" i="1"/>
  <c r="K1156" i="1"/>
  <c r="A1157" i="1"/>
  <c r="B1157" i="1"/>
  <c r="C1157" i="1"/>
  <c r="K1157" i="1"/>
  <c r="A1158" i="1"/>
  <c r="B1158" i="1"/>
  <c r="C1158" i="1"/>
  <c r="K1158" i="1"/>
  <c r="A1159" i="1"/>
  <c r="B1159" i="1"/>
  <c r="C1159" i="1"/>
  <c r="K1159" i="1"/>
  <c r="A1160" i="1"/>
  <c r="B1160" i="1"/>
  <c r="C1160" i="1"/>
  <c r="K1160" i="1"/>
  <c r="A1161" i="1"/>
  <c r="B1161" i="1"/>
  <c r="C1161" i="1"/>
  <c r="K1161" i="1"/>
  <c r="A1162" i="1"/>
  <c r="B1162" i="1"/>
  <c r="C1162" i="1"/>
  <c r="K1162" i="1"/>
  <c r="A1163" i="1"/>
  <c r="B1163" i="1"/>
  <c r="C1163" i="1"/>
  <c r="K1163" i="1"/>
  <c r="A1164" i="1"/>
  <c r="B1164" i="1"/>
  <c r="C1164" i="1"/>
  <c r="K1164" i="1"/>
  <c r="A1165" i="1"/>
  <c r="B1165" i="1"/>
  <c r="C1165" i="1"/>
  <c r="K1165" i="1"/>
  <c r="A1166" i="1"/>
  <c r="B1166" i="1"/>
  <c r="C1166" i="1"/>
  <c r="K1166" i="1"/>
  <c r="A1167" i="1"/>
  <c r="B1167" i="1"/>
  <c r="C1167" i="1"/>
  <c r="K1167" i="1"/>
  <c r="A1168" i="1"/>
  <c r="B1168" i="1"/>
  <c r="C1168" i="1"/>
  <c r="K1168" i="1"/>
  <c r="A1169" i="1"/>
  <c r="B1169" i="1"/>
  <c r="C1169" i="1"/>
  <c r="K1169" i="1"/>
  <c r="A1170" i="1"/>
  <c r="B1170" i="1"/>
  <c r="C1170" i="1"/>
  <c r="K1170" i="1"/>
  <c r="A1171" i="1"/>
  <c r="B1171" i="1"/>
  <c r="C1171" i="1"/>
  <c r="K1171" i="1"/>
  <c r="A1172" i="1"/>
  <c r="B1172" i="1"/>
  <c r="C1172" i="1"/>
  <c r="K1172" i="1"/>
  <c r="A1173" i="1"/>
  <c r="B1173" i="1"/>
  <c r="C1173" i="1"/>
  <c r="K1173" i="1"/>
  <c r="A1174" i="1"/>
  <c r="B1174" i="1"/>
  <c r="C1174" i="1"/>
  <c r="K1174" i="1"/>
  <c r="A1175" i="1"/>
  <c r="B1175" i="1"/>
  <c r="C1175" i="1"/>
  <c r="K1175" i="1"/>
  <c r="A1176" i="1"/>
  <c r="B1176" i="1"/>
  <c r="C1176" i="1"/>
  <c r="K1176" i="1"/>
  <c r="A1177" i="1"/>
  <c r="B1177" i="1"/>
  <c r="C1177" i="1"/>
  <c r="K1177" i="1"/>
  <c r="A1178" i="1"/>
  <c r="B1178" i="1"/>
  <c r="C1178" i="1"/>
  <c r="K1178" i="1"/>
  <c r="A1179" i="1"/>
  <c r="B1179" i="1"/>
  <c r="C1179" i="1"/>
  <c r="K1179" i="1"/>
  <c r="A1180" i="1"/>
  <c r="B1180" i="1"/>
  <c r="C1180" i="1"/>
  <c r="K1180" i="1"/>
  <c r="A1181" i="1"/>
  <c r="B1181" i="1"/>
  <c r="C1181" i="1"/>
  <c r="K1181" i="1"/>
  <c r="A1182" i="1"/>
  <c r="B1182" i="1"/>
  <c r="C1182" i="1"/>
  <c r="K1182" i="1"/>
  <c r="A1183" i="1"/>
  <c r="B1183" i="1"/>
  <c r="C1183" i="1"/>
  <c r="K1183" i="1"/>
  <c r="A1184" i="1"/>
  <c r="B1184" i="1"/>
  <c r="C1184" i="1"/>
  <c r="K1184" i="1"/>
  <c r="A1185" i="1"/>
  <c r="B1185" i="1"/>
  <c r="C1185" i="1"/>
  <c r="K1185" i="1"/>
  <c r="A1186" i="1"/>
  <c r="B1186" i="1"/>
  <c r="C1186" i="1"/>
  <c r="K1186" i="1"/>
  <c r="A1187" i="1"/>
  <c r="B1187" i="1"/>
  <c r="C1187" i="1"/>
  <c r="K1187" i="1"/>
  <c r="A1188" i="1"/>
  <c r="B1188" i="1"/>
  <c r="C1188" i="1"/>
  <c r="K1188" i="1"/>
  <c r="A1189" i="1"/>
  <c r="B1189" i="1"/>
  <c r="C1189" i="1"/>
  <c r="K1189" i="1"/>
  <c r="A1190" i="1"/>
  <c r="B1190" i="1"/>
  <c r="C1190" i="1"/>
  <c r="K1190" i="1"/>
  <c r="A1191" i="1"/>
  <c r="B1191" i="1"/>
  <c r="C1191" i="1"/>
  <c r="K1191" i="1"/>
  <c r="A1192" i="1"/>
  <c r="B1192" i="1"/>
  <c r="C1192" i="1"/>
  <c r="K1192" i="1"/>
  <c r="A1193" i="1"/>
  <c r="B1193" i="1"/>
  <c r="C1193" i="1"/>
  <c r="K1193" i="1"/>
  <c r="A1194" i="1"/>
  <c r="B1194" i="1"/>
  <c r="C1194" i="1"/>
  <c r="K1194" i="1"/>
  <c r="A1195" i="1"/>
  <c r="B1195" i="1"/>
  <c r="C1195" i="1"/>
  <c r="K1195" i="1"/>
  <c r="A1196" i="1"/>
  <c r="B1196" i="1"/>
  <c r="C1196" i="1"/>
  <c r="K1196" i="1"/>
  <c r="A1197" i="1"/>
  <c r="B1197" i="1"/>
  <c r="C1197" i="1"/>
  <c r="K1197" i="1"/>
  <c r="A1198" i="1"/>
  <c r="B1198" i="1"/>
  <c r="C1198" i="1"/>
  <c r="K1198" i="1"/>
  <c r="A1199" i="1"/>
  <c r="B1199" i="1"/>
  <c r="C1199" i="1"/>
  <c r="K1199" i="1"/>
  <c r="A1200" i="1"/>
  <c r="B1200" i="1"/>
  <c r="C1200" i="1"/>
  <c r="K1200" i="1"/>
  <c r="A1201" i="1"/>
  <c r="B1201" i="1"/>
  <c r="C1201" i="1"/>
  <c r="K1201" i="1"/>
  <c r="A1202" i="1"/>
  <c r="B1202" i="1"/>
  <c r="C1202" i="1"/>
  <c r="K1202" i="1"/>
  <c r="A1203" i="1"/>
  <c r="B1203" i="1"/>
  <c r="C1203" i="1"/>
  <c r="K1203" i="1"/>
  <c r="A1204" i="1"/>
  <c r="B1204" i="1"/>
  <c r="C1204" i="1"/>
  <c r="K1204" i="1"/>
  <c r="A1205" i="1"/>
  <c r="B1205" i="1"/>
  <c r="C1205" i="1"/>
  <c r="K1205" i="1"/>
  <c r="A1206" i="1"/>
  <c r="B1206" i="1"/>
  <c r="C1206" i="1"/>
  <c r="K1206" i="1"/>
  <c r="A1207" i="1"/>
  <c r="B1207" i="1"/>
  <c r="C1207" i="1"/>
  <c r="K1207" i="1"/>
  <c r="A1208" i="1"/>
  <c r="B1208" i="1"/>
  <c r="C1208" i="1"/>
  <c r="K1208" i="1"/>
  <c r="A1209" i="1"/>
  <c r="B1209" i="1"/>
  <c r="C1209" i="1"/>
  <c r="K1209" i="1"/>
  <c r="A1210" i="1"/>
  <c r="B1210" i="1"/>
  <c r="C1210" i="1"/>
  <c r="K1210" i="1"/>
  <c r="A1211" i="1"/>
  <c r="B1211" i="1"/>
  <c r="C1211" i="1"/>
  <c r="K1211" i="1"/>
  <c r="A1212" i="1"/>
  <c r="B1212" i="1"/>
  <c r="C1212" i="1"/>
  <c r="K1212" i="1"/>
  <c r="A1213" i="1"/>
  <c r="B1213" i="1"/>
  <c r="C1213" i="1"/>
  <c r="K1213" i="1"/>
  <c r="A1214" i="1"/>
  <c r="B1214" i="1"/>
  <c r="C1214" i="1"/>
  <c r="K1214" i="1"/>
  <c r="A1215" i="1"/>
  <c r="B1215" i="1"/>
  <c r="C1215" i="1"/>
  <c r="K1215" i="1"/>
  <c r="A1216" i="1"/>
  <c r="B1216" i="1"/>
  <c r="C1216" i="1"/>
  <c r="K1216" i="1"/>
  <c r="A1217" i="1"/>
  <c r="B1217" i="1"/>
  <c r="C1217" i="1"/>
  <c r="K1217" i="1"/>
  <c r="A1218" i="1"/>
  <c r="B1218" i="1"/>
  <c r="C1218" i="1"/>
  <c r="K1218" i="1"/>
  <c r="A1219" i="1"/>
  <c r="B1219" i="1"/>
  <c r="C1219" i="1"/>
  <c r="K1219" i="1"/>
  <c r="A1220" i="1"/>
  <c r="B1220" i="1"/>
  <c r="C1220" i="1"/>
  <c r="K1220" i="1"/>
  <c r="A1221" i="1"/>
  <c r="B1221" i="1"/>
  <c r="C1221" i="1"/>
  <c r="K1221" i="1"/>
  <c r="A1222" i="1"/>
  <c r="B1222" i="1"/>
  <c r="C1222" i="1"/>
  <c r="K1222" i="1"/>
  <c r="A1223" i="1"/>
  <c r="B1223" i="1"/>
  <c r="C1223" i="1"/>
  <c r="K1223" i="1"/>
  <c r="A1224" i="1"/>
  <c r="B1224" i="1"/>
  <c r="C1224" i="1"/>
  <c r="K1224" i="1"/>
  <c r="A1225" i="1"/>
  <c r="B1225" i="1"/>
  <c r="C1225" i="1"/>
  <c r="K1225" i="1"/>
  <c r="A1226" i="1"/>
  <c r="B1226" i="1"/>
  <c r="C1226" i="1"/>
  <c r="K1226" i="1"/>
  <c r="A1227" i="1"/>
  <c r="B1227" i="1"/>
  <c r="C1227" i="1"/>
  <c r="K1227" i="1"/>
  <c r="A1228" i="1"/>
  <c r="B1228" i="1"/>
  <c r="C1228" i="1"/>
  <c r="K1228" i="1"/>
  <c r="A1229" i="1"/>
  <c r="B1229" i="1"/>
  <c r="C1229" i="1"/>
  <c r="K1229" i="1"/>
  <c r="A1230" i="1"/>
  <c r="B1230" i="1"/>
  <c r="C1230" i="1"/>
  <c r="K1230" i="1"/>
  <c r="A1231" i="1"/>
  <c r="B1231" i="1"/>
  <c r="C1231" i="1"/>
  <c r="K1231" i="1"/>
  <c r="A1232" i="1"/>
  <c r="B1232" i="1"/>
  <c r="C1232" i="1"/>
  <c r="K1232" i="1"/>
  <c r="A1233" i="1"/>
  <c r="B1233" i="1"/>
  <c r="C1233" i="1"/>
  <c r="K1233" i="1"/>
  <c r="A1234" i="1"/>
  <c r="K1234" i="1"/>
  <c r="A1235" i="1"/>
  <c r="B1235" i="1"/>
  <c r="C1235" i="1"/>
  <c r="K1235" i="1"/>
  <c r="A1236" i="1"/>
  <c r="B1236" i="1"/>
  <c r="C1236" i="1"/>
  <c r="K1236" i="1"/>
  <c r="A1237" i="1"/>
  <c r="B1237" i="1"/>
  <c r="C1237" i="1"/>
  <c r="K1237" i="1"/>
  <c r="A1238" i="1"/>
  <c r="B1238" i="1"/>
  <c r="C1238" i="1"/>
  <c r="A1239" i="1"/>
  <c r="B1239" i="1"/>
  <c r="C1239" i="1"/>
  <c r="A1240" i="1"/>
  <c r="B1240" i="1"/>
  <c r="C1240" i="1"/>
  <c r="K1240" i="1"/>
  <c r="A1241" i="1"/>
  <c r="B1241" i="1"/>
  <c r="C1241" i="1"/>
  <c r="A1242" i="1"/>
  <c r="B1242" i="1"/>
  <c r="C1242" i="1"/>
  <c r="K1242" i="1"/>
  <c r="A1243" i="1"/>
  <c r="B1243" i="1"/>
  <c r="C1243" i="1"/>
  <c r="K1243" i="1"/>
  <c r="A1244" i="1"/>
  <c r="B1244" i="1"/>
  <c r="C1244" i="1"/>
  <c r="K1244" i="1"/>
  <c r="A1245" i="1"/>
  <c r="B1245" i="1"/>
  <c r="C1245" i="1"/>
  <c r="K1245" i="1"/>
  <c r="A1246" i="1"/>
  <c r="B1246" i="1"/>
  <c r="C1246" i="1"/>
  <c r="K1246" i="1"/>
  <c r="A1247" i="1"/>
  <c r="B1247" i="1"/>
  <c r="C1247" i="1"/>
  <c r="K1247" i="1"/>
  <c r="A1248" i="1"/>
  <c r="B1248" i="1"/>
  <c r="C1248" i="1"/>
  <c r="K1248" i="1"/>
  <c r="A1249" i="1"/>
  <c r="B1249" i="1"/>
  <c r="C1249" i="1"/>
  <c r="K1249" i="1"/>
  <c r="A1250" i="1"/>
  <c r="B1250" i="1"/>
  <c r="C1250" i="1"/>
  <c r="K1250" i="1"/>
  <c r="A1251" i="1"/>
  <c r="B1251" i="1"/>
  <c r="C1251" i="1"/>
  <c r="K1251" i="1"/>
  <c r="A1252" i="1"/>
  <c r="B1252" i="1"/>
  <c r="C1252" i="1"/>
  <c r="K1252" i="1"/>
  <c r="A1253" i="1"/>
  <c r="B1253" i="1"/>
  <c r="C1253" i="1"/>
  <c r="K1253" i="1"/>
  <c r="A1254" i="1"/>
  <c r="B1254" i="1"/>
  <c r="C1254" i="1"/>
  <c r="K1254" i="1"/>
  <c r="A1255" i="1"/>
  <c r="B1255" i="1"/>
  <c r="C1255" i="1"/>
  <c r="K1255" i="1"/>
  <c r="A1256" i="1"/>
  <c r="B1256" i="1"/>
  <c r="C1256" i="1"/>
  <c r="K1256" i="1"/>
  <c r="A1257" i="1"/>
  <c r="B1257" i="1"/>
  <c r="C1257" i="1"/>
  <c r="K1257" i="1"/>
  <c r="A1258" i="1"/>
  <c r="B1258" i="1"/>
  <c r="C1258" i="1"/>
  <c r="K1258" i="1"/>
  <c r="A1259" i="1"/>
  <c r="B1259" i="1"/>
  <c r="C1259" i="1"/>
  <c r="K1259" i="1"/>
  <c r="A1260" i="1"/>
  <c r="B1260" i="1"/>
  <c r="C1260" i="1"/>
  <c r="K1260" i="1"/>
  <c r="A1261" i="1"/>
  <c r="B1261" i="1"/>
  <c r="C1261" i="1"/>
  <c r="K1261" i="1"/>
  <c r="A1262" i="1"/>
  <c r="B1262" i="1"/>
  <c r="C1262" i="1"/>
  <c r="K1262" i="1"/>
  <c r="A1263" i="1"/>
  <c r="B1263" i="1"/>
  <c r="C1263" i="1"/>
  <c r="K1263" i="1"/>
  <c r="A1264" i="1"/>
  <c r="B1264" i="1"/>
  <c r="C1264" i="1"/>
  <c r="K1264" i="1"/>
  <c r="A1265" i="1"/>
  <c r="B1265" i="1"/>
  <c r="C1265" i="1"/>
  <c r="K1265" i="1"/>
  <c r="A1266" i="1"/>
  <c r="A1267" i="1"/>
  <c r="A1268" i="1"/>
  <c r="A1269" i="1"/>
  <c r="A1270" i="1"/>
  <c r="B1270" i="1"/>
  <c r="C1270" i="1"/>
  <c r="K1270" i="1"/>
  <c r="A1271" i="1"/>
  <c r="B1271" i="1"/>
  <c r="C1271" i="1"/>
  <c r="K1271" i="1"/>
  <c r="A1272" i="1"/>
  <c r="B1272" i="1"/>
  <c r="C1272" i="1"/>
  <c r="K1272" i="1"/>
  <c r="A1273" i="1"/>
  <c r="B1273" i="1"/>
  <c r="C1273" i="1"/>
  <c r="K1273" i="1"/>
  <c r="A1274" i="1"/>
  <c r="B1274" i="1"/>
  <c r="C1274" i="1"/>
  <c r="K1274" i="1"/>
  <c r="A1275" i="1"/>
  <c r="B1275" i="1"/>
  <c r="C1275" i="1"/>
  <c r="K1275" i="1"/>
  <c r="A1276" i="1"/>
  <c r="B1276" i="1"/>
  <c r="C1276" i="1"/>
  <c r="K1276" i="1"/>
  <c r="A1277" i="1"/>
  <c r="B1277" i="1"/>
  <c r="C1277" i="1"/>
  <c r="K1277" i="1"/>
  <c r="A1278" i="1"/>
  <c r="B1278" i="1"/>
  <c r="C1278" i="1"/>
  <c r="K1278" i="1"/>
  <c r="A1279" i="1"/>
  <c r="B1279" i="1"/>
  <c r="C1279" i="1"/>
  <c r="K1279" i="1"/>
  <c r="A1280" i="1"/>
  <c r="B1280" i="1"/>
  <c r="C1280" i="1"/>
  <c r="K1280" i="1"/>
  <c r="A1281" i="1"/>
  <c r="B1281" i="1"/>
  <c r="C1281" i="1"/>
  <c r="K1281" i="1"/>
  <c r="A1282" i="1"/>
  <c r="B1282" i="1"/>
  <c r="C1282" i="1"/>
  <c r="K1282" i="1"/>
  <c r="A1283" i="1"/>
  <c r="B1283" i="1"/>
  <c r="C1283" i="1"/>
  <c r="K1283" i="1"/>
  <c r="A1284" i="1"/>
  <c r="B1284" i="1"/>
  <c r="C1284" i="1"/>
  <c r="K1284" i="1"/>
  <c r="A1285" i="1"/>
  <c r="B1285" i="1"/>
  <c r="C1285" i="1"/>
  <c r="K1285" i="1"/>
  <c r="A1286" i="1"/>
  <c r="B1286" i="1"/>
  <c r="C1286" i="1"/>
  <c r="K1286" i="1"/>
  <c r="A1287" i="1"/>
  <c r="B1287" i="1"/>
  <c r="C1287" i="1"/>
  <c r="K1287" i="1"/>
  <c r="A1288" i="1"/>
  <c r="B1288" i="1"/>
  <c r="C1288" i="1"/>
  <c r="K1288" i="1"/>
  <c r="A1289" i="1"/>
  <c r="B1289" i="1"/>
  <c r="C1289" i="1"/>
  <c r="K1289" i="1"/>
  <c r="A1290" i="1"/>
  <c r="B1290" i="1"/>
  <c r="C1290" i="1"/>
  <c r="K1290" i="1"/>
  <c r="A1291" i="1"/>
  <c r="B1291" i="1"/>
  <c r="C1291" i="1"/>
  <c r="K1291" i="1"/>
  <c r="A1292" i="1"/>
  <c r="B1292" i="1"/>
  <c r="C1292" i="1"/>
  <c r="K1292" i="1"/>
  <c r="A1293" i="1"/>
  <c r="B1293" i="1"/>
  <c r="C1293" i="1"/>
  <c r="K1293" i="1"/>
  <c r="A1294" i="1"/>
  <c r="B1294" i="1"/>
  <c r="C1294" i="1"/>
  <c r="K1294" i="1"/>
  <c r="A1295" i="1"/>
  <c r="B1295" i="1"/>
  <c r="C1295" i="1"/>
  <c r="K1295" i="1"/>
  <c r="A1296" i="1"/>
  <c r="B1296" i="1"/>
  <c r="C1296" i="1"/>
  <c r="K1296" i="1"/>
  <c r="A1297" i="1"/>
  <c r="B1297" i="1"/>
  <c r="C1297" i="1"/>
  <c r="K1297" i="1"/>
  <c r="A1298" i="1"/>
  <c r="B1298" i="1"/>
  <c r="C1298" i="1"/>
  <c r="K1298" i="1"/>
  <c r="A1299" i="1"/>
  <c r="B1299" i="1"/>
  <c r="C1299" i="1"/>
  <c r="A1300" i="1"/>
  <c r="B1300" i="1"/>
  <c r="C1300" i="1"/>
  <c r="K1300" i="1"/>
  <c r="A1301" i="1"/>
  <c r="B1301" i="1"/>
  <c r="C1301" i="1"/>
  <c r="K1301" i="1"/>
  <c r="A1302" i="1"/>
  <c r="B1302" i="1"/>
  <c r="C1302" i="1"/>
  <c r="K1302" i="1"/>
  <c r="A1303" i="1"/>
  <c r="B1303" i="1"/>
  <c r="C1303" i="1"/>
  <c r="A1304" i="1"/>
  <c r="B1304" i="1"/>
  <c r="C1304" i="1"/>
  <c r="A1305" i="1"/>
  <c r="B1305" i="1"/>
  <c r="C1305" i="1"/>
  <c r="K1305" i="1"/>
  <c r="A1306" i="1"/>
  <c r="B1306" i="1"/>
  <c r="C1306" i="1"/>
  <c r="K1306" i="1"/>
  <c r="A1307" i="1"/>
  <c r="B1307" i="1"/>
  <c r="C1307" i="1"/>
  <c r="K1307" i="1"/>
  <c r="A1308" i="1"/>
  <c r="B1308" i="1"/>
  <c r="C1308" i="1"/>
  <c r="K1308" i="1"/>
  <c r="A1309" i="1"/>
  <c r="B1309" i="1"/>
  <c r="C1309" i="1"/>
  <c r="K1309" i="1"/>
  <c r="A1310" i="1"/>
  <c r="B1310" i="1"/>
  <c r="C1310" i="1"/>
  <c r="K1310" i="1"/>
  <c r="A1311" i="1"/>
  <c r="B1311" i="1"/>
  <c r="C1311" i="1"/>
  <c r="K1311" i="1"/>
  <c r="A1312" i="1"/>
  <c r="B1312" i="1"/>
  <c r="C1312" i="1"/>
  <c r="K1312" i="1"/>
  <c r="A1313" i="1"/>
  <c r="B1313" i="1"/>
  <c r="C1313" i="1"/>
  <c r="K1313" i="1"/>
  <c r="A1314" i="1"/>
  <c r="B1314" i="1"/>
  <c r="C1314" i="1"/>
  <c r="K1314" i="1"/>
  <c r="A1315" i="1"/>
  <c r="B1315" i="1"/>
  <c r="C1315" i="1"/>
  <c r="K1315" i="1"/>
  <c r="A1316" i="1"/>
  <c r="B1316" i="1"/>
  <c r="C1316" i="1"/>
  <c r="K1316" i="1"/>
  <c r="A1317" i="1"/>
  <c r="B1317" i="1"/>
  <c r="C1317" i="1"/>
  <c r="K1317" i="1"/>
  <c r="A1318" i="1"/>
  <c r="B1318" i="1"/>
  <c r="C1318" i="1"/>
  <c r="K1318" i="1"/>
  <c r="A1319" i="1"/>
  <c r="B1319" i="1"/>
  <c r="C1319" i="1"/>
  <c r="K1319" i="1"/>
  <c r="A1320" i="1"/>
  <c r="B1320" i="1"/>
  <c r="C1320" i="1"/>
  <c r="K1320" i="1"/>
  <c r="A1321" i="1"/>
  <c r="B1321" i="1"/>
  <c r="C1321" i="1"/>
  <c r="K1321" i="1"/>
  <c r="A1322" i="1"/>
  <c r="B1322" i="1"/>
  <c r="C1322" i="1"/>
  <c r="K1322" i="1"/>
  <c r="A1323" i="1"/>
  <c r="B1323" i="1"/>
  <c r="C1323" i="1"/>
  <c r="K1323" i="1"/>
  <c r="A1324" i="1"/>
  <c r="B1324" i="1"/>
  <c r="C1324" i="1"/>
  <c r="K1324" i="1"/>
  <c r="A1325" i="1"/>
  <c r="B1325" i="1"/>
  <c r="C1325" i="1"/>
  <c r="K1325" i="1"/>
  <c r="A1326" i="1"/>
  <c r="B1326" i="1"/>
  <c r="C1326" i="1"/>
  <c r="K1326" i="1"/>
  <c r="A1327" i="1"/>
  <c r="B1327" i="1"/>
  <c r="C1327" i="1"/>
  <c r="K1327" i="1"/>
  <c r="A1328" i="1"/>
  <c r="B1328" i="1"/>
  <c r="C1328" i="1"/>
  <c r="K1328" i="1"/>
  <c r="A1329" i="1"/>
  <c r="B1329" i="1"/>
  <c r="C1329" i="1"/>
  <c r="K1329" i="1"/>
  <c r="A1330" i="1"/>
  <c r="B1330" i="1"/>
  <c r="C1330" i="1"/>
  <c r="K1330" i="1"/>
  <c r="A1331" i="1"/>
  <c r="B1331" i="1"/>
  <c r="C1331" i="1"/>
  <c r="K1331" i="1"/>
  <c r="A1332" i="1"/>
  <c r="B1332" i="1"/>
  <c r="C1332" i="1"/>
  <c r="K1332" i="1"/>
  <c r="A1333" i="1"/>
  <c r="B1333" i="1"/>
  <c r="C1333" i="1"/>
  <c r="K1333" i="1"/>
  <c r="A1334" i="1"/>
  <c r="B1334" i="1"/>
  <c r="C1334" i="1"/>
  <c r="K1334" i="1"/>
  <c r="A1335" i="1"/>
  <c r="B1335" i="1"/>
  <c r="C1335" i="1"/>
  <c r="K1335" i="1"/>
  <c r="A1336" i="1"/>
  <c r="B1336" i="1"/>
  <c r="C1336" i="1"/>
  <c r="K1336" i="1"/>
  <c r="A1337" i="1"/>
  <c r="B1337" i="1"/>
  <c r="C1337" i="1"/>
  <c r="K1337" i="1"/>
  <c r="A1338" i="1"/>
  <c r="B1338" i="1"/>
  <c r="C1338" i="1"/>
  <c r="K1338" i="1"/>
  <c r="A1339" i="1"/>
  <c r="B1339" i="1"/>
  <c r="C1339" i="1"/>
  <c r="K1339" i="1"/>
  <c r="A1340" i="1"/>
  <c r="B1340" i="1"/>
  <c r="C1340" i="1"/>
  <c r="K1340" i="1"/>
  <c r="A1341" i="1"/>
  <c r="B1341" i="1"/>
  <c r="C1341" i="1"/>
  <c r="K1341" i="1"/>
  <c r="A1342" i="1"/>
  <c r="B1342" i="1"/>
  <c r="C1342" i="1"/>
  <c r="K1342" i="1"/>
  <c r="A1343" i="1"/>
  <c r="B1343" i="1"/>
  <c r="C1343" i="1"/>
  <c r="K1343" i="1"/>
  <c r="A1344" i="1"/>
  <c r="B1344" i="1"/>
  <c r="C1344" i="1"/>
  <c r="K1344" i="1"/>
  <c r="A1345" i="1"/>
  <c r="B1345" i="1"/>
  <c r="C1345" i="1"/>
  <c r="K1345" i="1"/>
  <c r="A1346" i="1"/>
  <c r="B1346" i="1"/>
  <c r="C1346" i="1"/>
  <c r="K1346" i="1"/>
  <c r="A1347" i="1"/>
  <c r="B1347" i="1"/>
  <c r="C1347" i="1"/>
  <c r="K1347" i="1"/>
  <c r="A1348" i="1"/>
  <c r="B1348" i="1"/>
  <c r="C1348" i="1"/>
  <c r="K1348" i="1"/>
  <c r="A1349" i="1"/>
  <c r="B1349" i="1"/>
  <c r="C1349" i="1"/>
  <c r="K1349" i="1"/>
  <c r="A1350" i="1"/>
  <c r="B1350" i="1"/>
  <c r="C1350" i="1"/>
  <c r="K1350" i="1"/>
  <c r="A1351" i="1"/>
  <c r="B1351" i="1"/>
  <c r="C1351" i="1"/>
  <c r="K1351" i="1"/>
  <c r="A1352" i="1"/>
  <c r="B1352" i="1"/>
  <c r="C1352" i="1"/>
  <c r="K1352" i="1"/>
  <c r="A1353" i="1"/>
  <c r="B1353" i="1"/>
  <c r="C1353" i="1"/>
  <c r="K1353" i="1"/>
  <c r="A1354" i="1"/>
  <c r="B1354" i="1"/>
  <c r="C1354" i="1"/>
  <c r="K1354" i="1"/>
  <c r="A1355" i="1"/>
  <c r="B1355" i="1"/>
  <c r="C1355" i="1"/>
  <c r="K1355" i="1"/>
  <c r="A1356" i="1"/>
  <c r="B1356" i="1"/>
  <c r="C1356" i="1"/>
  <c r="K1356" i="1"/>
  <c r="A1357" i="1"/>
  <c r="B1357" i="1"/>
  <c r="C1357" i="1"/>
  <c r="K1357" i="1"/>
  <c r="A1358" i="1"/>
  <c r="B1358" i="1"/>
  <c r="C1358" i="1"/>
  <c r="K1358" i="1"/>
  <c r="A1359" i="1"/>
  <c r="B1359" i="1"/>
  <c r="C1359" i="1"/>
  <c r="K1359" i="1"/>
  <c r="A1360" i="1"/>
  <c r="B1360" i="1"/>
  <c r="C1360" i="1"/>
  <c r="K1360" i="1"/>
  <c r="A1361" i="1"/>
  <c r="B1361" i="1"/>
  <c r="C1361" i="1"/>
  <c r="K1361" i="1"/>
  <c r="A1362" i="1"/>
  <c r="B1362" i="1"/>
  <c r="C1362" i="1"/>
  <c r="A1363" i="1"/>
  <c r="B1363" i="1"/>
  <c r="C1363" i="1"/>
  <c r="K1363" i="1"/>
  <c r="A1364" i="1"/>
  <c r="B1364" i="1"/>
  <c r="C1364" i="1"/>
  <c r="K1364" i="1"/>
  <c r="A1365" i="1"/>
  <c r="B1365" i="1"/>
  <c r="C1365" i="1"/>
  <c r="K1365" i="1"/>
  <c r="A1366" i="1"/>
  <c r="B1366" i="1"/>
  <c r="C1366" i="1"/>
  <c r="K1366" i="1"/>
  <c r="A1367" i="1"/>
  <c r="B1367" i="1"/>
  <c r="C1367" i="1"/>
  <c r="K1367" i="1"/>
  <c r="A1368" i="1"/>
  <c r="B1368" i="1"/>
  <c r="C1368" i="1"/>
  <c r="K1368" i="1"/>
  <c r="A1369" i="1"/>
  <c r="B1369" i="1"/>
  <c r="C1369" i="1"/>
  <c r="K1369" i="1"/>
  <c r="A1370" i="1"/>
  <c r="B1370" i="1"/>
  <c r="C1370" i="1"/>
  <c r="K1370" i="1"/>
  <c r="A1371" i="1"/>
  <c r="B1371" i="1"/>
  <c r="C1371" i="1"/>
  <c r="K1371" i="1"/>
  <c r="A1372" i="1"/>
  <c r="B1372" i="1"/>
  <c r="C1372" i="1"/>
  <c r="K1372" i="1"/>
  <c r="A1373" i="1"/>
  <c r="B1373" i="1"/>
  <c r="C1373" i="1"/>
  <c r="K1373" i="1"/>
  <c r="A1374" i="1"/>
  <c r="B1374" i="1"/>
  <c r="C1374" i="1"/>
  <c r="K1374" i="1"/>
  <c r="A1375" i="1"/>
  <c r="B1375" i="1"/>
  <c r="C1375" i="1"/>
  <c r="K1375" i="1"/>
  <c r="A1376" i="1"/>
  <c r="B1376" i="1"/>
  <c r="C1376" i="1"/>
  <c r="K1376" i="1"/>
  <c r="A1377" i="1"/>
  <c r="B1377" i="1"/>
  <c r="C1377" i="1"/>
  <c r="A1378" i="1"/>
  <c r="B1378" i="1"/>
  <c r="C1378" i="1"/>
  <c r="A1379" i="1"/>
  <c r="B1379" i="1"/>
  <c r="C1379" i="1"/>
  <c r="A1380" i="1"/>
  <c r="B1380" i="1"/>
  <c r="C1380" i="1"/>
  <c r="A1381" i="1"/>
  <c r="B1381" i="1"/>
  <c r="C1381" i="1"/>
  <c r="K1381" i="1"/>
  <c r="A1382" i="1"/>
  <c r="B1382" i="1"/>
  <c r="C1382" i="1"/>
  <c r="K1382" i="1"/>
  <c r="A1383" i="1"/>
  <c r="B1383" i="1"/>
  <c r="C1383" i="1"/>
  <c r="K1383" i="1"/>
  <c r="A1384" i="1"/>
  <c r="B1384" i="1"/>
  <c r="C1384" i="1"/>
  <c r="K1384" i="1"/>
  <c r="A1385" i="1"/>
  <c r="B1385" i="1"/>
  <c r="C1385" i="1"/>
  <c r="K1385" i="1"/>
  <c r="A1386" i="1"/>
  <c r="B1386" i="1"/>
  <c r="C1386" i="1"/>
  <c r="K1386" i="1"/>
  <c r="A1387" i="1"/>
  <c r="B1387" i="1"/>
  <c r="C1387" i="1"/>
  <c r="K1387" i="1"/>
  <c r="A1388" i="1"/>
  <c r="B1388" i="1"/>
  <c r="C1388" i="1"/>
  <c r="K1388" i="1"/>
  <c r="A1389" i="1"/>
  <c r="B1389" i="1"/>
  <c r="C1389" i="1"/>
  <c r="K1389" i="1"/>
  <c r="A1390" i="1"/>
  <c r="B1390" i="1"/>
  <c r="C1390" i="1"/>
  <c r="K1390" i="1"/>
  <c r="A1391" i="1"/>
  <c r="B1391" i="1"/>
  <c r="C1391" i="1"/>
  <c r="K1391" i="1"/>
  <c r="A1392" i="1"/>
  <c r="B1392" i="1"/>
  <c r="C1392" i="1"/>
  <c r="K1392" i="1"/>
  <c r="A1393" i="1"/>
  <c r="B1393" i="1"/>
  <c r="C1393" i="1"/>
  <c r="K1393" i="1"/>
  <c r="A1394" i="1"/>
  <c r="B1394" i="1"/>
  <c r="C1394" i="1"/>
  <c r="K1394" i="1"/>
  <c r="A1395" i="1"/>
  <c r="B1395" i="1"/>
  <c r="C1395" i="1"/>
  <c r="K1395" i="1"/>
  <c r="A1396" i="1"/>
  <c r="B1396" i="1"/>
  <c r="C1396" i="1"/>
  <c r="K1396" i="1"/>
  <c r="A1397" i="1"/>
  <c r="B1397" i="1"/>
  <c r="C1397" i="1"/>
  <c r="K1397" i="1"/>
  <c r="A1398" i="1"/>
  <c r="B1398" i="1"/>
  <c r="C1398" i="1"/>
  <c r="K1398" i="1"/>
  <c r="A1399" i="1"/>
  <c r="B1399" i="1"/>
  <c r="C1399" i="1"/>
  <c r="K1399" i="1"/>
  <c r="A1400" i="1"/>
  <c r="B1400" i="1"/>
  <c r="C1400" i="1"/>
  <c r="K1400" i="1"/>
  <c r="A1401" i="1"/>
  <c r="B1401" i="1"/>
  <c r="C1401" i="1"/>
  <c r="K1401" i="1"/>
  <c r="A1402" i="1"/>
  <c r="B1402" i="1"/>
  <c r="C1402" i="1"/>
  <c r="K1402" i="1"/>
  <c r="A1403" i="1"/>
  <c r="B1403" i="1"/>
  <c r="C1403" i="1"/>
  <c r="K1403" i="1"/>
  <c r="A1404" i="1"/>
  <c r="B1404" i="1"/>
  <c r="C1404" i="1"/>
  <c r="K1404" i="1"/>
  <c r="A1405" i="1"/>
  <c r="B1405" i="1"/>
  <c r="C1405" i="1"/>
  <c r="K1405" i="1"/>
  <c r="A1406" i="1"/>
  <c r="B1406" i="1"/>
  <c r="C1406" i="1"/>
  <c r="K1406" i="1"/>
  <c r="A1407" i="1"/>
  <c r="B1407" i="1"/>
  <c r="C1407" i="1"/>
  <c r="K1407" i="1"/>
  <c r="A1408" i="1"/>
  <c r="B1408" i="1"/>
  <c r="C1408" i="1"/>
  <c r="K1408" i="1"/>
  <c r="A1409" i="1"/>
  <c r="B1409" i="1"/>
  <c r="C1409" i="1"/>
  <c r="K1409" i="1"/>
  <c r="A1410" i="1"/>
  <c r="B1410" i="1"/>
  <c r="C1410" i="1"/>
  <c r="K1410" i="1"/>
  <c r="A1411" i="1"/>
  <c r="B1411" i="1"/>
  <c r="C1411" i="1"/>
  <c r="K1411" i="1"/>
  <c r="A1412" i="1"/>
  <c r="B1412" i="1"/>
  <c r="C1412" i="1"/>
  <c r="K1412" i="1"/>
  <c r="A1413" i="1"/>
  <c r="B1413" i="1"/>
  <c r="C1413" i="1"/>
  <c r="K1413" i="1"/>
  <c r="A1414" i="1"/>
  <c r="B1414" i="1"/>
  <c r="C1414" i="1"/>
  <c r="K1414" i="1"/>
  <c r="A1415" i="1"/>
  <c r="B1415" i="1"/>
  <c r="C1415" i="1"/>
  <c r="K1415" i="1"/>
  <c r="A1416" i="1"/>
  <c r="B1416" i="1"/>
  <c r="C1416" i="1"/>
  <c r="K1416" i="1"/>
  <c r="A1417" i="1"/>
  <c r="B1417" i="1"/>
  <c r="C1417" i="1"/>
  <c r="K1417" i="1"/>
  <c r="A1418" i="1"/>
  <c r="B1418" i="1"/>
  <c r="C1418" i="1"/>
  <c r="K1418" i="1"/>
  <c r="A1419" i="1"/>
  <c r="B1419" i="1"/>
  <c r="C1419" i="1"/>
  <c r="K1419" i="1"/>
  <c r="A1420" i="1"/>
  <c r="B1420" i="1"/>
  <c r="C1420" i="1"/>
  <c r="K1420" i="1"/>
  <c r="A1421" i="1"/>
  <c r="B1421" i="1"/>
  <c r="C1421" i="1"/>
  <c r="K1421" i="1"/>
  <c r="A1422" i="1"/>
  <c r="B1422" i="1"/>
  <c r="C1422" i="1"/>
  <c r="K1422" i="1"/>
  <c r="A1423" i="1"/>
  <c r="B1423" i="1"/>
  <c r="C1423" i="1"/>
  <c r="K1423" i="1"/>
  <c r="A1424" i="1"/>
  <c r="B1424" i="1"/>
  <c r="C1424" i="1"/>
  <c r="K1424" i="1"/>
  <c r="A1425" i="1"/>
  <c r="B1425" i="1"/>
  <c r="C1425" i="1"/>
  <c r="A1426" i="1"/>
  <c r="B1426" i="1"/>
  <c r="C1426" i="1"/>
  <c r="K1426" i="1"/>
  <c r="A1427" i="1"/>
  <c r="B1427" i="1"/>
  <c r="C1427" i="1"/>
  <c r="K1427" i="1"/>
  <c r="A1428" i="1"/>
  <c r="B1428" i="1"/>
  <c r="C1428" i="1"/>
  <c r="K1428" i="1"/>
  <c r="A1429" i="1"/>
  <c r="B1429" i="1"/>
  <c r="C1429" i="1"/>
  <c r="K1429" i="1"/>
  <c r="A1430" i="1"/>
  <c r="B1430" i="1"/>
  <c r="C1430" i="1"/>
  <c r="K1430" i="1"/>
  <c r="A1431" i="1"/>
  <c r="B1431" i="1"/>
  <c r="C1431" i="1"/>
  <c r="K1431" i="1"/>
  <c r="A1432" i="1"/>
  <c r="B1432" i="1"/>
  <c r="C1432" i="1"/>
  <c r="K1432" i="1"/>
  <c r="A1433" i="1"/>
  <c r="B1433" i="1"/>
  <c r="C1433" i="1"/>
  <c r="K1433" i="1"/>
  <c r="A1434" i="1"/>
  <c r="B1434" i="1"/>
  <c r="C1434" i="1"/>
  <c r="K1434" i="1"/>
  <c r="A1435" i="1"/>
  <c r="B1435" i="1"/>
  <c r="C1435" i="1"/>
  <c r="K1435" i="1"/>
  <c r="A1436" i="1"/>
  <c r="B1436" i="1"/>
  <c r="C1436" i="1"/>
  <c r="K1436" i="1"/>
  <c r="A1437" i="1"/>
  <c r="B1437" i="1"/>
  <c r="C1437" i="1"/>
  <c r="K1437" i="1"/>
  <c r="A1438" i="1"/>
  <c r="B1438" i="1"/>
  <c r="C1438" i="1"/>
  <c r="K1438" i="1"/>
  <c r="A1439" i="1"/>
  <c r="B1439" i="1"/>
  <c r="C1439" i="1"/>
  <c r="K1439" i="1"/>
  <c r="A1440" i="1"/>
  <c r="B1440" i="1"/>
  <c r="C1440" i="1"/>
  <c r="K1440" i="1"/>
  <c r="A1441" i="1"/>
  <c r="B1441" i="1"/>
  <c r="C1441" i="1"/>
  <c r="K1441" i="1"/>
  <c r="A1442" i="1"/>
  <c r="B1442" i="1"/>
  <c r="C1442" i="1"/>
  <c r="K1442" i="1"/>
  <c r="A1443" i="1"/>
  <c r="B1443" i="1"/>
  <c r="C1443" i="1"/>
  <c r="K1443" i="1"/>
  <c r="A1444" i="1"/>
  <c r="B1444" i="1"/>
  <c r="C1444" i="1"/>
  <c r="K1444" i="1"/>
  <c r="A1445" i="1"/>
  <c r="B1445" i="1"/>
  <c r="C1445" i="1"/>
  <c r="K1445" i="1"/>
  <c r="A1446" i="1"/>
  <c r="B1446" i="1"/>
  <c r="C1446" i="1"/>
  <c r="K1446" i="1"/>
  <c r="A1447" i="1"/>
  <c r="B1447" i="1"/>
  <c r="C1447" i="1"/>
  <c r="K1447" i="1"/>
  <c r="A1448" i="1"/>
  <c r="B1448" i="1"/>
  <c r="C1448" i="1"/>
  <c r="K1448" i="1"/>
  <c r="A1449" i="1"/>
  <c r="B1449" i="1"/>
  <c r="C1449" i="1"/>
  <c r="K1449" i="1"/>
  <c r="A1450" i="1"/>
  <c r="B1450" i="1"/>
  <c r="C1450" i="1"/>
  <c r="K1450" i="1"/>
  <c r="A1451" i="1"/>
  <c r="B1451" i="1"/>
  <c r="C1451" i="1"/>
  <c r="K1451" i="1"/>
  <c r="A1452" i="1"/>
  <c r="B1452" i="1"/>
  <c r="C1452" i="1"/>
  <c r="K1452" i="1"/>
  <c r="A1453" i="1"/>
  <c r="B1453" i="1"/>
  <c r="C1453" i="1"/>
  <c r="K1453" i="1"/>
  <c r="A1454" i="1"/>
  <c r="B1454" i="1"/>
  <c r="C1454" i="1"/>
  <c r="K1454" i="1"/>
  <c r="A1455" i="1"/>
  <c r="B1455" i="1"/>
  <c r="C1455" i="1"/>
  <c r="K1455" i="1"/>
  <c r="A1456" i="1"/>
  <c r="B1456" i="1"/>
  <c r="C1456" i="1"/>
  <c r="K1456" i="1"/>
  <c r="A1457" i="1"/>
  <c r="B1457" i="1"/>
  <c r="C1457" i="1"/>
  <c r="K1457" i="1"/>
  <c r="A1458" i="1"/>
  <c r="B1458" i="1"/>
  <c r="C1458" i="1"/>
  <c r="K1458" i="1"/>
  <c r="A1459" i="1"/>
  <c r="B1459" i="1"/>
  <c r="C1459" i="1"/>
  <c r="K1459" i="1"/>
  <c r="A1460" i="1"/>
  <c r="B1460" i="1"/>
  <c r="C1460" i="1"/>
  <c r="K1460" i="1"/>
  <c r="A1461" i="1"/>
  <c r="B1461" i="1"/>
  <c r="C1461" i="1"/>
  <c r="K1461" i="1"/>
  <c r="A1462" i="1"/>
  <c r="B1462" i="1"/>
  <c r="C1462" i="1"/>
  <c r="K1462" i="1"/>
  <c r="A1463" i="1"/>
  <c r="B1463" i="1"/>
  <c r="C1463" i="1"/>
  <c r="K1463" i="1"/>
  <c r="A1464" i="1"/>
  <c r="B1464" i="1"/>
  <c r="C1464" i="1"/>
  <c r="K1464" i="1"/>
  <c r="A1465" i="1"/>
  <c r="B1465" i="1"/>
  <c r="C1465" i="1"/>
  <c r="K1465" i="1"/>
  <c r="A1466" i="1"/>
  <c r="B1466" i="1"/>
  <c r="C1466" i="1"/>
  <c r="A1467" i="1"/>
  <c r="B1467" i="1"/>
  <c r="C1467" i="1"/>
  <c r="K1467" i="1"/>
  <c r="A1468" i="1"/>
  <c r="B1468" i="1"/>
  <c r="C1468" i="1"/>
  <c r="K1468" i="1"/>
  <c r="A1469" i="1"/>
  <c r="B1469" i="1"/>
  <c r="C1469" i="1"/>
  <c r="K1469" i="1"/>
  <c r="A1470" i="1"/>
  <c r="B1470" i="1"/>
  <c r="C1470" i="1"/>
  <c r="K1470" i="1"/>
  <c r="A1471" i="1"/>
  <c r="B1471" i="1"/>
  <c r="C1471" i="1"/>
  <c r="K1471" i="1"/>
  <c r="A1472" i="1"/>
  <c r="B1472" i="1"/>
  <c r="C1472" i="1"/>
  <c r="K1472" i="1"/>
  <c r="A1473" i="1"/>
  <c r="B1473" i="1"/>
  <c r="C1473" i="1"/>
  <c r="K1473" i="1"/>
  <c r="A1474" i="1"/>
  <c r="B1474" i="1"/>
  <c r="C1474" i="1"/>
  <c r="K1474" i="1"/>
  <c r="A1475" i="1"/>
  <c r="B1475" i="1"/>
  <c r="C1475" i="1"/>
  <c r="K1475" i="1"/>
  <c r="A1476" i="1"/>
  <c r="B1476" i="1"/>
  <c r="C1476" i="1"/>
  <c r="K1476" i="1"/>
  <c r="A1477" i="1"/>
  <c r="B1477" i="1"/>
  <c r="C1477" i="1"/>
  <c r="K1477" i="1"/>
  <c r="A1478" i="1"/>
  <c r="B1478" i="1"/>
  <c r="C1478" i="1"/>
  <c r="K1478" i="1"/>
  <c r="A1479" i="1"/>
  <c r="B1479" i="1"/>
  <c r="C1479" i="1"/>
  <c r="K1479" i="1"/>
  <c r="A1480" i="1"/>
  <c r="B1480" i="1"/>
  <c r="C1480" i="1"/>
  <c r="K1480" i="1"/>
  <c r="A1481" i="1"/>
  <c r="B1481" i="1"/>
  <c r="C1481" i="1"/>
  <c r="K1481" i="1"/>
  <c r="A1482" i="1"/>
  <c r="B1482" i="1"/>
  <c r="C1482" i="1"/>
  <c r="K1482" i="1"/>
  <c r="A1483" i="1"/>
  <c r="B1483" i="1"/>
  <c r="C1483" i="1"/>
  <c r="K1483" i="1"/>
  <c r="A1484" i="1"/>
  <c r="B1484" i="1"/>
  <c r="C1484" i="1"/>
  <c r="K1484" i="1"/>
  <c r="A1485" i="1"/>
  <c r="B1485" i="1"/>
  <c r="C1485" i="1"/>
  <c r="K1485" i="1"/>
  <c r="A1486" i="1"/>
  <c r="B1486" i="1"/>
  <c r="C1486" i="1"/>
  <c r="K1486" i="1"/>
  <c r="A1487" i="1"/>
  <c r="B1487" i="1"/>
  <c r="C1487" i="1"/>
  <c r="K1487" i="1"/>
  <c r="A1488" i="1"/>
  <c r="B1488" i="1"/>
  <c r="C1488" i="1"/>
  <c r="K1488" i="1"/>
  <c r="A1489" i="1"/>
  <c r="B1489" i="1"/>
  <c r="C1489" i="1"/>
  <c r="K1489" i="1"/>
  <c r="A1490" i="1"/>
  <c r="B1490" i="1"/>
  <c r="C1490" i="1"/>
  <c r="K1490" i="1"/>
  <c r="A1491" i="1"/>
  <c r="B1491" i="1"/>
  <c r="C1491" i="1"/>
  <c r="A1492" i="1"/>
  <c r="B1492" i="1"/>
  <c r="C1492" i="1"/>
  <c r="A1493" i="1"/>
  <c r="B1493" i="1"/>
  <c r="C1493" i="1"/>
  <c r="K1493" i="1"/>
  <c r="A1494" i="1"/>
  <c r="B1494" i="1"/>
  <c r="C1494" i="1"/>
  <c r="K1494" i="1"/>
  <c r="A1495" i="1"/>
  <c r="B1495" i="1"/>
  <c r="C1495" i="1"/>
  <c r="A1496" i="1"/>
  <c r="B1496" i="1"/>
  <c r="C1496" i="1"/>
  <c r="K1496" i="1"/>
  <c r="A1497" i="1"/>
  <c r="B1497" i="1"/>
  <c r="C1497" i="1"/>
  <c r="K1497" i="1"/>
  <c r="A1498" i="1"/>
  <c r="B1498" i="1"/>
  <c r="C1498" i="1"/>
  <c r="K1498" i="1"/>
  <c r="A1499" i="1"/>
  <c r="B1499" i="1"/>
  <c r="C1499" i="1"/>
  <c r="K1499" i="1"/>
  <c r="A1500" i="1"/>
  <c r="B1500" i="1"/>
  <c r="C1500" i="1"/>
  <c r="K1500" i="1"/>
  <c r="A1501" i="1"/>
  <c r="B1501" i="1"/>
  <c r="C1501" i="1"/>
  <c r="K1501" i="1"/>
  <c r="A1502" i="1"/>
  <c r="B1502" i="1"/>
  <c r="C1502" i="1"/>
  <c r="K1502" i="1"/>
  <c r="A1503" i="1"/>
  <c r="B1503" i="1"/>
  <c r="C1503" i="1"/>
  <c r="K1503" i="1"/>
  <c r="A1504" i="1"/>
  <c r="B1504" i="1"/>
  <c r="C1504" i="1"/>
  <c r="K1504" i="1"/>
  <c r="A1505" i="1"/>
  <c r="B1505" i="1"/>
  <c r="C1505" i="1"/>
  <c r="K1505" i="1"/>
  <c r="A1506" i="1"/>
  <c r="B1506" i="1"/>
  <c r="C1506" i="1"/>
  <c r="A1507" i="1"/>
  <c r="B1507" i="1"/>
  <c r="C1507" i="1"/>
  <c r="K1507" i="1"/>
  <c r="A1508" i="1"/>
  <c r="B1508" i="1"/>
  <c r="C1508" i="1"/>
  <c r="K1508" i="1"/>
  <c r="A1509" i="1"/>
  <c r="B1509" i="1"/>
  <c r="C1509" i="1"/>
  <c r="K1509" i="1"/>
  <c r="A1510" i="1"/>
  <c r="B1510" i="1"/>
  <c r="C1510" i="1"/>
  <c r="K1510" i="1"/>
  <c r="A1511" i="1"/>
  <c r="B1511" i="1"/>
  <c r="C1511" i="1"/>
  <c r="K1511" i="1"/>
  <c r="A1512" i="1"/>
  <c r="B1512" i="1"/>
  <c r="C1512" i="1"/>
  <c r="K1512" i="1"/>
  <c r="A1513" i="1"/>
  <c r="B1513" i="1"/>
  <c r="C1513" i="1"/>
  <c r="K1513" i="1"/>
  <c r="A1514" i="1"/>
  <c r="B1514" i="1"/>
  <c r="C1514" i="1"/>
  <c r="K1514" i="1"/>
  <c r="A1515" i="1"/>
  <c r="B1515" i="1"/>
  <c r="C1515" i="1"/>
  <c r="K1515" i="1"/>
  <c r="A1516" i="1"/>
  <c r="B1516" i="1"/>
  <c r="C1516" i="1"/>
  <c r="K1516" i="1"/>
  <c r="A1517" i="1"/>
  <c r="B1517" i="1"/>
  <c r="C1517" i="1"/>
  <c r="K1517" i="1"/>
  <c r="A1518" i="1"/>
  <c r="B1518" i="1"/>
  <c r="C1518" i="1"/>
  <c r="K1518" i="1"/>
  <c r="A1519" i="1"/>
  <c r="B1519" i="1"/>
  <c r="C1519" i="1"/>
  <c r="K1519" i="1"/>
  <c r="A1520" i="1"/>
  <c r="B1520" i="1"/>
  <c r="C1520" i="1"/>
  <c r="K1520" i="1"/>
  <c r="A1521" i="1"/>
  <c r="B1521" i="1"/>
  <c r="C1521" i="1"/>
  <c r="K1521" i="1"/>
  <c r="A1522" i="1"/>
  <c r="B1522" i="1"/>
  <c r="C1522" i="1"/>
  <c r="K1522" i="1"/>
  <c r="A1523" i="1"/>
  <c r="B1523" i="1"/>
  <c r="C1523" i="1"/>
  <c r="K1523" i="1"/>
  <c r="A1524" i="1"/>
  <c r="B1524" i="1"/>
  <c r="C1524" i="1"/>
  <c r="K1524" i="1"/>
  <c r="A1525" i="1"/>
  <c r="B1525" i="1"/>
  <c r="C1525" i="1"/>
  <c r="K1525" i="1"/>
  <c r="A1526" i="1"/>
  <c r="B1526" i="1"/>
  <c r="C1526" i="1"/>
  <c r="K1526" i="1"/>
  <c r="A1527" i="1"/>
  <c r="B1527" i="1"/>
  <c r="C1527" i="1"/>
  <c r="K1527" i="1"/>
  <c r="A1528" i="1"/>
  <c r="B1528" i="1"/>
  <c r="C1528" i="1"/>
  <c r="K1528" i="1"/>
  <c r="A1529" i="1"/>
  <c r="B1529" i="1"/>
  <c r="C1529" i="1"/>
  <c r="K1529" i="1"/>
  <c r="A1530" i="1"/>
  <c r="B1530" i="1"/>
  <c r="C1530" i="1"/>
  <c r="K1530" i="1"/>
  <c r="A1531" i="1"/>
  <c r="B1531" i="1"/>
  <c r="C1531" i="1"/>
  <c r="K1531" i="1"/>
  <c r="A1532" i="1"/>
  <c r="B1532" i="1"/>
  <c r="C1532" i="1"/>
  <c r="K1532" i="1"/>
  <c r="A1533" i="1"/>
  <c r="B1533" i="1"/>
  <c r="C1533" i="1"/>
  <c r="K1533" i="1"/>
  <c r="A1534" i="1"/>
  <c r="B1534" i="1"/>
  <c r="C1534" i="1"/>
  <c r="K1534" i="1"/>
  <c r="A1535" i="1"/>
  <c r="B1535" i="1"/>
  <c r="C1535" i="1"/>
  <c r="K1535" i="1"/>
  <c r="A1536" i="1"/>
  <c r="B1536" i="1"/>
  <c r="C1536" i="1"/>
  <c r="A1537" i="1"/>
  <c r="B1537" i="1"/>
  <c r="C1537" i="1"/>
  <c r="K1537" i="1"/>
  <c r="A1538" i="1"/>
  <c r="B1538" i="1"/>
  <c r="C1538" i="1"/>
  <c r="K1538" i="1"/>
  <c r="A1539" i="1"/>
  <c r="B1539" i="1"/>
  <c r="C1539" i="1"/>
  <c r="K1539" i="1"/>
  <c r="A1540" i="1"/>
  <c r="B1540" i="1"/>
  <c r="C1540" i="1"/>
  <c r="K1540" i="1"/>
  <c r="A1541" i="1"/>
  <c r="B1541" i="1"/>
  <c r="C1541" i="1"/>
  <c r="K1541" i="1"/>
  <c r="A1542" i="1"/>
  <c r="B1542" i="1"/>
  <c r="C1542" i="1"/>
  <c r="K1542" i="1"/>
  <c r="A1543" i="1"/>
  <c r="B1543" i="1"/>
  <c r="C1543" i="1"/>
  <c r="K1543" i="1"/>
  <c r="A1544" i="1"/>
  <c r="B1544" i="1"/>
  <c r="C1544" i="1"/>
  <c r="K1544" i="1"/>
  <c r="A1545" i="1"/>
  <c r="B1545" i="1"/>
  <c r="C1545" i="1"/>
  <c r="K1545" i="1"/>
  <c r="A1546" i="1"/>
  <c r="B1546" i="1"/>
  <c r="C1546" i="1"/>
  <c r="K1546" i="1"/>
  <c r="A1547" i="1"/>
  <c r="B1547" i="1"/>
  <c r="C1547" i="1"/>
  <c r="K1547" i="1"/>
  <c r="A1548" i="1"/>
  <c r="B1548" i="1"/>
  <c r="C1548" i="1"/>
  <c r="K1548" i="1"/>
  <c r="A1549" i="1"/>
  <c r="B1549" i="1"/>
  <c r="C1549" i="1"/>
  <c r="K1549" i="1"/>
  <c r="A1550" i="1"/>
  <c r="B1550" i="1"/>
  <c r="C1550" i="1"/>
  <c r="K1550" i="1"/>
  <c r="A1551" i="1"/>
  <c r="B1551" i="1"/>
  <c r="C1551" i="1"/>
  <c r="K1551" i="1"/>
  <c r="A1552" i="1"/>
  <c r="K1552" i="1"/>
  <c r="A1553" i="1"/>
  <c r="K1553" i="1"/>
  <c r="A1554" i="1"/>
  <c r="A1555" i="1"/>
  <c r="K1555" i="1"/>
  <c r="A1556" i="1"/>
  <c r="B1556" i="1"/>
  <c r="C1556" i="1"/>
  <c r="K1556" i="1"/>
  <c r="A1557" i="1"/>
  <c r="B1557" i="1"/>
  <c r="C1557" i="1"/>
  <c r="K1557" i="1"/>
  <c r="A1558" i="1"/>
  <c r="B1558" i="1"/>
  <c r="C1558" i="1"/>
  <c r="K1558" i="1"/>
  <c r="A1559" i="1"/>
  <c r="B1559" i="1"/>
  <c r="C1559" i="1"/>
  <c r="K1559" i="1"/>
  <c r="A1560" i="1"/>
  <c r="B1560" i="1"/>
  <c r="C1560" i="1"/>
  <c r="K1560" i="1"/>
  <c r="A1561" i="1"/>
  <c r="B1561" i="1"/>
  <c r="C1561" i="1"/>
  <c r="K1561" i="1"/>
  <c r="A1562" i="1"/>
  <c r="B1562" i="1"/>
  <c r="C1562" i="1"/>
  <c r="K1562" i="1"/>
  <c r="A1563" i="1"/>
  <c r="B1563" i="1"/>
  <c r="C1563" i="1"/>
  <c r="K1563" i="1"/>
  <c r="A1564" i="1"/>
  <c r="B1564" i="1"/>
  <c r="C1564" i="1"/>
  <c r="K1564" i="1"/>
  <c r="A1565" i="1"/>
  <c r="B1565" i="1"/>
  <c r="C1565" i="1"/>
  <c r="K1565" i="1"/>
  <c r="A1566" i="1"/>
  <c r="B1566" i="1"/>
  <c r="C1566" i="1"/>
  <c r="K1566" i="1"/>
  <c r="A1567" i="1"/>
  <c r="B1567" i="1"/>
  <c r="C1567" i="1"/>
  <c r="K1567" i="1"/>
  <c r="A1568" i="1"/>
  <c r="B1568" i="1"/>
  <c r="C1568" i="1"/>
  <c r="K1568" i="1"/>
  <c r="A1569" i="1"/>
  <c r="B1569" i="1"/>
  <c r="C1569" i="1"/>
  <c r="K1569" i="1"/>
  <c r="A1570" i="1"/>
  <c r="B1570" i="1"/>
  <c r="C1570" i="1"/>
  <c r="K1570" i="1"/>
  <c r="A1571" i="1"/>
  <c r="B1571" i="1"/>
  <c r="C1571" i="1"/>
  <c r="K1571" i="1"/>
  <c r="A1572" i="1"/>
  <c r="B1572" i="1"/>
  <c r="C1572" i="1"/>
  <c r="K1572" i="1"/>
  <c r="A1573" i="1"/>
  <c r="B1573" i="1"/>
  <c r="C1573" i="1"/>
  <c r="K1573" i="1"/>
  <c r="A1574" i="1"/>
  <c r="B1574" i="1"/>
  <c r="C1574" i="1"/>
  <c r="K1574" i="1"/>
  <c r="A1575" i="1"/>
  <c r="B1575" i="1"/>
  <c r="C1575" i="1"/>
  <c r="K1575" i="1"/>
  <c r="A1576" i="1"/>
  <c r="B1576" i="1"/>
  <c r="C1576" i="1"/>
  <c r="K1576" i="1"/>
  <c r="A1577" i="1"/>
  <c r="B1577" i="1"/>
  <c r="C1577" i="1"/>
  <c r="K1577" i="1"/>
  <c r="A1578" i="1"/>
  <c r="B1578" i="1"/>
  <c r="C1578" i="1"/>
  <c r="K1578" i="1"/>
  <c r="A1579" i="1"/>
  <c r="B1579" i="1"/>
  <c r="C1579" i="1"/>
  <c r="K1579" i="1"/>
  <c r="A1580" i="1"/>
  <c r="B1580" i="1"/>
  <c r="C1580" i="1"/>
  <c r="K1580" i="1"/>
  <c r="A1581" i="1"/>
  <c r="B1581" i="1"/>
  <c r="C1581" i="1"/>
  <c r="K1581" i="1"/>
  <c r="A1582" i="1"/>
  <c r="K1582" i="1"/>
  <c r="A1583" i="1"/>
  <c r="B1583" i="1"/>
  <c r="C1583" i="1"/>
  <c r="K1583" i="1"/>
  <c r="A1584" i="1"/>
  <c r="B1584" i="1"/>
  <c r="C1584" i="1"/>
  <c r="K1584" i="1"/>
  <c r="A1585" i="1"/>
  <c r="B1585" i="1"/>
  <c r="C1585" i="1"/>
  <c r="K1585" i="1"/>
  <c r="A1586" i="1"/>
  <c r="B1586" i="1"/>
  <c r="C1586" i="1"/>
  <c r="K1586" i="1"/>
  <c r="A1587" i="1"/>
  <c r="B1587" i="1"/>
  <c r="C1587" i="1"/>
  <c r="K1587" i="1"/>
  <c r="A1588" i="1"/>
  <c r="B1588" i="1"/>
  <c r="C1588" i="1"/>
  <c r="K1588" i="1"/>
  <c r="A1589" i="1"/>
  <c r="B1589" i="1"/>
  <c r="C1589" i="1"/>
  <c r="K1589" i="1"/>
  <c r="A1590" i="1"/>
  <c r="B1590" i="1"/>
  <c r="C1590" i="1"/>
  <c r="K1590" i="1"/>
  <c r="A1591" i="1"/>
  <c r="B1591" i="1"/>
  <c r="C1591" i="1"/>
  <c r="K1591" i="1"/>
  <c r="A1592" i="1"/>
  <c r="B1592" i="1"/>
  <c r="C1592" i="1"/>
  <c r="K1592" i="1"/>
  <c r="A1593" i="1"/>
  <c r="B1593" i="1"/>
  <c r="C1593" i="1"/>
  <c r="K1593" i="1"/>
  <c r="A1594" i="1"/>
  <c r="B1594" i="1"/>
  <c r="C1594" i="1"/>
  <c r="K1594" i="1"/>
  <c r="A1595" i="1"/>
  <c r="B1595" i="1"/>
  <c r="C1595" i="1"/>
  <c r="K1595" i="1"/>
  <c r="A1596" i="1"/>
  <c r="B1596" i="1"/>
  <c r="C1596" i="1"/>
  <c r="K1596" i="1"/>
  <c r="A1597" i="1"/>
  <c r="B1597" i="1"/>
  <c r="C1597" i="1"/>
  <c r="K1597" i="1"/>
  <c r="A1598" i="1"/>
  <c r="B1598" i="1"/>
  <c r="C1598" i="1"/>
  <c r="K1598" i="1"/>
  <c r="A1599" i="1"/>
  <c r="B1599" i="1"/>
  <c r="C1599" i="1"/>
  <c r="K1599" i="1"/>
  <c r="A1600" i="1"/>
  <c r="B1600" i="1"/>
  <c r="C1600" i="1"/>
  <c r="K1600" i="1"/>
  <c r="A1601" i="1"/>
  <c r="B1601" i="1"/>
  <c r="C1601" i="1"/>
  <c r="K1601" i="1"/>
  <c r="A1602" i="1"/>
  <c r="B1602" i="1"/>
  <c r="C1602" i="1"/>
  <c r="K1602" i="1"/>
  <c r="A1603" i="1"/>
  <c r="B1603" i="1"/>
  <c r="C1603" i="1"/>
  <c r="K1603" i="1"/>
  <c r="A1604" i="1"/>
  <c r="B1604" i="1"/>
  <c r="C1604" i="1"/>
  <c r="K1604" i="1"/>
  <c r="A1605" i="1"/>
  <c r="B1605" i="1"/>
  <c r="C1605" i="1"/>
  <c r="K1605" i="1"/>
  <c r="A1606" i="1"/>
  <c r="B1606" i="1"/>
  <c r="C1606" i="1"/>
  <c r="K1606" i="1"/>
  <c r="A1607" i="1"/>
  <c r="B1607" i="1"/>
  <c r="C1607" i="1"/>
  <c r="K1607" i="1"/>
  <c r="A1608" i="1"/>
  <c r="B1608" i="1"/>
  <c r="C1608" i="1"/>
  <c r="K1608" i="1"/>
  <c r="A1609" i="1"/>
  <c r="B1609" i="1"/>
  <c r="C1609" i="1"/>
  <c r="K1609" i="1"/>
  <c r="A1610" i="1"/>
  <c r="B1610" i="1"/>
  <c r="C1610" i="1"/>
  <c r="K1610" i="1"/>
  <c r="A1611" i="1"/>
  <c r="B1611" i="1"/>
  <c r="C1611" i="1"/>
  <c r="K1611" i="1"/>
  <c r="A1612" i="1"/>
  <c r="B1612" i="1"/>
  <c r="C1612" i="1"/>
  <c r="K1612" i="1"/>
  <c r="A1613" i="1"/>
  <c r="B1613" i="1"/>
  <c r="C1613" i="1"/>
  <c r="K1613" i="1"/>
  <c r="A1614" i="1"/>
  <c r="B1614" i="1"/>
  <c r="C1614" i="1"/>
  <c r="K1614" i="1"/>
  <c r="A1615" i="1"/>
  <c r="B1615" i="1"/>
  <c r="C1615" i="1"/>
  <c r="K1615" i="1"/>
  <c r="A1616" i="1"/>
  <c r="B1616" i="1"/>
  <c r="C1616" i="1"/>
  <c r="K1616" i="1"/>
  <c r="A1617" i="1"/>
  <c r="B1617" i="1"/>
  <c r="C1617" i="1"/>
  <c r="K1617" i="1"/>
  <c r="A1618" i="1"/>
  <c r="B1618" i="1"/>
  <c r="C1618" i="1"/>
  <c r="K1618" i="1"/>
  <c r="A1619" i="1"/>
  <c r="B1619" i="1"/>
  <c r="C1619" i="1"/>
  <c r="K1619" i="1"/>
  <c r="A1620" i="1"/>
  <c r="B1620" i="1"/>
  <c r="C1620" i="1"/>
  <c r="K1620" i="1"/>
  <c r="A1621" i="1"/>
  <c r="B1621" i="1"/>
  <c r="C1621" i="1"/>
  <c r="K1621" i="1"/>
  <c r="A1622" i="1"/>
  <c r="B1622" i="1"/>
  <c r="C1622" i="1"/>
  <c r="K1622" i="1"/>
  <c r="A1623" i="1"/>
  <c r="B1623" i="1"/>
  <c r="C1623" i="1"/>
  <c r="K1623" i="1"/>
  <c r="A1624" i="1"/>
  <c r="B1624" i="1"/>
  <c r="C1624" i="1"/>
  <c r="K1624" i="1"/>
  <c r="A1625" i="1"/>
  <c r="B1625" i="1"/>
  <c r="C1625" i="1"/>
  <c r="K1625" i="1"/>
  <c r="A1626" i="1"/>
  <c r="B1626" i="1"/>
  <c r="C1626" i="1"/>
  <c r="K1626" i="1"/>
  <c r="A1627" i="1"/>
  <c r="B1627" i="1"/>
  <c r="C1627" i="1"/>
  <c r="K1627" i="1"/>
  <c r="A1628" i="1"/>
  <c r="B1628" i="1"/>
  <c r="C1628" i="1"/>
  <c r="K1628" i="1"/>
  <c r="A1629" i="1"/>
  <c r="B1629" i="1"/>
  <c r="C1629" i="1"/>
  <c r="K1629" i="1"/>
  <c r="A1630" i="1"/>
  <c r="B1630" i="1"/>
  <c r="C1630" i="1"/>
  <c r="K1630" i="1"/>
  <c r="A1631" i="1"/>
  <c r="B1631" i="1"/>
  <c r="C1631" i="1"/>
  <c r="K1631" i="1"/>
  <c r="A1632" i="1"/>
  <c r="B1632" i="1"/>
  <c r="C1632" i="1"/>
  <c r="K1632" i="1"/>
  <c r="A1633" i="1"/>
  <c r="B1633" i="1"/>
  <c r="C1633" i="1"/>
  <c r="K1633" i="1"/>
  <c r="A1634" i="1"/>
  <c r="B1634" i="1"/>
  <c r="C1634" i="1"/>
  <c r="K1634" i="1"/>
  <c r="A1635" i="1"/>
  <c r="B1635" i="1"/>
  <c r="C1635" i="1"/>
  <c r="K1635" i="1"/>
  <c r="A1636" i="1"/>
  <c r="B1636" i="1"/>
  <c r="C1636" i="1"/>
  <c r="K1636" i="1"/>
  <c r="A1637" i="1"/>
  <c r="B1637" i="1"/>
  <c r="C1637" i="1"/>
  <c r="A1638" i="1"/>
  <c r="B1638" i="1"/>
  <c r="C1638" i="1"/>
  <c r="A1639" i="1"/>
  <c r="B1639" i="1"/>
  <c r="C1639" i="1"/>
  <c r="K1639" i="1"/>
  <c r="A1640" i="1"/>
  <c r="B1640" i="1"/>
  <c r="C1640" i="1"/>
  <c r="K1640" i="1"/>
  <c r="A1641" i="1"/>
  <c r="B1641" i="1"/>
  <c r="C1641" i="1"/>
  <c r="F1641" i="1"/>
  <c r="K1641" i="1"/>
  <c r="A1642" i="1"/>
  <c r="B1642" i="1"/>
  <c r="C1642" i="1"/>
  <c r="F1642" i="1"/>
  <c r="K1642" i="1"/>
  <c r="A1643" i="1"/>
  <c r="B1643" i="1"/>
  <c r="C1643" i="1"/>
  <c r="F1643" i="1"/>
  <c r="K1643" i="1"/>
  <c r="A1644" i="1"/>
  <c r="B1644" i="1"/>
  <c r="C1644" i="1"/>
  <c r="F1644" i="1"/>
  <c r="K1644" i="1"/>
  <c r="A1645" i="1"/>
  <c r="B1645" i="1"/>
  <c r="C1645" i="1"/>
  <c r="F1645" i="1"/>
  <c r="K1645" i="1"/>
  <c r="A1646" i="1"/>
  <c r="B1646" i="1"/>
  <c r="C1646" i="1"/>
  <c r="F1646" i="1"/>
  <c r="K1646" i="1"/>
  <c r="A1647" i="1"/>
  <c r="B1647" i="1"/>
  <c r="C1647" i="1"/>
  <c r="F1647" i="1"/>
  <c r="K1647" i="1"/>
  <c r="A1648" i="1"/>
  <c r="B1648" i="1"/>
  <c r="C1648" i="1"/>
  <c r="F1648" i="1"/>
  <c r="K1648" i="1"/>
  <c r="A1649" i="1"/>
  <c r="B1649" i="1"/>
  <c r="C1649" i="1"/>
  <c r="F1649" i="1"/>
  <c r="K1649" i="1"/>
  <c r="A1650" i="1"/>
  <c r="F1650" i="1"/>
  <c r="A1651" i="1"/>
  <c r="F1651" i="1"/>
  <c r="A1652" i="1"/>
  <c r="B1652" i="1"/>
  <c r="C1652" i="1"/>
  <c r="F1652" i="1"/>
  <c r="K1652" i="1"/>
  <c r="A1653" i="1"/>
  <c r="F1653" i="1"/>
  <c r="A1654" i="1"/>
  <c r="B1654" i="1"/>
  <c r="C1654" i="1"/>
  <c r="F1654" i="1"/>
  <c r="K1654" i="1"/>
  <c r="A1655" i="1"/>
  <c r="F1655" i="1"/>
  <c r="K1655" i="1"/>
  <c r="A1656" i="1"/>
  <c r="B1656" i="1"/>
  <c r="C1656" i="1"/>
  <c r="F1656" i="1"/>
  <c r="K1656" i="1"/>
  <c r="A1657" i="1"/>
  <c r="B1657" i="1"/>
  <c r="C1657" i="1"/>
  <c r="F1657" i="1"/>
  <c r="K1657" i="1"/>
  <c r="A1658" i="1"/>
  <c r="B1658" i="1"/>
  <c r="C1658" i="1"/>
  <c r="F1658" i="1"/>
  <c r="K1658" i="1"/>
  <c r="A1659" i="1"/>
  <c r="B1659" i="1"/>
  <c r="C1659" i="1"/>
  <c r="F1659" i="1"/>
  <c r="K1659" i="1"/>
  <c r="A1660" i="1"/>
  <c r="B1660" i="1"/>
  <c r="C1660" i="1"/>
  <c r="F1660" i="1"/>
  <c r="K1660" i="1"/>
  <c r="A1661" i="1"/>
  <c r="B1661" i="1"/>
  <c r="C1661" i="1"/>
  <c r="F1661" i="1"/>
  <c r="K1661" i="1"/>
  <c r="A1662" i="1"/>
  <c r="B1662" i="1"/>
  <c r="C1662" i="1"/>
  <c r="F1662" i="1"/>
  <c r="K1662" i="1"/>
  <c r="A1663" i="1"/>
  <c r="B1663" i="1"/>
  <c r="C1663" i="1"/>
  <c r="F1663" i="1"/>
  <c r="K1663" i="1"/>
  <c r="A1664" i="1"/>
  <c r="B1664" i="1"/>
  <c r="C1664" i="1"/>
  <c r="F1664" i="1"/>
  <c r="K1664" i="1"/>
  <c r="A1665" i="1"/>
  <c r="B1665" i="1"/>
  <c r="C1665" i="1"/>
  <c r="F1665" i="1"/>
  <c r="K1665" i="1"/>
  <c r="A1666" i="1"/>
  <c r="B1666" i="1"/>
  <c r="C1666" i="1"/>
  <c r="F1666" i="1"/>
  <c r="K1666" i="1"/>
  <c r="A1667" i="1"/>
  <c r="F1667" i="1"/>
  <c r="A1668" i="1"/>
  <c r="B1668" i="1"/>
  <c r="C1668" i="1"/>
  <c r="F1668" i="1"/>
  <c r="K1668" i="1"/>
  <c r="A1669" i="1"/>
  <c r="B1669" i="1"/>
  <c r="C1669" i="1"/>
  <c r="F1669" i="1"/>
  <c r="K1669" i="1"/>
  <c r="A1670" i="1"/>
  <c r="B1670" i="1"/>
  <c r="C1670" i="1"/>
  <c r="F1670" i="1"/>
  <c r="K1670" i="1"/>
  <c r="A1671" i="1"/>
  <c r="B1671" i="1"/>
  <c r="C1671" i="1"/>
  <c r="F1671" i="1"/>
  <c r="K1671" i="1"/>
  <c r="A1672" i="1"/>
  <c r="B1672" i="1"/>
  <c r="C1672" i="1"/>
  <c r="F1672" i="1"/>
  <c r="K1672" i="1"/>
  <c r="A1673" i="1"/>
  <c r="B1673" i="1"/>
  <c r="C1673" i="1"/>
  <c r="F1673" i="1"/>
  <c r="K1673" i="1"/>
  <c r="A1674" i="1"/>
  <c r="B1674" i="1"/>
  <c r="C1674" i="1"/>
  <c r="F1674" i="1"/>
  <c r="K1674" i="1"/>
  <c r="A1675" i="1"/>
  <c r="B1675" i="1"/>
  <c r="C1675" i="1"/>
  <c r="F1675" i="1"/>
  <c r="K1675" i="1"/>
  <c r="A1676" i="1"/>
  <c r="F1676" i="1"/>
  <c r="K1676" i="1"/>
  <c r="A1677" i="1"/>
  <c r="F1677" i="1"/>
  <c r="A1678" i="1"/>
  <c r="F1678" i="1"/>
  <c r="K1678" i="1"/>
  <c r="A1679" i="1"/>
  <c r="B1679" i="1"/>
  <c r="C1679" i="1"/>
  <c r="F1679" i="1"/>
  <c r="K1679" i="1"/>
  <c r="A1680" i="1"/>
  <c r="B1680" i="1"/>
  <c r="C1680" i="1"/>
  <c r="F1680" i="1"/>
  <c r="A1681" i="1"/>
  <c r="B1681" i="1"/>
  <c r="C1681" i="1"/>
  <c r="F1681" i="1"/>
  <c r="K1681" i="1"/>
  <c r="A1682" i="1"/>
  <c r="F1682" i="1"/>
  <c r="K1682" i="1"/>
  <c r="A1683" i="1"/>
  <c r="F1683" i="1"/>
  <c r="A1684" i="1"/>
  <c r="F1684" i="1"/>
  <c r="A1685" i="1"/>
  <c r="F1685" i="1"/>
  <c r="A1686" i="1"/>
  <c r="F1686" i="1"/>
  <c r="A1687" i="1"/>
  <c r="F1687" i="1"/>
  <c r="A1688" i="1"/>
  <c r="B1688" i="1"/>
  <c r="C1688" i="1"/>
  <c r="F1688" i="1"/>
  <c r="K1688" i="1"/>
  <c r="A1689" i="1"/>
  <c r="F1689" i="1"/>
  <c r="K1689" i="1"/>
  <c r="A1690" i="1"/>
  <c r="B1690" i="1"/>
  <c r="C1690" i="1"/>
  <c r="F1690" i="1"/>
  <c r="K1690" i="1"/>
  <c r="A1691" i="1"/>
  <c r="B1691" i="1"/>
  <c r="C1691" i="1"/>
  <c r="F1691" i="1"/>
  <c r="K1691" i="1"/>
  <c r="A1692" i="1"/>
  <c r="B1692" i="1"/>
  <c r="C1692" i="1"/>
  <c r="F1692" i="1"/>
  <c r="K1692" i="1"/>
  <c r="A1693" i="1"/>
  <c r="B1693" i="1"/>
  <c r="C1693" i="1"/>
  <c r="F1693" i="1"/>
  <c r="K1693" i="1"/>
  <c r="A1694" i="1"/>
  <c r="B1694" i="1"/>
  <c r="C1694" i="1"/>
  <c r="F1694" i="1"/>
  <c r="K1694" i="1"/>
  <c r="A1695" i="1"/>
  <c r="B1695" i="1"/>
  <c r="C1695" i="1"/>
  <c r="F1695" i="1"/>
  <c r="K1695" i="1"/>
  <c r="A1696" i="1"/>
  <c r="B1696" i="1"/>
  <c r="C1696" i="1"/>
  <c r="F1696" i="1"/>
  <c r="K1696" i="1"/>
  <c r="A1697" i="1"/>
  <c r="B1697" i="1"/>
  <c r="C1697" i="1"/>
  <c r="F1697" i="1"/>
  <c r="K1697" i="1"/>
  <c r="A1698" i="1"/>
  <c r="B1698" i="1"/>
  <c r="C1698" i="1"/>
  <c r="F1698" i="1"/>
  <c r="K1698" i="1"/>
  <c r="A1699" i="1"/>
  <c r="B1699" i="1"/>
  <c r="C1699" i="1"/>
  <c r="F1699" i="1"/>
  <c r="K1699" i="1"/>
  <c r="A1700" i="1"/>
  <c r="B1700" i="1"/>
  <c r="C1700" i="1"/>
  <c r="F1700" i="1"/>
  <c r="K1700" i="1"/>
  <c r="A1701" i="1"/>
  <c r="B1701" i="1"/>
  <c r="C1701" i="1"/>
  <c r="F1701" i="1"/>
  <c r="K1701" i="1"/>
  <c r="A1702" i="1"/>
  <c r="B1702" i="1"/>
  <c r="C1702" i="1"/>
  <c r="F1702" i="1"/>
  <c r="K1702" i="1"/>
  <c r="A1703" i="1"/>
  <c r="B1703" i="1"/>
  <c r="C1703" i="1"/>
  <c r="F1703" i="1"/>
  <c r="K1703" i="1"/>
  <c r="A1704" i="1"/>
  <c r="B1704" i="1"/>
  <c r="C1704" i="1"/>
  <c r="F1704" i="1"/>
  <c r="K1704" i="1"/>
  <c r="A1705" i="1"/>
  <c r="B1705" i="1"/>
  <c r="C1705" i="1"/>
  <c r="F1705" i="1"/>
  <c r="K1705" i="1"/>
  <c r="A1706" i="1"/>
  <c r="B1706" i="1"/>
  <c r="C1706" i="1"/>
  <c r="F1706" i="1"/>
  <c r="K1706" i="1"/>
  <c r="A1707" i="1"/>
  <c r="B1707" i="1"/>
  <c r="C1707" i="1"/>
  <c r="F1707" i="1"/>
  <c r="K1707" i="1"/>
  <c r="A1708" i="1"/>
  <c r="B1708" i="1"/>
  <c r="C1708" i="1"/>
  <c r="F1708" i="1"/>
  <c r="K1708" i="1"/>
  <c r="A1709" i="1"/>
  <c r="B1709" i="1"/>
  <c r="C1709" i="1"/>
  <c r="F1709" i="1"/>
  <c r="K1709" i="1"/>
  <c r="A1710" i="1"/>
  <c r="B1710" i="1"/>
  <c r="C1710" i="1"/>
  <c r="F1710" i="1"/>
  <c r="K1710" i="1"/>
  <c r="A1711" i="1"/>
  <c r="B1711" i="1"/>
  <c r="C1711" i="1"/>
  <c r="F1711" i="1"/>
  <c r="K1711" i="1"/>
  <c r="A1712" i="1"/>
  <c r="B1712" i="1"/>
  <c r="C1712" i="1"/>
  <c r="F1712" i="1"/>
  <c r="K1712" i="1"/>
  <c r="A1713" i="1"/>
  <c r="B1713" i="1"/>
  <c r="C1713" i="1"/>
  <c r="F1713" i="1"/>
  <c r="K1713" i="1"/>
  <c r="A1714" i="1"/>
  <c r="B1714" i="1"/>
  <c r="C1714" i="1"/>
  <c r="F1714" i="1"/>
  <c r="K1714" i="1"/>
  <c r="A1715" i="1"/>
  <c r="B1715" i="1"/>
  <c r="C1715" i="1"/>
  <c r="F1715" i="1"/>
  <c r="K1715" i="1"/>
  <c r="A1716" i="1"/>
  <c r="B1716" i="1"/>
  <c r="C1716" i="1"/>
  <c r="F1716" i="1"/>
  <c r="K1716" i="1"/>
  <c r="A1717" i="1"/>
  <c r="B1717" i="1"/>
  <c r="C1717" i="1"/>
  <c r="F1717" i="1"/>
  <c r="K1717" i="1"/>
  <c r="A1718" i="1"/>
  <c r="B1718" i="1"/>
  <c r="C1718" i="1"/>
  <c r="F1718" i="1"/>
  <c r="K1718" i="1"/>
  <c r="A1719" i="1"/>
  <c r="B1719" i="1"/>
  <c r="C1719" i="1"/>
  <c r="F1719" i="1"/>
  <c r="K1719" i="1"/>
  <c r="A1720" i="1"/>
  <c r="B1720" i="1"/>
  <c r="C1720" i="1"/>
  <c r="F1720" i="1"/>
  <c r="K1720" i="1"/>
  <c r="A1721" i="1"/>
  <c r="B1721" i="1"/>
  <c r="C1721" i="1"/>
  <c r="F1721" i="1"/>
  <c r="K1721" i="1"/>
  <c r="A1722" i="1"/>
  <c r="B1722" i="1"/>
  <c r="C1722" i="1"/>
  <c r="F1722" i="1"/>
  <c r="K1722" i="1"/>
  <c r="A1723" i="1"/>
  <c r="B1723" i="1"/>
  <c r="C1723" i="1"/>
  <c r="F1723" i="1"/>
  <c r="K1723" i="1"/>
  <c r="A1724" i="1"/>
  <c r="B1724" i="1"/>
  <c r="C1724" i="1"/>
  <c r="F1724" i="1"/>
  <c r="K1724" i="1"/>
  <c r="A1725" i="1"/>
  <c r="B1725" i="1"/>
  <c r="C1725" i="1"/>
  <c r="F1725" i="1"/>
  <c r="K1725" i="1"/>
  <c r="A1726" i="1"/>
  <c r="F1726" i="1"/>
  <c r="A1727" i="1"/>
  <c r="F1727" i="1"/>
  <c r="A1728" i="1"/>
  <c r="F1728" i="1"/>
  <c r="A1729" i="1"/>
  <c r="F1729" i="1"/>
  <c r="A1730" i="1"/>
  <c r="F1730" i="1"/>
  <c r="A1731" i="1"/>
  <c r="B1731" i="1"/>
  <c r="C1731" i="1"/>
  <c r="F1731" i="1"/>
  <c r="K1731" i="1"/>
  <c r="A1732" i="1"/>
  <c r="B1732" i="1"/>
  <c r="C1732" i="1"/>
  <c r="F1732" i="1"/>
  <c r="K1732" i="1"/>
  <c r="A1733" i="1"/>
  <c r="B1733" i="1"/>
  <c r="C1733" i="1"/>
  <c r="F1733" i="1"/>
  <c r="K1733" i="1"/>
  <c r="A1734" i="1"/>
  <c r="F1734" i="1"/>
  <c r="K1734" i="1"/>
  <c r="A1735" i="1"/>
  <c r="B1735" i="1"/>
  <c r="C1735" i="1"/>
  <c r="F1735" i="1"/>
  <c r="K1735" i="1"/>
  <c r="A1736" i="1"/>
  <c r="B1736" i="1"/>
  <c r="C1736" i="1"/>
  <c r="F1736" i="1"/>
  <c r="K1736" i="1"/>
  <c r="A1737" i="1"/>
  <c r="B1737" i="1"/>
  <c r="C1737" i="1"/>
  <c r="F1737" i="1"/>
  <c r="K1737" i="1"/>
  <c r="A1738" i="1"/>
  <c r="B1738" i="1"/>
  <c r="C1738" i="1"/>
  <c r="F1738" i="1"/>
  <c r="K1738" i="1"/>
  <c r="A1739" i="1"/>
  <c r="B1739" i="1"/>
  <c r="C1739" i="1"/>
  <c r="F1739" i="1"/>
  <c r="K1739" i="1"/>
  <c r="A1740" i="1"/>
  <c r="B1740" i="1"/>
  <c r="C1740" i="1"/>
  <c r="F1740" i="1"/>
  <c r="K1740" i="1"/>
  <c r="A1741" i="1"/>
  <c r="F1741" i="1"/>
  <c r="K1741" i="1"/>
  <c r="A1742" i="1"/>
  <c r="B1742" i="1"/>
  <c r="C1742" i="1"/>
  <c r="F1742" i="1"/>
  <c r="K1742" i="1"/>
  <c r="A1743" i="1"/>
  <c r="F1743" i="1"/>
  <c r="K1743" i="1"/>
  <c r="A1744" i="1"/>
  <c r="F1744" i="1"/>
  <c r="A1745" i="1"/>
  <c r="F1745" i="1"/>
  <c r="A1746" i="1"/>
  <c r="F1746" i="1"/>
  <c r="A1747" i="1"/>
  <c r="F1747" i="1"/>
  <c r="A1748" i="1"/>
  <c r="F1748" i="1"/>
  <c r="A1749" i="1"/>
  <c r="B1749" i="1"/>
  <c r="C1749" i="1"/>
  <c r="F1749" i="1"/>
  <c r="K1749" i="1"/>
  <c r="A1750" i="1"/>
  <c r="B1750" i="1"/>
  <c r="C1750" i="1"/>
  <c r="F1750" i="1"/>
  <c r="K1750" i="1"/>
  <c r="A1751" i="1"/>
  <c r="B1751" i="1"/>
  <c r="C1751" i="1"/>
  <c r="F1751" i="1"/>
  <c r="K1751" i="1"/>
  <c r="A1752" i="1"/>
  <c r="B1752" i="1"/>
  <c r="C1752" i="1"/>
  <c r="F1752" i="1"/>
  <c r="K1752" i="1"/>
  <c r="A1753" i="1"/>
  <c r="F1753" i="1"/>
  <c r="K1753" i="1"/>
  <c r="A1754" i="1"/>
  <c r="B1754" i="1"/>
  <c r="C1754" i="1"/>
  <c r="F1754" i="1"/>
  <c r="K1754" i="1"/>
  <c r="A1755" i="1"/>
  <c r="F1755" i="1"/>
  <c r="K1755" i="1"/>
  <c r="A1756" i="1"/>
  <c r="F1756" i="1"/>
  <c r="K1756" i="1"/>
  <c r="A1757" i="1"/>
  <c r="F1757" i="1"/>
  <c r="K1757" i="1"/>
  <c r="A1758" i="1"/>
  <c r="F1758" i="1"/>
  <c r="K1758" i="1"/>
  <c r="A1759" i="1"/>
  <c r="B1759" i="1"/>
  <c r="C1759" i="1"/>
  <c r="F1759" i="1"/>
  <c r="K1759" i="1"/>
  <c r="A1760" i="1"/>
  <c r="F1760" i="1"/>
  <c r="K1760" i="1"/>
  <c r="A1761" i="1"/>
  <c r="F1761" i="1"/>
  <c r="K1761" i="1"/>
  <c r="A1762" i="1"/>
  <c r="B1762" i="1"/>
  <c r="C1762" i="1"/>
  <c r="F1762" i="1"/>
  <c r="K1762" i="1"/>
  <c r="A1763" i="1"/>
  <c r="F1763" i="1"/>
  <c r="K1763" i="1"/>
  <c r="A1764" i="1"/>
  <c r="B1764" i="1"/>
  <c r="C1764" i="1"/>
  <c r="F1764" i="1"/>
  <c r="K1764" i="1"/>
  <c r="A1765" i="1"/>
  <c r="B1765" i="1"/>
  <c r="C1765" i="1"/>
  <c r="F1765" i="1"/>
  <c r="K1765" i="1"/>
  <c r="A1766" i="1"/>
  <c r="B1766" i="1"/>
  <c r="C1766" i="1"/>
  <c r="F1766" i="1"/>
  <c r="K1766" i="1"/>
  <c r="A1767" i="1"/>
  <c r="F1767" i="1"/>
  <c r="K1767" i="1"/>
  <c r="A1768" i="1"/>
  <c r="B1768" i="1"/>
  <c r="C1768" i="1"/>
  <c r="F1768" i="1"/>
  <c r="K1768" i="1"/>
  <c r="A1769" i="1"/>
  <c r="B1769" i="1"/>
  <c r="C1769" i="1"/>
  <c r="F1769" i="1"/>
  <c r="K1769" i="1"/>
  <c r="A1770" i="1"/>
  <c r="B1770" i="1"/>
  <c r="C1770" i="1"/>
  <c r="F1770" i="1"/>
  <c r="K1770" i="1"/>
  <c r="A1771" i="1"/>
  <c r="F1771" i="1"/>
  <c r="K1771" i="1"/>
  <c r="A1772" i="1"/>
  <c r="B1772" i="1"/>
  <c r="C1772" i="1"/>
  <c r="F1772" i="1"/>
  <c r="K1772" i="1"/>
  <c r="A1773" i="1"/>
  <c r="B1773" i="1"/>
  <c r="C1773" i="1"/>
  <c r="F1773" i="1"/>
  <c r="K1773" i="1"/>
  <c r="A1774" i="1"/>
  <c r="B1774" i="1"/>
  <c r="C1774" i="1"/>
  <c r="F1774" i="1"/>
  <c r="K1774" i="1"/>
  <c r="A1775" i="1"/>
  <c r="B1775" i="1"/>
  <c r="C1775" i="1"/>
  <c r="F1775" i="1"/>
  <c r="K1775" i="1"/>
  <c r="A1776" i="1"/>
  <c r="B1776" i="1"/>
  <c r="C1776" i="1"/>
  <c r="F1776" i="1"/>
  <c r="K1776" i="1"/>
  <c r="A1777" i="1"/>
  <c r="B1777" i="1"/>
  <c r="C1777" i="1"/>
  <c r="F1777" i="1"/>
  <c r="K1777" i="1"/>
  <c r="A1778" i="1"/>
  <c r="B1778" i="1"/>
  <c r="C1778" i="1"/>
  <c r="F1778" i="1"/>
  <c r="K1778" i="1"/>
  <c r="A1779" i="1"/>
  <c r="B1779" i="1"/>
  <c r="C1779" i="1"/>
  <c r="F1779" i="1"/>
  <c r="K1779" i="1"/>
  <c r="A1780" i="1"/>
  <c r="B1780" i="1"/>
  <c r="C1780" i="1"/>
  <c r="F1780" i="1"/>
  <c r="K1780" i="1"/>
  <c r="A1781" i="1"/>
  <c r="F1781" i="1"/>
  <c r="K1781" i="1"/>
  <c r="A1782" i="1"/>
  <c r="F1782" i="1"/>
  <c r="A1783" i="1"/>
  <c r="F1783" i="1"/>
  <c r="A1784" i="1"/>
  <c r="F1784" i="1"/>
  <c r="A1785" i="1"/>
  <c r="F1785" i="1"/>
  <c r="A1786" i="1"/>
  <c r="F1786" i="1"/>
  <c r="A1787" i="1"/>
  <c r="F1787" i="1"/>
  <c r="A1788" i="1"/>
  <c r="F1788" i="1"/>
  <c r="A1789" i="1"/>
  <c r="F1789" i="1"/>
  <c r="A1790" i="1"/>
  <c r="F1790" i="1"/>
  <c r="A1791" i="1"/>
  <c r="F1791" i="1"/>
  <c r="A1792" i="1"/>
  <c r="F1792" i="1"/>
  <c r="A1793" i="1"/>
  <c r="F1793" i="1"/>
  <c r="A1794" i="1"/>
  <c r="F1794" i="1"/>
  <c r="A1795" i="1"/>
  <c r="F1795" i="1"/>
  <c r="A1796" i="1"/>
  <c r="F1796" i="1"/>
  <c r="A1797" i="1"/>
  <c r="F1797" i="1"/>
  <c r="A1798" i="1"/>
  <c r="F1798" i="1"/>
  <c r="A1799" i="1"/>
  <c r="F1799" i="1"/>
  <c r="A1800" i="1"/>
  <c r="F1800" i="1"/>
  <c r="A1801" i="1"/>
  <c r="F1801" i="1"/>
  <c r="A1802" i="1"/>
  <c r="F1802" i="1"/>
  <c r="A1803" i="1"/>
  <c r="F1803" i="1"/>
  <c r="A1804" i="1"/>
  <c r="F1804" i="1"/>
  <c r="A1805" i="1"/>
  <c r="F1805" i="1"/>
  <c r="A1806" i="1"/>
  <c r="F1806" i="1"/>
  <c r="A1807" i="1"/>
  <c r="F1807" i="1"/>
  <c r="A1808" i="1"/>
  <c r="F1808" i="1"/>
  <c r="A1809" i="1"/>
  <c r="B1809" i="1"/>
  <c r="C1809" i="1"/>
  <c r="F1809" i="1"/>
  <c r="K1809" i="1"/>
  <c r="A1810" i="1"/>
  <c r="B1810" i="1"/>
  <c r="C1810" i="1"/>
  <c r="F1810" i="1"/>
  <c r="K1810" i="1"/>
  <c r="A1811" i="1"/>
  <c r="B1811" i="1"/>
  <c r="C1811" i="1"/>
  <c r="F1811" i="1"/>
  <c r="K1811" i="1"/>
  <c r="A1812" i="1"/>
  <c r="B1812" i="1"/>
  <c r="C1812" i="1"/>
  <c r="F1812" i="1"/>
  <c r="K1812" i="1"/>
  <c r="A1813" i="1"/>
  <c r="B1813" i="1"/>
  <c r="C1813" i="1"/>
  <c r="F1813" i="1"/>
  <c r="K1813" i="1"/>
  <c r="A1814" i="1"/>
  <c r="B1814" i="1"/>
  <c r="C1814" i="1"/>
  <c r="F1814" i="1"/>
  <c r="K1814" i="1"/>
  <c r="A1815" i="1"/>
  <c r="B1815" i="1"/>
  <c r="C1815" i="1"/>
  <c r="F1815" i="1"/>
  <c r="K1815" i="1"/>
  <c r="A1816" i="1"/>
  <c r="B1816" i="1"/>
  <c r="C1816" i="1"/>
  <c r="F1816" i="1"/>
  <c r="K1816" i="1"/>
  <c r="A1817" i="1"/>
  <c r="B1817" i="1"/>
  <c r="C1817" i="1"/>
  <c r="F1817" i="1"/>
  <c r="K1817" i="1"/>
  <c r="A1818" i="1"/>
  <c r="F1818" i="1"/>
  <c r="A1819" i="1"/>
  <c r="B1819" i="1"/>
  <c r="C1819" i="1"/>
  <c r="F1819" i="1"/>
  <c r="K1819" i="1"/>
  <c r="A1820" i="1"/>
  <c r="B1820" i="1"/>
  <c r="C1820" i="1"/>
  <c r="F1820" i="1"/>
  <c r="K1820" i="1"/>
  <c r="A1821" i="1"/>
  <c r="B1821" i="1"/>
  <c r="C1821" i="1"/>
  <c r="F1821" i="1"/>
  <c r="K1821" i="1"/>
  <c r="A1822" i="1"/>
  <c r="B1822" i="1"/>
  <c r="C1822" i="1"/>
  <c r="F1822" i="1"/>
  <c r="K1822" i="1"/>
  <c r="A1823" i="1"/>
  <c r="B1823" i="1"/>
  <c r="C1823" i="1"/>
  <c r="F1823" i="1"/>
  <c r="K1823" i="1"/>
  <c r="A1824" i="1"/>
  <c r="B1824" i="1"/>
  <c r="C1824" i="1"/>
  <c r="F1824" i="1"/>
  <c r="K1824" i="1"/>
  <c r="A1825" i="1"/>
  <c r="B1825" i="1"/>
  <c r="C1825" i="1"/>
  <c r="F1825" i="1"/>
  <c r="K1825" i="1"/>
  <c r="A1826" i="1"/>
  <c r="B1826" i="1"/>
  <c r="C1826" i="1"/>
  <c r="F1826" i="1"/>
  <c r="K1826" i="1"/>
  <c r="A1827" i="1"/>
  <c r="B1827" i="1"/>
  <c r="C1827" i="1"/>
  <c r="F1827" i="1"/>
  <c r="K1827" i="1"/>
  <c r="A1828" i="1"/>
  <c r="B1828" i="1"/>
  <c r="C1828" i="1"/>
  <c r="F1828" i="1"/>
  <c r="K1828" i="1"/>
  <c r="A1829" i="1"/>
  <c r="B1829" i="1"/>
  <c r="C1829" i="1"/>
  <c r="F1829" i="1"/>
  <c r="K1829" i="1"/>
  <c r="A1830" i="1"/>
  <c r="B1830" i="1"/>
  <c r="C1830" i="1"/>
  <c r="F1830" i="1"/>
  <c r="K1830" i="1"/>
  <c r="A1831" i="1"/>
  <c r="B1831" i="1"/>
  <c r="C1831" i="1"/>
  <c r="F1831" i="1"/>
  <c r="K1831" i="1"/>
  <c r="A1832" i="1"/>
  <c r="B1832" i="1"/>
  <c r="C1832" i="1"/>
  <c r="F1832" i="1"/>
  <c r="K1832" i="1"/>
  <c r="A1833" i="1"/>
  <c r="B1833" i="1"/>
  <c r="C1833" i="1"/>
  <c r="F1833" i="1"/>
  <c r="K1833" i="1"/>
  <c r="A1834" i="1"/>
  <c r="B1834" i="1"/>
  <c r="C1834" i="1"/>
  <c r="F1834" i="1"/>
  <c r="K1834" i="1"/>
  <c r="A1835" i="1"/>
  <c r="B1835" i="1"/>
  <c r="C1835" i="1"/>
  <c r="F1835" i="1"/>
  <c r="K1835" i="1"/>
  <c r="A1836" i="1"/>
  <c r="B1836" i="1"/>
  <c r="C1836" i="1"/>
  <c r="F1836" i="1"/>
  <c r="K1836" i="1"/>
  <c r="A1837" i="1"/>
  <c r="B1837" i="1"/>
  <c r="C1837" i="1"/>
  <c r="F1837" i="1"/>
  <c r="K1837" i="1"/>
  <c r="A1838" i="1"/>
  <c r="B1838" i="1"/>
  <c r="C1838" i="1"/>
  <c r="F1838" i="1"/>
  <c r="K1838" i="1"/>
  <c r="A1839" i="1"/>
  <c r="F1839" i="1"/>
  <c r="A1840" i="1"/>
  <c r="F1840" i="1"/>
  <c r="A1841" i="1"/>
  <c r="B1841" i="1"/>
  <c r="C1841" i="1"/>
  <c r="F1841" i="1"/>
  <c r="K1841" i="1"/>
  <c r="A1842" i="1"/>
  <c r="B1842" i="1"/>
  <c r="C1842" i="1"/>
  <c r="F1842" i="1"/>
  <c r="K1842" i="1"/>
  <c r="A1843" i="1"/>
  <c r="B1843" i="1"/>
  <c r="C1843" i="1"/>
  <c r="F1843" i="1"/>
  <c r="K1843" i="1"/>
  <c r="A1844" i="1"/>
  <c r="B1844" i="1"/>
  <c r="C1844" i="1"/>
  <c r="F1844" i="1"/>
  <c r="K1844" i="1"/>
  <c r="A1845" i="1"/>
  <c r="B1845" i="1"/>
  <c r="C1845" i="1"/>
  <c r="F1845" i="1"/>
  <c r="K1845" i="1"/>
  <c r="A1846" i="1"/>
  <c r="B1846" i="1"/>
  <c r="C1846" i="1"/>
  <c r="F1846" i="1"/>
  <c r="K1846" i="1"/>
  <c r="A1847" i="1"/>
  <c r="B1847" i="1"/>
  <c r="C1847" i="1"/>
  <c r="F1847" i="1"/>
  <c r="K1847" i="1"/>
  <c r="A1848" i="1"/>
  <c r="B1848" i="1"/>
  <c r="C1848" i="1"/>
  <c r="F1848" i="1"/>
  <c r="K1848" i="1"/>
  <c r="A1849" i="1"/>
  <c r="B1849" i="1"/>
  <c r="C1849" i="1"/>
  <c r="F1849" i="1"/>
  <c r="K1849" i="1"/>
  <c r="A1850" i="1"/>
  <c r="B1850" i="1"/>
  <c r="C1850" i="1"/>
  <c r="F1850" i="1"/>
  <c r="K1850" i="1"/>
  <c r="A1851" i="1"/>
  <c r="B1851" i="1"/>
  <c r="C1851" i="1"/>
  <c r="F1851" i="1"/>
  <c r="K1851" i="1"/>
  <c r="A1852" i="1"/>
  <c r="B1852" i="1"/>
  <c r="C1852" i="1"/>
  <c r="F1852" i="1"/>
  <c r="K1852" i="1"/>
  <c r="A1853" i="1"/>
  <c r="B1853" i="1"/>
  <c r="C1853" i="1"/>
  <c r="F1853" i="1"/>
  <c r="K1853" i="1"/>
  <c r="A1854" i="1"/>
  <c r="B1854" i="1"/>
  <c r="C1854" i="1"/>
  <c r="F1854" i="1"/>
  <c r="K1854" i="1"/>
  <c r="A1855" i="1"/>
  <c r="B1855" i="1"/>
  <c r="C1855" i="1"/>
  <c r="F1855" i="1"/>
  <c r="K1855" i="1"/>
  <c r="A1856" i="1"/>
  <c r="F1856" i="1"/>
  <c r="A1857" i="1"/>
  <c r="F1857" i="1"/>
  <c r="A1858" i="1"/>
  <c r="F1858" i="1"/>
  <c r="A1859" i="1"/>
  <c r="B1859" i="1"/>
  <c r="C1859" i="1"/>
  <c r="F1859" i="1"/>
  <c r="K1859" i="1"/>
  <c r="A1860" i="1"/>
  <c r="B1860" i="1"/>
  <c r="C1860" i="1"/>
  <c r="F1860" i="1"/>
  <c r="K1860" i="1"/>
  <c r="A1861" i="1"/>
  <c r="B1861" i="1"/>
  <c r="C1861" i="1"/>
  <c r="F1861" i="1"/>
  <c r="K1861" i="1"/>
  <c r="A1862" i="1"/>
  <c r="B1862" i="1"/>
  <c r="C1862" i="1"/>
  <c r="F1862" i="1"/>
  <c r="K1862" i="1"/>
  <c r="A1863" i="1"/>
  <c r="F1863" i="1"/>
  <c r="A1864" i="1"/>
  <c r="B1864" i="1"/>
  <c r="C1864" i="1"/>
  <c r="F1864" i="1"/>
  <c r="K1864" i="1"/>
  <c r="A1865" i="1"/>
  <c r="B1865" i="1"/>
  <c r="C1865" i="1"/>
  <c r="F1865" i="1"/>
  <c r="K1865" i="1"/>
  <c r="A1866" i="1"/>
  <c r="B1866" i="1"/>
  <c r="C1866" i="1"/>
  <c r="F1866" i="1"/>
  <c r="K1866" i="1"/>
  <c r="A1867" i="1"/>
  <c r="B1867" i="1"/>
  <c r="C1867" i="1"/>
  <c r="F1867" i="1"/>
  <c r="K1867" i="1"/>
  <c r="A1868" i="1"/>
  <c r="B1868" i="1"/>
  <c r="C1868" i="1"/>
  <c r="F1868" i="1"/>
  <c r="A1869" i="1"/>
  <c r="B1869" i="1"/>
  <c r="C1869" i="1"/>
  <c r="F1869" i="1"/>
  <c r="K1869" i="1"/>
  <c r="A1870" i="1"/>
  <c r="B1870" i="1"/>
  <c r="C1870" i="1"/>
  <c r="F1870" i="1"/>
  <c r="K1870" i="1"/>
  <c r="A1871" i="1"/>
  <c r="B1871" i="1"/>
  <c r="C1871" i="1"/>
  <c r="F1871" i="1"/>
  <c r="K1871" i="1"/>
  <c r="A1872" i="1"/>
  <c r="B1872" i="1"/>
  <c r="C1872" i="1"/>
  <c r="F1872" i="1"/>
  <c r="K1872" i="1"/>
  <c r="A1873" i="1"/>
  <c r="F1873" i="1"/>
  <c r="A1874" i="1"/>
  <c r="B1874" i="1"/>
  <c r="C1874" i="1"/>
  <c r="F1874" i="1"/>
  <c r="K1874" i="1"/>
  <c r="A1875" i="1"/>
  <c r="B1875" i="1"/>
  <c r="C1875" i="1"/>
  <c r="F1875" i="1"/>
  <c r="K1875" i="1"/>
  <c r="A1876" i="1"/>
  <c r="B1876" i="1"/>
  <c r="C1876" i="1"/>
  <c r="F1876" i="1"/>
  <c r="K1876" i="1"/>
  <c r="A1877" i="1"/>
  <c r="B1877" i="1"/>
  <c r="C1877" i="1"/>
  <c r="F1877" i="1"/>
  <c r="K1877" i="1"/>
  <c r="A1878" i="1"/>
  <c r="B1878" i="1"/>
  <c r="C1878" i="1"/>
  <c r="F1878" i="1"/>
  <c r="K1878" i="1"/>
  <c r="A1879" i="1"/>
  <c r="F1879" i="1"/>
  <c r="K1879" i="1"/>
  <c r="A1880" i="1"/>
  <c r="B1880" i="1"/>
  <c r="C1880" i="1"/>
  <c r="F1880" i="1"/>
  <c r="K1880" i="1"/>
  <c r="A1881" i="1"/>
  <c r="B1881" i="1"/>
  <c r="C1881" i="1"/>
  <c r="F1881" i="1"/>
  <c r="K1881" i="1"/>
  <c r="A1882" i="1"/>
  <c r="B1882" i="1"/>
  <c r="C1882" i="1"/>
  <c r="F1882" i="1"/>
  <c r="K1882" i="1"/>
  <c r="A1883" i="1"/>
  <c r="F1883" i="1"/>
  <c r="K1883" i="1"/>
  <c r="A1884" i="1"/>
  <c r="B1884" i="1"/>
  <c r="C1884" i="1"/>
  <c r="F1884" i="1"/>
  <c r="K1884" i="1"/>
  <c r="A1885" i="1"/>
  <c r="F1885" i="1"/>
  <c r="K1885" i="1"/>
  <c r="A1886" i="1"/>
  <c r="F1886" i="1"/>
  <c r="A1887" i="1"/>
  <c r="B1887" i="1"/>
  <c r="C1887" i="1"/>
  <c r="F1887" i="1"/>
  <c r="K1887" i="1"/>
  <c r="A1888" i="1"/>
  <c r="B1888" i="1"/>
  <c r="C1888" i="1"/>
  <c r="F1888" i="1"/>
  <c r="K1888" i="1"/>
  <c r="A1889" i="1"/>
  <c r="B1889" i="1"/>
  <c r="C1889" i="1"/>
  <c r="F1889" i="1"/>
  <c r="K1889" i="1"/>
  <c r="A1890" i="1"/>
  <c r="B1890" i="1"/>
  <c r="C1890" i="1"/>
  <c r="F1890" i="1"/>
  <c r="K1890" i="1"/>
  <c r="A1891" i="1"/>
  <c r="B1891" i="1"/>
  <c r="C1891" i="1"/>
  <c r="F1891" i="1"/>
  <c r="K1891" i="1"/>
  <c r="A1892" i="1"/>
  <c r="B1892" i="1"/>
  <c r="C1892" i="1"/>
  <c r="F1892" i="1"/>
  <c r="K1892" i="1"/>
  <c r="A1893" i="1"/>
  <c r="B1893" i="1"/>
  <c r="C1893" i="1"/>
  <c r="F1893" i="1"/>
  <c r="K1893" i="1"/>
  <c r="A1894" i="1"/>
  <c r="B1894" i="1"/>
  <c r="C1894" i="1"/>
  <c r="F1894" i="1"/>
  <c r="K1894" i="1"/>
  <c r="A1895" i="1"/>
  <c r="B1895" i="1"/>
  <c r="C1895" i="1"/>
  <c r="F1895" i="1"/>
  <c r="K1895" i="1"/>
  <c r="A1896" i="1"/>
  <c r="B1896" i="1"/>
  <c r="C1896" i="1"/>
  <c r="F1896" i="1"/>
  <c r="K1896" i="1"/>
  <c r="A1897" i="1"/>
  <c r="B1897" i="1"/>
  <c r="C1897" i="1"/>
  <c r="F1897" i="1"/>
  <c r="K1897" i="1"/>
  <c r="A1898" i="1"/>
  <c r="B1898" i="1"/>
  <c r="C1898" i="1"/>
  <c r="F1898" i="1"/>
  <c r="K1898" i="1"/>
  <c r="A1899" i="1"/>
  <c r="F1899" i="1"/>
  <c r="A1900" i="1"/>
  <c r="F1900" i="1"/>
  <c r="A1901" i="1"/>
  <c r="F1901" i="1"/>
  <c r="A1902" i="1"/>
  <c r="B1902" i="1"/>
  <c r="C1902" i="1"/>
  <c r="F1902" i="1"/>
  <c r="K1902" i="1"/>
  <c r="A1903" i="1"/>
  <c r="B1903" i="1"/>
  <c r="C1903" i="1"/>
  <c r="F1903" i="1"/>
  <c r="K1903" i="1"/>
  <c r="A1904" i="1"/>
  <c r="F1904" i="1"/>
  <c r="K1904" i="1"/>
  <c r="A1905" i="1"/>
  <c r="B1905" i="1"/>
  <c r="C1905" i="1"/>
  <c r="F1905" i="1"/>
  <c r="K1905" i="1"/>
  <c r="A1906" i="1"/>
  <c r="B1906" i="1"/>
  <c r="C1906" i="1"/>
  <c r="F1906" i="1"/>
  <c r="K1906" i="1"/>
  <c r="A1907" i="1"/>
  <c r="B1907" i="1"/>
  <c r="C1907" i="1"/>
  <c r="F1907" i="1"/>
  <c r="K1907" i="1"/>
  <c r="A1908" i="1"/>
  <c r="B1908" i="1"/>
  <c r="C1908" i="1"/>
  <c r="F1908" i="1"/>
  <c r="A1909" i="1"/>
  <c r="B1909" i="1"/>
  <c r="C1909" i="1"/>
  <c r="F1909" i="1"/>
  <c r="K1909" i="1"/>
  <c r="A1910" i="1"/>
  <c r="B1910" i="1"/>
  <c r="C1910" i="1"/>
  <c r="F1910" i="1"/>
  <c r="K1910" i="1"/>
  <c r="A1911" i="1"/>
  <c r="B1911" i="1"/>
  <c r="C1911" i="1"/>
  <c r="F1911" i="1"/>
  <c r="K1911" i="1"/>
  <c r="A1912" i="1"/>
  <c r="F1912" i="1"/>
  <c r="K1912" i="1"/>
  <c r="A1913" i="1"/>
  <c r="F1913" i="1"/>
  <c r="K1913" i="1"/>
  <c r="A1914" i="1"/>
  <c r="F1914" i="1"/>
  <c r="K1914" i="1"/>
  <c r="A1915" i="1"/>
  <c r="B1915" i="1"/>
  <c r="C1915" i="1"/>
  <c r="F1915" i="1"/>
  <c r="K1915" i="1"/>
  <c r="A1916" i="1"/>
  <c r="F1916" i="1"/>
  <c r="K1916" i="1"/>
  <c r="A1917" i="1"/>
  <c r="F1917" i="1"/>
  <c r="K1917" i="1"/>
  <c r="A1918" i="1"/>
  <c r="F1918" i="1"/>
  <c r="K1918" i="1"/>
  <c r="A1919" i="1"/>
  <c r="B1919" i="1"/>
  <c r="C1919" i="1"/>
  <c r="F1919" i="1"/>
  <c r="K1919" i="1"/>
  <c r="A1920" i="1"/>
  <c r="B1920" i="1"/>
  <c r="C1920" i="1"/>
  <c r="F1920" i="1"/>
  <c r="K1920" i="1"/>
  <c r="A1921" i="1"/>
  <c r="B1921" i="1"/>
  <c r="C1921" i="1"/>
  <c r="F1921" i="1"/>
  <c r="K1921" i="1"/>
  <c r="A1922" i="1"/>
  <c r="B1922" i="1"/>
  <c r="C1922" i="1"/>
  <c r="F1922" i="1"/>
  <c r="K1922" i="1"/>
  <c r="A1923" i="1"/>
  <c r="B1923" i="1"/>
  <c r="C1923" i="1"/>
  <c r="F1923" i="1"/>
  <c r="K1923" i="1"/>
  <c r="A1924" i="1"/>
  <c r="F1924" i="1"/>
  <c r="K1924" i="1"/>
  <c r="A1925" i="1"/>
  <c r="F1925" i="1"/>
  <c r="K1925" i="1"/>
  <c r="A1926" i="1"/>
  <c r="B1926" i="1"/>
  <c r="C1926" i="1"/>
  <c r="F1926" i="1"/>
  <c r="K1926" i="1"/>
  <c r="A1927" i="1"/>
  <c r="B1927" i="1"/>
  <c r="C1927" i="1"/>
  <c r="F1927" i="1"/>
  <c r="K1927" i="1"/>
  <c r="A1928" i="1"/>
  <c r="B1928" i="1"/>
  <c r="C1928" i="1"/>
  <c r="F1928" i="1"/>
  <c r="K1928" i="1"/>
  <c r="A1929" i="1"/>
  <c r="B1929" i="1"/>
  <c r="C1929" i="1"/>
  <c r="F1929" i="1"/>
  <c r="K1929" i="1"/>
  <c r="A1930" i="1"/>
  <c r="B1930" i="1"/>
  <c r="C1930" i="1"/>
  <c r="F1930" i="1"/>
  <c r="K1930" i="1"/>
  <c r="A1931" i="1"/>
  <c r="B1931" i="1"/>
  <c r="C1931" i="1"/>
  <c r="F1931" i="1"/>
  <c r="K1931" i="1"/>
  <c r="A1932" i="1"/>
  <c r="B1932" i="1"/>
  <c r="C1932" i="1"/>
  <c r="F1932" i="1"/>
  <c r="K1932" i="1"/>
  <c r="A1933" i="1"/>
  <c r="B1933" i="1"/>
  <c r="C1933" i="1"/>
  <c r="F1933" i="1"/>
  <c r="K1933" i="1"/>
  <c r="A1934" i="1"/>
  <c r="F1934" i="1"/>
  <c r="K1934" i="1"/>
  <c r="A1935" i="1"/>
  <c r="B1935" i="1"/>
  <c r="C1935" i="1"/>
  <c r="F1935" i="1"/>
  <c r="K1935" i="1"/>
  <c r="A1936" i="1"/>
  <c r="F1936" i="1"/>
  <c r="K1936" i="1"/>
  <c r="A1937" i="1"/>
  <c r="F1937" i="1"/>
  <c r="K1937" i="1"/>
  <c r="A1938" i="1"/>
  <c r="B1938" i="1"/>
  <c r="C1938" i="1"/>
  <c r="F1938" i="1"/>
  <c r="K1938" i="1"/>
  <c r="A1939" i="1"/>
  <c r="B1939" i="1"/>
  <c r="C1939" i="1"/>
  <c r="F1939" i="1"/>
  <c r="K1939" i="1"/>
  <c r="A1940" i="1"/>
  <c r="F1940" i="1"/>
  <c r="K1940" i="1"/>
  <c r="A1941" i="1"/>
  <c r="B1941" i="1"/>
  <c r="C1941" i="1"/>
  <c r="F1941" i="1"/>
  <c r="K1941" i="1"/>
  <c r="A1942" i="1"/>
  <c r="B1942" i="1"/>
  <c r="C1942" i="1"/>
  <c r="F1942" i="1"/>
  <c r="K1942" i="1"/>
  <c r="A1943" i="1"/>
  <c r="B1943" i="1"/>
  <c r="C1943" i="1"/>
  <c r="F1943" i="1"/>
  <c r="K1943" i="1"/>
  <c r="A1944" i="1"/>
  <c r="F1944" i="1"/>
  <c r="K1944" i="1"/>
  <c r="A1945" i="1"/>
  <c r="F1945" i="1"/>
  <c r="A1946" i="1"/>
  <c r="F1946" i="1"/>
  <c r="K1946" i="1"/>
  <c r="A1947" i="1"/>
  <c r="F1947" i="1"/>
  <c r="K1947" i="1"/>
  <c r="A1948" i="1"/>
  <c r="F1948" i="1"/>
  <c r="K1948" i="1"/>
  <c r="A1949" i="1"/>
  <c r="B1949" i="1"/>
  <c r="C1949" i="1"/>
  <c r="F1949" i="1"/>
  <c r="K1949" i="1"/>
  <c r="A1950" i="1"/>
  <c r="F1950" i="1"/>
  <c r="K1950" i="1"/>
  <c r="A1951" i="1"/>
  <c r="F1951" i="1"/>
  <c r="K1951" i="1"/>
  <c r="A1952" i="1"/>
  <c r="B1952" i="1"/>
  <c r="C1952" i="1"/>
  <c r="F1952" i="1"/>
  <c r="A1953" i="1"/>
  <c r="B1953" i="1"/>
  <c r="C1953" i="1"/>
  <c r="F1953" i="1"/>
  <c r="A1954" i="1"/>
  <c r="B1954" i="1"/>
  <c r="C1954" i="1"/>
  <c r="F1954" i="1"/>
  <c r="K1954" i="1"/>
  <c r="A1955" i="1"/>
  <c r="B1955" i="1"/>
  <c r="C1955" i="1"/>
  <c r="F1955" i="1"/>
  <c r="K1955" i="1"/>
  <c r="A1956" i="1"/>
  <c r="B1956" i="1"/>
  <c r="C1956" i="1"/>
  <c r="F1956" i="1"/>
  <c r="K1956" i="1"/>
  <c r="A1957" i="1"/>
  <c r="B1957" i="1"/>
  <c r="C1957" i="1"/>
  <c r="F1957" i="1"/>
  <c r="K1957" i="1"/>
  <c r="A1958" i="1"/>
  <c r="B1958" i="1"/>
  <c r="C1958" i="1"/>
  <c r="F1958" i="1"/>
  <c r="K1958" i="1"/>
  <c r="A1959" i="1"/>
  <c r="B1959" i="1"/>
  <c r="C1959" i="1"/>
  <c r="F1959" i="1"/>
  <c r="K1959" i="1"/>
  <c r="A1960" i="1"/>
  <c r="B1960" i="1"/>
  <c r="C1960" i="1"/>
  <c r="F1960" i="1"/>
  <c r="K1960" i="1"/>
  <c r="A1961" i="1"/>
  <c r="B1961" i="1"/>
  <c r="C1961" i="1"/>
  <c r="F1961" i="1"/>
  <c r="K1961" i="1"/>
  <c r="A1962" i="1"/>
  <c r="B1962" i="1"/>
  <c r="C1962" i="1"/>
  <c r="F1962" i="1"/>
  <c r="K1962" i="1"/>
  <c r="A1963" i="1"/>
  <c r="F1963" i="1"/>
  <c r="K1963" i="1"/>
  <c r="A1964" i="1"/>
  <c r="B1964" i="1"/>
  <c r="C1964" i="1"/>
  <c r="F1964" i="1"/>
  <c r="K1964" i="1"/>
  <c r="A1965" i="1"/>
  <c r="B1965" i="1"/>
  <c r="C1965" i="1"/>
  <c r="F1965" i="1"/>
  <c r="K1965" i="1"/>
  <c r="A1966" i="1"/>
  <c r="B1966" i="1"/>
  <c r="C1966" i="1"/>
  <c r="F1966" i="1"/>
  <c r="K1966" i="1"/>
  <c r="A1967" i="1"/>
  <c r="B1967" i="1"/>
  <c r="C1967" i="1"/>
  <c r="F1967" i="1"/>
  <c r="K1967" i="1"/>
  <c r="A1968" i="1"/>
  <c r="B1968" i="1"/>
  <c r="C1968" i="1"/>
  <c r="F1968" i="1"/>
  <c r="K1968" i="1"/>
  <c r="A1969" i="1"/>
  <c r="B1969" i="1"/>
  <c r="C1969" i="1"/>
  <c r="F1969" i="1"/>
  <c r="K1969" i="1"/>
  <c r="A1970" i="1"/>
  <c r="B1970" i="1"/>
  <c r="C1970" i="1"/>
  <c r="F1970" i="1"/>
  <c r="K1970" i="1"/>
  <c r="A1971" i="1"/>
  <c r="B1971" i="1"/>
  <c r="C1971" i="1"/>
  <c r="F1971" i="1"/>
  <c r="K1971" i="1"/>
  <c r="A1972" i="1"/>
  <c r="B1972" i="1"/>
  <c r="C1972" i="1"/>
  <c r="F1972" i="1"/>
  <c r="K1972" i="1"/>
  <c r="A1973" i="1"/>
  <c r="B1973" i="1"/>
  <c r="C1973" i="1"/>
  <c r="F1973" i="1"/>
  <c r="K1973" i="1"/>
  <c r="A1974" i="1"/>
  <c r="B1974" i="1"/>
  <c r="C1974" i="1"/>
  <c r="F1974" i="1"/>
  <c r="K1974" i="1"/>
  <c r="A1975" i="1"/>
  <c r="B1975" i="1"/>
  <c r="C1975" i="1"/>
  <c r="F1975" i="1"/>
  <c r="K1975" i="1"/>
  <c r="A1976" i="1"/>
  <c r="B1976" i="1"/>
  <c r="C1976" i="1"/>
  <c r="F1976" i="1"/>
  <c r="K1976" i="1"/>
  <c r="A1977" i="1"/>
  <c r="B1977" i="1"/>
  <c r="C1977" i="1"/>
  <c r="F1977" i="1"/>
  <c r="K1977" i="1"/>
  <c r="A1978" i="1"/>
  <c r="B1978" i="1"/>
  <c r="C1978" i="1"/>
  <c r="F1978" i="1"/>
  <c r="K1978" i="1"/>
  <c r="A1979" i="1"/>
  <c r="B1979" i="1"/>
  <c r="C1979" i="1"/>
  <c r="F1979" i="1"/>
  <c r="K1979" i="1"/>
  <c r="A1980" i="1"/>
  <c r="B1980" i="1"/>
  <c r="C1980" i="1"/>
  <c r="F1980" i="1"/>
  <c r="K1980" i="1"/>
  <c r="A1981" i="1"/>
  <c r="B1981" i="1"/>
  <c r="C1981" i="1"/>
  <c r="F1981" i="1"/>
  <c r="K1981" i="1"/>
  <c r="A1982" i="1"/>
  <c r="B1982" i="1"/>
  <c r="C1982" i="1"/>
  <c r="F1982" i="1"/>
  <c r="K1982" i="1"/>
  <c r="A1983" i="1"/>
  <c r="B1983" i="1"/>
  <c r="C1983" i="1"/>
  <c r="F1983" i="1"/>
  <c r="K1983" i="1"/>
  <c r="A1984" i="1"/>
  <c r="B1984" i="1"/>
  <c r="C1984" i="1"/>
  <c r="F1984" i="1"/>
  <c r="A1985" i="1"/>
  <c r="B1985" i="1"/>
  <c r="C1985" i="1"/>
  <c r="F1985" i="1"/>
  <c r="K1985" i="1"/>
  <c r="A1986" i="1"/>
  <c r="B1986" i="1"/>
  <c r="C1986" i="1"/>
  <c r="F1986" i="1"/>
  <c r="K1986" i="1"/>
  <c r="A1987" i="1"/>
  <c r="B1987" i="1"/>
  <c r="C1987" i="1"/>
  <c r="F1987" i="1"/>
  <c r="A1988" i="1"/>
  <c r="B1988" i="1"/>
  <c r="C1988" i="1"/>
  <c r="F1988" i="1"/>
  <c r="K1988" i="1"/>
  <c r="A1989" i="1"/>
  <c r="B1989" i="1"/>
  <c r="C1989" i="1"/>
  <c r="F1989" i="1"/>
  <c r="K1989" i="1"/>
  <c r="A1990" i="1"/>
  <c r="B1990" i="1"/>
  <c r="C1990" i="1"/>
  <c r="F1990" i="1"/>
  <c r="K1990" i="1"/>
  <c r="A1991" i="1"/>
  <c r="B1991" i="1"/>
  <c r="C1991" i="1"/>
  <c r="F1991" i="1"/>
  <c r="K1991" i="1"/>
  <c r="A1992" i="1"/>
  <c r="B1992" i="1"/>
  <c r="C1992" i="1"/>
  <c r="F1992" i="1"/>
  <c r="K1992" i="1"/>
  <c r="A1993" i="1"/>
  <c r="B1993" i="1"/>
  <c r="C1993" i="1"/>
  <c r="F1993" i="1"/>
  <c r="K1993" i="1"/>
  <c r="A1994" i="1"/>
  <c r="B1994" i="1"/>
  <c r="C1994" i="1"/>
  <c r="F1994" i="1"/>
  <c r="K1994" i="1"/>
  <c r="A1995" i="1"/>
  <c r="B1995" i="1"/>
  <c r="C1995" i="1"/>
  <c r="F1995" i="1"/>
  <c r="K1995" i="1"/>
  <c r="A1996" i="1"/>
  <c r="B1996" i="1"/>
  <c r="C1996" i="1"/>
  <c r="F1996" i="1"/>
  <c r="K1996" i="1"/>
  <c r="A1997" i="1"/>
  <c r="B1997" i="1"/>
  <c r="C1997" i="1"/>
  <c r="F1997" i="1"/>
  <c r="K1997" i="1"/>
  <c r="A1998" i="1"/>
  <c r="B1998" i="1"/>
  <c r="C1998" i="1"/>
  <c r="F1998" i="1"/>
  <c r="K1998" i="1"/>
  <c r="A1999" i="1"/>
  <c r="B1999" i="1"/>
  <c r="C1999" i="1"/>
  <c r="F1999" i="1"/>
  <c r="K1999" i="1"/>
  <c r="A2000" i="1"/>
  <c r="B2000" i="1"/>
  <c r="C2000" i="1"/>
  <c r="F2000" i="1"/>
  <c r="K2000" i="1"/>
  <c r="A2001" i="1"/>
  <c r="B2001" i="1"/>
  <c r="C2001" i="1"/>
  <c r="F2001" i="1"/>
  <c r="K2001" i="1"/>
  <c r="A2002" i="1"/>
  <c r="B2002" i="1"/>
  <c r="C2002" i="1"/>
  <c r="F2002" i="1"/>
  <c r="K2002" i="1"/>
  <c r="A2003" i="1"/>
  <c r="F2003" i="1"/>
  <c r="A2004" i="1"/>
  <c r="B2004" i="1"/>
  <c r="C2004" i="1"/>
  <c r="F2004" i="1"/>
  <c r="K2004" i="1"/>
  <c r="A2005" i="1"/>
  <c r="B2005" i="1"/>
  <c r="C2005" i="1"/>
  <c r="F2005" i="1"/>
  <c r="K2005" i="1"/>
  <c r="A2006" i="1"/>
  <c r="B2006" i="1"/>
  <c r="C2006" i="1"/>
  <c r="F2006" i="1"/>
  <c r="K2006" i="1"/>
  <c r="A2007" i="1"/>
  <c r="B2007" i="1"/>
  <c r="C2007" i="1"/>
  <c r="F2007" i="1"/>
  <c r="K2007" i="1"/>
  <c r="A2008" i="1"/>
  <c r="B2008" i="1"/>
  <c r="C2008" i="1"/>
  <c r="F2008" i="1"/>
  <c r="K2008" i="1"/>
  <c r="A2009" i="1"/>
  <c r="B2009" i="1"/>
  <c r="C2009" i="1"/>
  <c r="F2009" i="1"/>
  <c r="K2009" i="1"/>
  <c r="A2010" i="1"/>
  <c r="F2010" i="1"/>
  <c r="A2011" i="1"/>
  <c r="F2011" i="1"/>
  <c r="A2012" i="1"/>
  <c r="F2012" i="1"/>
  <c r="A2013" i="1"/>
  <c r="F2013" i="1"/>
  <c r="A2014" i="1"/>
  <c r="F2014" i="1"/>
  <c r="A2015" i="1"/>
  <c r="F2015" i="1"/>
  <c r="A2016" i="1"/>
  <c r="F2016" i="1"/>
  <c r="A2017" i="1"/>
  <c r="B2017" i="1"/>
  <c r="C2017" i="1"/>
  <c r="F2017" i="1"/>
  <c r="K2017" i="1"/>
  <c r="A2018" i="1"/>
  <c r="F2018" i="1"/>
  <c r="A2019" i="1"/>
  <c r="B2019" i="1"/>
  <c r="C2019" i="1"/>
  <c r="F2019" i="1"/>
  <c r="K2019" i="1"/>
  <c r="A2020" i="1"/>
  <c r="F2020" i="1"/>
  <c r="A2021" i="1"/>
  <c r="F2021" i="1"/>
  <c r="A2022" i="1"/>
  <c r="F2022" i="1"/>
  <c r="A2023" i="1"/>
  <c r="F2023" i="1"/>
  <c r="A2024" i="1"/>
  <c r="F2024" i="1"/>
  <c r="A2025" i="1"/>
  <c r="F2025" i="1"/>
  <c r="A2026" i="1"/>
  <c r="B2026" i="1"/>
  <c r="C2026" i="1"/>
  <c r="F2026" i="1"/>
  <c r="K2026" i="1"/>
  <c r="A2027" i="1"/>
  <c r="B2027" i="1"/>
  <c r="C2027" i="1"/>
  <c r="F2027" i="1"/>
  <c r="K2027" i="1"/>
  <c r="A2028" i="1"/>
  <c r="F2028" i="1"/>
  <c r="A2029" i="1"/>
  <c r="B2029" i="1"/>
  <c r="C2029" i="1"/>
  <c r="F2029" i="1"/>
  <c r="K2029" i="1"/>
  <c r="A2030" i="1"/>
  <c r="B2030" i="1"/>
  <c r="C2030" i="1"/>
  <c r="F2030" i="1"/>
  <c r="A2031" i="1"/>
  <c r="B2031" i="1"/>
  <c r="C2031" i="1"/>
  <c r="F2031" i="1"/>
  <c r="K2031" i="1"/>
  <c r="A2032" i="1"/>
  <c r="B2032" i="1"/>
  <c r="C2032" i="1"/>
  <c r="F2032" i="1"/>
  <c r="K2032" i="1"/>
  <c r="A2033" i="1"/>
  <c r="F2033" i="1"/>
  <c r="A2034" i="1"/>
  <c r="F2034" i="1"/>
  <c r="A2035" i="1"/>
  <c r="F2035" i="1"/>
  <c r="A2036" i="1"/>
  <c r="F2036" i="1"/>
  <c r="A2037" i="1"/>
  <c r="F2037" i="1"/>
  <c r="A2038" i="1"/>
  <c r="F2038" i="1"/>
  <c r="A2039" i="1"/>
  <c r="F2039" i="1"/>
  <c r="A2040" i="1"/>
  <c r="F2040" i="1"/>
  <c r="A2041" i="1"/>
  <c r="F2041" i="1"/>
  <c r="A2042" i="1"/>
  <c r="F2042" i="1"/>
  <c r="A2043" i="1"/>
  <c r="F2043" i="1"/>
  <c r="A2044" i="1"/>
  <c r="F2044" i="1"/>
  <c r="A2045" i="1"/>
  <c r="F2045" i="1"/>
  <c r="A2046" i="1"/>
  <c r="F2046" i="1"/>
  <c r="A2047" i="1"/>
  <c r="F2047" i="1"/>
  <c r="A2048" i="1"/>
  <c r="F2048" i="1"/>
  <c r="K2048" i="1"/>
  <c r="A2049" i="1"/>
  <c r="F2049" i="1"/>
  <c r="A2050" i="1"/>
  <c r="F2050" i="1"/>
  <c r="A2051" i="1"/>
  <c r="F2051" i="1"/>
  <c r="A2052" i="1"/>
  <c r="F2052" i="1"/>
  <c r="A2053" i="1"/>
  <c r="F2053" i="1"/>
  <c r="A2054" i="1"/>
  <c r="F2054" i="1"/>
  <c r="A2055" i="1"/>
  <c r="F2055" i="1"/>
  <c r="K2055" i="1"/>
  <c r="A2056" i="1"/>
  <c r="B2056" i="1"/>
  <c r="C2056" i="1"/>
  <c r="F2056" i="1"/>
  <c r="K2056" i="1"/>
  <c r="A2057" i="1"/>
  <c r="B2057" i="1"/>
  <c r="C2057" i="1"/>
  <c r="F2057" i="1"/>
  <c r="K2057" i="1"/>
  <c r="A2058" i="1"/>
  <c r="F2058" i="1"/>
  <c r="K2058" i="1"/>
  <c r="A2059" i="1"/>
  <c r="F2059" i="1"/>
  <c r="A2060" i="1"/>
  <c r="F2060" i="1"/>
  <c r="A2061" i="1"/>
  <c r="F2061" i="1"/>
  <c r="A2062" i="1"/>
  <c r="F2062" i="1"/>
  <c r="A2063" i="1"/>
  <c r="F2063" i="1"/>
  <c r="A2064" i="1"/>
  <c r="F2064" i="1"/>
  <c r="A2065" i="1"/>
  <c r="F2065" i="1"/>
  <c r="A2066" i="1"/>
  <c r="F2066" i="1"/>
  <c r="A2067" i="1"/>
  <c r="F2067" i="1"/>
  <c r="A2068" i="1"/>
  <c r="F2068" i="1"/>
  <c r="K2068" i="1"/>
  <c r="A2069" i="1"/>
  <c r="F2069" i="1"/>
  <c r="K2069" i="1"/>
  <c r="A2070" i="1"/>
  <c r="B2070" i="1"/>
  <c r="C2070" i="1"/>
  <c r="F2070" i="1"/>
  <c r="K2070" i="1"/>
  <c r="A2071" i="1"/>
  <c r="B2071" i="1"/>
  <c r="C2071" i="1"/>
  <c r="F2071" i="1"/>
  <c r="K2071" i="1"/>
  <c r="A2072" i="1"/>
  <c r="B2072" i="1"/>
  <c r="C2072" i="1"/>
  <c r="F2072" i="1"/>
  <c r="K2072" i="1"/>
  <c r="A2073" i="1"/>
  <c r="F2073" i="1"/>
  <c r="A2074" i="1"/>
  <c r="F2074" i="1"/>
  <c r="A2075" i="1"/>
  <c r="B2075" i="1"/>
  <c r="C2075" i="1"/>
  <c r="F2075" i="1"/>
  <c r="K2075" i="1"/>
  <c r="A2076" i="1"/>
  <c r="B2076" i="1"/>
  <c r="C2076" i="1"/>
  <c r="F2076" i="1"/>
  <c r="K2076" i="1"/>
  <c r="A2077" i="1"/>
  <c r="B2077" i="1"/>
  <c r="C2077" i="1"/>
  <c r="F2077" i="1"/>
  <c r="K2077" i="1"/>
  <c r="A2078" i="1"/>
  <c r="B2078" i="1"/>
  <c r="C2078" i="1"/>
  <c r="F2078" i="1"/>
  <c r="K2078" i="1"/>
  <c r="A2079" i="1"/>
  <c r="B2079" i="1"/>
  <c r="C2079" i="1"/>
  <c r="F2079" i="1"/>
  <c r="K2079" i="1"/>
  <c r="A2080" i="1"/>
  <c r="B2080" i="1"/>
  <c r="C2080" i="1"/>
  <c r="F2080" i="1"/>
  <c r="K2080" i="1"/>
  <c r="A2081" i="1"/>
  <c r="F2081" i="1"/>
  <c r="A2082" i="1"/>
  <c r="F2082" i="1"/>
  <c r="A2083" i="1"/>
  <c r="F2083" i="1"/>
  <c r="A2084" i="1"/>
  <c r="F2084" i="1"/>
  <c r="A2085" i="1"/>
  <c r="F2085" i="1"/>
  <c r="A2086" i="1"/>
  <c r="F2086" i="1"/>
  <c r="A2087" i="1"/>
  <c r="B2087" i="1"/>
  <c r="C2087" i="1"/>
  <c r="F2087" i="1"/>
  <c r="K2087" i="1"/>
  <c r="A2088" i="1"/>
  <c r="B2088" i="1"/>
  <c r="C2088" i="1"/>
  <c r="F2088" i="1"/>
  <c r="K2088" i="1"/>
  <c r="A2089" i="1"/>
  <c r="B2089" i="1"/>
  <c r="C2089" i="1"/>
  <c r="F2089" i="1"/>
  <c r="K2089" i="1"/>
  <c r="A2090" i="1"/>
  <c r="B2090" i="1"/>
  <c r="C2090" i="1"/>
  <c r="F2090" i="1"/>
  <c r="K2090" i="1"/>
  <c r="A2091" i="1"/>
  <c r="B2091" i="1"/>
  <c r="C2091" i="1"/>
  <c r="F2091" i="1"/>
  <c r="K2091" i="1"/>
  <c r="A2092" i="1"/>
  <c r="B2092" i="1"/>
  <c r="C2092" i="1"/>
  <c r="F2092" i="1"/>
  <c r="K2092" i="1"/>
  <c r="A2093" i="1"/>
  <c r="B2093" i="1"/>
  <c r="C2093" i="1"/>
  <c r="F2093" i="1"/>
  <c r="K2093" i="1"/>
  <c r="A2094" i="1"/>
  <c r="B2094" i="1"/>
  <c r="C2094" i="1"/>
  <c r="F2094" i="1"/>
  <c r="K2094" i="1"/>
  <c r="A2095" i="1"/>
  <c r="B2095" i="1"/>
  <c r="C2095" i="1"/>
  <c r="F2095" i="1"/>
  <c r="K2095" i="1"/>
  <c r="A2096" i="1"/>
  <c r="B2096" i="1"/>
  <c r="C2096" i="1"/>
  <c r="F2096" i="1"/>
  <c r="K2096" i="1"/>
  <c r="A2097" i="1"/>
  <c r="B2097" i="1"/>
  <c r="C2097" i="1"/>
  <c r="F2097" i="1"/>
  <c r="K2097" i="1"/>
  <c r="A2098" i="1"/>
  <c r="B2098" i="1"/>
  <c r="C2098" i="1"/>
  <c r="F2098" i="1"/>
  <c r="K2098" i="1"/>
  <c r="A2099" i="1"/>
  <c r="B2099" i="1"/>
  <c r="C2099" i="1"/>
  <c r="F2099" i="1"/>
  <c r="K2099" i="1"/>
  <c r="A2100" i="1"/>
  <c r="F2100" i="1"/>
  <c r="A2101" i="1"/>
  <c r="B2101" i="1"/>
  <c r="C2101" i="1"/>
  <c r="F2101" i="1"/>
  <c r="K2101" i="1"/>
  <c r="A2102" i="1"/>
  <c r="B2102" i="1"/>
  <c r="C2102" i="1"/>
  <c r="F2102" i="1"/>
  <c r="K2102" i="1"/>
  <c r="A2103" i="1"/>
  <c r="B2103" i="1"/>
  <c r="C2103" i="1"/>
  <c r="F2103" i="1"/>
  <c r="K2103" i="1"/>
  <c r="A2104" i="1"/>
  <c r="B2104" i="1"/>
  <c r="C2104" i="1"/>
  <c r="F2104" i="1"/>
  <c r="K2104" i="1"/>
  <c r="A2105" i="1"/>
  <c r="B2105" i="1"/>
  <c r="C2105" i="1"/>
  <c r="F2105" i="1"/>
  <c r="K2105" i="1"/>
  <c r="A2106" i="1"/>
  <c r="B2106" i="1"/>
  <c r="C2106" i="1"/>
  <c r="F2106" i="1"/>
  <c r="K2106" i="1"/>
  <c r="A2107" i="1"/>
  <c r="B2107" i="1"/>
  <c r="C2107" i="1"/>
  <c r="F2107" i="1"/>
  <c r="K2107" i="1"/>
  <c r="A2108" i="1"/>
  <c r="B2108" i="1"/>
  <c r="C2108" i="1"/>
  <c r="F2108" i="1"/>
  <c r="K2108" i="1"/>
  <c r="A2109" i="1"/>
  <c r="B2109" i="1"/>
  <c r="C2109" i="1"/>
  <c r="F2109" i="1"/>
  <c r="K2109" i="1"/>
  <c r="A2110" i="1"/>
  <c r="F2110" i="1"/>
  <c r="A2111" i="1"/>
  <c r="F2111" i="1"/>
  <c r="A2112" i="1"/>
  <c r="B2112" i="1"/>
  <c r="C2112" i="1"/>
  <c r="F2112" i="1"/>
  <c r="K2112" i="1"/>
  <c r="A2113" i="1"/>
  <c r="B2113" i="1"/>
  <c r="C2113" i="1"/>
  <c r="F2113" i="1"/>
  <c r="K2113" i="1"/>
  <c r="A2114" i="1"/>
  <c r="B2114" i="1"/>
  <c r="C2114" i="1"/>
  <c r="F2114" i="1"/>
  <c r="K2114" i="1"/>
  <c r="A2115" i="1"/>
  <c r="B2115" i="1"/>
  <c r="C2115" i="1"/>
  <c r="F2115" i="1"/>
  <c r="K2115" i="1"/>
  <c r="A2116" i="1"/>
  <c r="B2116" i="1"/>
  <c r="C2116" i="1"/>
  <c r="F2116" i="1"/>
  <c r="K2116" i="1"/>
  <c r="A2117" i="1"/>
  <c r="B2117" i="1"/>
  <c r="C2117" i="1"/>
  <c r="F2117" i="1"/>
  <c r="K2117" i="1"/>
  <c r="A2118" i="1"/>
  <c r="B2118" i="1"/>
  <c r="C2118" i="1"/>
  <c r="F2118" i="1"/>
  <c r="K2118" i="1"/>
  <c r="A2119" i="1"/>
  <c r="B2119" i="1"/>
  <c r="C2119" i="1"/>
  <c r="F2119" i="1"/>
  <c r="K2119" i="1"/>
  <c r="A2120" i="1"/>
  <c r="B2120" i="1"/>
  <c r="C2120" i="1"/>
  <c r="F2120" i="1"/>
  <c r="K2120" i="1"/>
  <c r="A2121" i="1"/>
  <c r="B2121" i="1"/>
  <c r="C2121" i="1"/>
  <c r="F2121" i="1"/>
  <c r="K2121" i="1"/>
  <c r="A2122" i="1"/>
  <c r="B2122" i="1"/>
  <c r="C2122" i="1"/>
  <c r="F2122" i="1"/>
  <c r="K2122" i="1"/>
  <c r="A2123" i="1"/>
  <c r="B2123" i="1"/>
  <c r="C2123" i="1"/>
  <c r="F2123" i="1"/>
  <c r="K2123" i="1"/>
  <c r="A2124" i="1"/>
  <c r="B2124" i="1"/>
  <c r="C2124" i="1"/>
  <c r="F2124" i="1"/>
  <c r="K2124" i="1"/>
  <c r="A2125" i="1"/>
  <c r="B2125" i="1"/>
  <c r="C2125" i="1"/>
  <c r="F2125" i="1"/>
  <c r="K2125" i="1"/>
  <c r="A2126" i="1"/>
  <c r="F2126" i="1"/>
  <c r="A2127" i="1"/>
  <c r="B2127" i="1"/>
  <c r="C2127" i="1"/>
  <c r="F2127" i="1"/>
  <c r="K2127" i="1"/>
  <c r="A2128" i="1"/>
  <c r="F2128" i="1"/>
  <c r="A2129" i="1"/>
  <c r="F2129" i="1"/>
  <c r="A2130" i="1"/>
  <c r="F2130" i="1"/>
  <c r="A2131" i="1"/>
  <c r="F2131" i="1"/>
  <c r="A2132" i="1"/>
  <c r="F2132" i="1"/>
  <c r="A2133" i="1"/>
  <c r="B2133" i="1"/>
  <c r="C2133" i="1"/>
  <c r="F2133" i="1"/>
  <c r="K2133" i="1"/>
  <c r="A2134" i="1"/>
  <c r="F2134" i="1"/>
  <c r="A2135" i="1"/>
  <c r="F2135" i="1"/>
  <c r="A2136" i="1"/>
  <c r="F2136" i="1"/>
  <c r="A2137" i="1"/>
  <c r="F2137" i="1"/>
  <c r="A2138" i="1"/>
  <c r="F2138" i="1"/>
  <c r="A2139" i="1"/>
  <c r="F2139" i="1"/>
  <c r="A2140" i="1"/>
  <c r="F2140" i="1"/>
  <c r="A2141" i="1"/>
  <c r="F2141" i="1"/>
  <c r="A2142" i="1"/>
  <c r="F2142" i="1"/>
  <c r="A2143" i="1"/>
  <c r="F2143" i="1"/>
  <c r="A2144" i="1"/>
  <c r="F2144" i="1"/>
  <c r="A2145" i="1"/>
  <c r="F2145" i="1"/>
  <c r="A2146" i="1"/>
  <c r="F2146" i="1"/>
  <c r="A2147" i="1"/>
  <c r="F2147" i="1"/>
  <c r="A2148" i="1"/>
  <c r="F2148" i="1"/>
  <c r="A2149" i="1"/>
  <c r="F2149" i="1"/>
  <c r="A2150" i="1"/>
  <c r="F2150" i="1"/>
  <c r="A2151" i="1"/>
  <c r="F2151" i="1"/>
  <c r="A2152" i="1"/>
  <c r="B2152" i="1"/>
  <c r="C2152" i="1"/>
  <c r="F2152" i="1"/>
  <c r="K2152" i="1"/>
  <c r="A2153" i="1"/>
  <c r="B2153" i="1"/>
  <c r="C2153" i="1"/>
  <c r="F2153" i="1"/>
  <c r="K2153" i="1"/>
  <c r="A2154" i="1"/>
  <c r="B2154" i="1"/>
  <c r="C2154" i="1"/>
  <c r="F2154" i="1"/>
  <c r="K2154" i="1"/>
  <c r="A2155" i="1"/>
  <c r="F2155" i="1"/>
  <c r="A2156" i="1"/>
  <c r="F2156" i="1"/>
  <c r="A2157" i="1"/>
  <c r="F2157" i="1"/>
  <c r="A2158" i="1"/>
  <c r="F2158" i="1"/>
  <c r="A2159" i="1"/>
  <c r="F2159" i="1"/>
  <c r="A2160" i="1"/>
  <c r="F2160" i="1"/>
  <c r="A2161" i="1"/>
  <c r="F2161" i="1"/>
  <c r="A2162" i="1"/>
  <c r="F2162" i="1"/>
  <c r="A2163" i="1"/>
  <c r="F2163" i="1"/>
  <c r="A2164" i="1"/>
  <c r="F2164" i="1"/>
  <c r="A2165" i="1"/>
  <c r="F2165" i="1"/>
  <c r="A2166" i="1"/>
  <c r="B2166" i="1"/>
  <c r="C2166" i="1"/>
  <c r="F2166" i="1"/>
  <c r="K2166" i="1"/>
  <c r="A2167" i="1"/>
  <c r="B2167" i="1"/>
  <c r="C2167" i="1"/>
  <c r="F2167" i="1"/>
  <c r="K2167" i="1"/>
  <c r="A2168" i="1"/>
  <c r="B2168" i="1"/>
  <c r="C2168" i="1"/>
  <c r="F2168" i="1"/>
  <c r="K2168" i="1"/>
  <c r="A2169" i="1"/>
  <c r="B2169" i="1"/>
  <c r="C2169" i="1"/>
  <c r="F2169" i="1"/>
  <c r="K2169" i="1"/>
  <c r="A2170" i="1"/>
  <c r="B2170" i="1"/>
  <c r="C2170" i="1"/>
  <c r="F2170" i="1"/>
  <c r="K2170" i="1"/>
  <c r="A2171" i="1"/>
  <c r="B2171" i="1"/>
  <c r="C2171" i="1"/>
  <c r="F2171" i="1"/>
  <c r="K2171" i="1"/>
  <c r="A2172" i="1"/>
  <c r="B2172" i="1"/>
  <c r="C2172" i="1"/>
  <c r="F2172" i="1"/>
  <c r="K2172" i="1"/>
  <c r="A2173" i="1"/>
  <c r="B2173" i="1"/>
  <c r="C2173" i="1"/>
  <c r="F2173" i="1"/>
  <c r="K2173" i="1"/>
  <c r="A2174" i="1"/>
  <c r="B2174" i="1"/>
  <c r="C2174" i="1"/>
  <c r="F2174" i="1"/>
  <c r="K2174" i="1"/>
  <c r="A2175" i="1"/>
  <c r="B2175" i="1"/>
  <c r="C2175" i="1"/>
  <c r="F2175" i="1"/>
  <c r="K2175" i="1"/>
  <c r="A2176" i="1"/>
  <c r="B2176" i="1"/>
  <c r="C2176" i="1"/>
  <c r="F2176" i="1"/>
  <c r="K2176" i="1"/>
  <c r="A2177" i="1"/>
  <c r="B2177" i="1"/>
  <c r="C2177" i="1"/>
  <c r="F2177" i="1"/>
  <c r="K2177" i="1"/>
  <c r="A2178" i="1"/>
  <c r="F2178" i="1"/>
  <c r="A2179" i="1"/>
  <c r="F2179" i="1"/>
  <c r="A2180" i="1"/>
  <c r="B2180" i="1"/>
  <c r="C2180" i="1"/>
  <c r="F2180" i="1"/>
  <c r="K2180" i="1"/>
  <c r="A2181" i="1"/>
  <c r="B2181" i="1"/>
  <c r="C2181" i="1"/>
  <c r="F2181" i="1"/>
  <c r="K2181" i="1"/>
  <c r="A2182" i="1"/>
  <c r="B2182" i="1"/>
  <c r="C2182" i="1"/>
  <c r="F2182" i="1"/>
  <c r="K2182" i="1"/>
  <c r="A2183" i="1"/>
  <c r="B2183" i="1"/>
  <c r="C2183" i="1"/>
  <c r="F2183" i="1"/>
  <c r="K2183" i="1"/>
  <c r="A2184" i="1"/>
  <c r="B2184" i="1"/>
  <c r="C2184" i="1"/>
  <c r="F2184" i="1"/>
  <c r="K2184" i="1"/>
  <c r="A2185" i="1"/>
  <c r="B2185" i="1"/>
  <c r="C2185" i="1"/>
  <c r="F2185" i="1"/>
  <c r="K2185" i="1"/>
  <c r="A2186" i="1"/>
  <c r="B2186" i="1"/>
  <c r="C2186" i="1"/>
  <c r="F2186" i="1"/>
  <c r="K2186" i="1"/>
  <c r="A2187" i="1"/>
  <c r="B2187" i="1"/>
  <c r="C2187" i="1"/>
  <c r="F2187" i="1"/>
  <c r="K2187" i="1"/>
  <c r="A2188" i="1"/>
  <c r="B2188" i="1"/>
  <c r="C2188" i="1"/>
  <c r="F2188" i="1"/>
  <c r="K2188" i="1"/>
  <c r="A2189" i="1"/>
  <c r="B2189" i="1"/>
  <c r="C2189" i="1"/>
  <c r="F2189" i="1"/>
  <c r="K2189" i="1"/>
  <c r="A2190" i="1"/>
  <c r="F2190" i="1"/>
  <c r="A2191" i="1"/>
  <c r="F2191" i="1"/>
  <c r="A2192" i="1"/>
  <c r="B2192" i="1"/>
  <c r="C2192" i="1"/>
  <c r="F2192" i="1"/>
  <c r="K2192" i="1"/>
  <c r="A2193" i="1"/>
  <c r="B2193" i="1"/>
  <c r="C2193" i="1"/>
  <c r="F2193" i="1"/>
  <c r="K2193" i="1"/>
  <c r="A2194" i="1"/>
  <c r="B2194" i="1"/>
  <c r="C2194" i="1"/>
  <c r="F2194" i="1"/>
  <c r="K2194" i="1"/>
  <c r="A2195" i="1"/>
  <c r="B2195" i="1"/>
  <c r="C2195" i="1"/>
  <c r="F2195" i="1"/>
  <c r="K2195" i="1"/>
  <c r="A2196" i="1"/>
  <c r="F2196" i="1"/>
  <c r="A2197" i="1"/>
  <c r="B2197" i="1"/>
  <c r="C2197" i="1"/>
  <c r="F2197" i="1"/>
  <c r="K2197" i="1"/>
  <c r="A2198" i="1"/>
  <c r="B2198" i="1"/>
  <c r="C2198" i="1"/>
  <c r="F2198" i="1"/>
  <c r="K2198" i="1"/>
  <c r="A2199" i="1"/>
  <c r="F2199" i="1"/>
  <c r="K2199" i="1"/>
  <c r="A2200" i="1"/>
  <c r="F2200" i="1"/>
  <c r="A2201" i="1"/>
  <c r="F2201" i="1"/>
  <c r="A2202" i="1"/>
  <c r="F2202" i="1"/>
  <c r="A2203" i="1"/>
  <c r="B2203" i="1"/>
  <c r="C2203" i="1"/>
  <c r="F2203" i="1"/>
  <c r="K2203" i="1"/>
  <c r="A2204" i="1"/>
  <c r="F2204" i="1"/>
  <c r="A2205" i="1"/>
  <c r="F2205" i="1"/>
  <c r="A2206" i="1"/>
  <c r="F2206" i="1"/>
  <c r="A2207" i="1"/>
  <c r="F2207" i="1"/>
  <c r="A2208" i="1"/>
  <c r="B2208" i="1"/>
  <c r="C2208" i="1"/>
  <c r="F2208" i="1"/>
  <c r="K2208" i="1"/>
  <c r="A2209" i="1"/>
  <c r="B2209" i="1"/>
  <c r="C2209" i="1"/>
  <c r="F2209" i="1"/>
  <c r="K2209" i="1"/>
  <c r="A2210" i="1"/>
  <c r="F2210" i="1"/>
  <c r="A2211" i="1"/>
  <c r="F2211" i="1"/>
  <c r="A2212" i="1"/>
  <c r="B2212" i="1"/>
  <c r="C2212" i="1"/>
  <c r="F2212" i="1"/>
  <c r="K2212" i="1"/>
  <c r="A2213" i="1"/>
  <c r="F2213" i="1"/>
  <c r="A2214" i="1"/>
  <c r="F2214" i="1"/>
  <c r="A2215" i="1"/>
  <c r="B2215" i="1"/>
  <c r="C2215" i="1"/>
  <c r="F2215" i="1"/>
  <c r="K2215" i="1"/>
  <c r="A2216" i="1"/>
  <c r="B2216" i="1"/>
  <c r="C2216" i="1"/>
  <c r="F2216" i="1"/>
  <c r="K2216" i="1"/>
  <c r="A2217" i="1"/>
  <c r="B2217" i="1"/>
  <c r="C2217" i="1"/>
  <c r="F2217" i="1"/>
  <c r="K2217" i="1"/>
  <c r="A2218" i="1"/>
  <c r="B2218" i="1"/>
  <c r="C2218" i="1"/>
  <c r="F2218" i="1"/>
  <c r="K2218" i="1"/>
  <c r="A2219" i="1"/>
  <c r="B2219" i="1"/>
  <c r="C2219" i="1"/>
  <c r="F2219" i="1"/>
  <c r="K2219" i="1"/>
  <c r="A2220" i="1"/>
  <c r="B2220" i="1"/>
  <c r="C2220" i="1"/>
  <c r="F2220" i="1"/>
  <c r="K2220" i="1"/>
  <c r="A2221" i="1"/>
  <c r="B2221" i="1"/>
  <c r="C2221" i="1"/>
  <c r="F2221" i="1"/>
  <c r="K2221" i="1"/>
  <c r="A2222" i="1"/>
  <c r="B2222" i="1"/>
  <c r="C2222" i="1"/>
  <c r="F2222" i="1"/>
  <c r="K2222" i="1"/>
  <c r="A2223" i="1"/>
  <c r="B2223" i="1"/>
  <c r="C2223" i="1"/>
  <c r="F2223" i="1"/>
  <c r="K2223" i="1"/>
  <c r="A2224" i="1"/>
  <c r="B2224" i="1"/>
  <c r="C2224" i="1"/>
  <c r="F2224" i="1"/>
  <c r="K2224" i="1"/>
  <c r="A2225" i="1"/>
  <c r="B2225" i="1"/>
  <c r="C2225" i="1"/>
  <c r="F2225" i="1"/>
  <c r="K2225" i="1"/>
  <c r="A2226" i="1"/>
  <c r="B2226" i="1"/>
  <c r="C2226" i="1"/>
  <c r="F2226" i="1"/>
  <c r="K2226" i="1"/>
  <c r="A2227" i="1"/>
  <c r="B2227" i="1"/>
  <c r="C2227" i="1"/>
  <c r="F2227" i="1"/>
  <c r="K2227" i="1"/>
  <c r="A2228" i="1"/>
  <c r="B2228" i="1"/>
  <c r="C2228" i="1"/>
  <c r="F2228" i="1"/>
  <c r="K2228" i="1"/>
  <c r="A2229" i="1"/>
  <c r="B2229" i="1"/>
  <c r="C2229" i="1"/>
  <c r="F2229" i="1"/>
  <c r="K2229" i="1"/>
  <c r="A2230" i="1"/>
  <c r="B2230" i="1"/>
  <c r="C2230" i="1"/>
  <c r="F2230" i="1"/>
  <c r="K2230" i="1"/>
  <c r="A2231" i="1"/>
  <c r="B2231" i="1"/>
  <c r="C2231" i="1"/>
  <c r="F2231" i="1"/>
  <c r="K2231" i="1"/>
  <c r="A2232" i="1"/>
  <c r="B2232" i="1"/>
  <c r="C2232" i="1"/>
  <c r="F2232" i="1"/>
  <c r="K2232" i="1"/>
  <c r="A2233" i="1"/>
  <c r="B2233" i="1"/>
  <c r="C2233" i="1"/>
  <c r="F2233" i="1"/>
  <c r="K2233" i="1"/>
  <c r="A2234" i="1"/>
  <c r="B2234" i="1"/>
  <c r="C2234" i="1"/>
  <c r="F2234" i="1"/>
  <c r="K2234" i="1"/>
  <c r="A2235" i="1"/>
  <c r="B2235" i="1"/>
  <c r="C2235" i="1"/>
  <c r="F2235" i="1"/>
  <c r="K2235" i="1"/>
  <c r="A2236" i="1"/>
  <c r="B2236" i="1"/>
  <c r="C2236" i="1"/>
  <c r="F2236" i="1"/>
  <c r="K2236" i="1"/>
  <c r="A2237" i="1"/>
  <c r="B2237" i="1"/>
  <c r="C2237" i="1"/>
  <c r="F2237" i="1"/>
  <c r="K2237" i="1"/>
  <c r="A2238" i="1"/>
  <c r="F2238" i="1"/>
  <c r="A2239" i="1"/>
  <c r="F2239" i="1"/>
  <c r="A2240" i="1"/>
  <c r="B2240" i="1"/>
  <c r="C2240" i="1"/>
  <c r="F2240" i="1"/>
  <c r="K2240" i="1"/>
  <c r="A2241" i="1"/>
  <c r="B2241" i="1"/>
  <c r="C2241" i="1"/>
  <c r="F2241" i="1"/>
  <c r="K2241" i="1"/>
  <c r="A2242" i="1"/>
  <c r="B2242" i="1"/>
  <c r="C2242" i="1"/>
  <c r="F2242" i="1"/>
  <c r="K2242" i="1"/>
  <c r="A2243" i="1"/>
  <c r="F2243" i="1"/>
  <c r="K2243" i="1"/>
  <c r="A2244" i="1"/>
  <c r="B2244" i="1"/>
  <c r="C2244" i="1"/>
  <c r="F2244" i="1"/>
  <c r="K2244" i="1"/>
  <c r="A2245" i="1"/>
  <c r="F2245" i="1"/>
  <c r="K2245" i="1"/>
  <c r="A2246" i="1"/>
  <c r="B2246" i="1"/>
  <c r="C2246" i="1"/>
  <c r="F2246" i="1"/>
  <c r="K2246" i="1"/>
  <c r="A2247" i="1"/>
  <c r="B2247" i="1"/>
  <c r="C2247" i="1"/>
  <c r="F2247" i="1"/>
  <c r="K2247" i="1"/>
  <c r="A2248" i="1"/>
  <c r="F2248" i="1"/>
  <c r="K2248" i="1"/>
  <c r="A2249" i="1"/>
  <c r="B2249" i="1"/>
  <c r="C2249" i="1"/>
  <c r="F2249" i="1"/>
  <c r="K2249" i="1"/>
  <c r="A2250" i="1"/>
  <c r="F2250" i="1"/>
  <c r="K2250" i="1"/>
  <c r="A2251" i="1"/>
  <c r="F2251" i="1"/>
  <c r="K2251" i="1"/>
  <c r="A2252" i="1"/>
  <c r="F2252" i="1"/>
  <c r="K2252" i="1"/>
  <c r="A2253" i="1"/>
  <c r="F2253" i="1"/>
  <c r="K2253" i="1"/>
  <c r="A2254" i="1"/>
  <c r="B2254" i="1"/>
  <c r="C2254" i="1"/>
  <c r="F2254" i="1"/>
  <c r="K2254" i="1"/>
  <c r="A2255" i="1"/>
  <c r="F2255" i="1"/>
  <c r="K2255" i="1"/>
  <c r="A2256" i="1"/>
  <c r="B2256" i="1"/>
  <c r="C2256" i="1"/>
  <c r="F2256" i="1"/>
  <c r="K2256" i="1"/>
  <c r="A2257" i="1"/>
  <c r="B2257" i="1"/>
  <c r="C2257" i="1"/>
  <c r="F2257" i="1"/>
  <c r="K2257" i="1"/>
  <c r="A2258" i="1"/>
  <c r="F2258" i="1"/>
  <c r="K2258" i="1"/>
  <c r="A2259" i="1"/>
  <c r="F2259" i="1"/>
  <c r="K2259" i="1"/>
  <c r="A2260" i="1"/>
  <c r="F2260" i="1"/>
  <c r="K2260" i="1"/>
  <c r="A2261" i="1"/>
  <c r="F2261" i="1"/>
  <c r="K2261" i="1"/>
  <c r="A2262" i="1"/>
  <c r="F2262" i="1"/>
  <c r="K2262" i="1"/>
  <c r="A2263" i="1"/>
  <c r="F2263" i="1"/>
  <c r="K2263" i="1"/>
  <c r="A2264" i="1"/>
  <c r="B2264" i="1"/>
  <c r="C2264" i="1"/>
  <c r="F2264" i="1"/>
  <c r="K2264" i="1"/>
  <c r="A2265" i="1"/>
  <c r="B2265" i="1"/>
  <c r="C2265" i="1"/>
  <c r="F2265" i="1"/>
  <c r="K2265" i="1"/>
  <c r="A2266" i="1"/>
  <c r="B2266" i="1"/>
  <c r="C2266" i="1"/>
  <c r="F2266" i="1"/>
  <c r="K2266" i="1"/>
  <c r="A2267" i="1"/>
  <c r="B2267" i="1"/>
  <c r="C2267" i="1"/>
  <c r="F2267" i="1"/>
  <c r="K2267" i="1"/>
  <c r="A2268" i="1"/>
  <c r="B2268" i="1"/>
  <c r="C2268" i="1"/>
  <c r="F2268" i="1"/>
  <c r="K2268" i="1"/>
  <c r="A2269" i="1"/>
  <c r="B2269" i="1"/>
  <c r="C2269" i="1"/>
  <c r="F2269" i="1"/>
  <c r="K2269" i="1"/>
  <c r="A2270" i="1"/>
  <c r="B2270" i="1"/>
  <c r="C2270" i="1"/>
  <c r="F2270" i="1"/>
  <c r="K2270" i="1"/>
  <c r="A2271" i="1"/>
  <c r="B2271" i="1"/>
  <c r="C2271" i="1"/>
  <c r="F2271" i="1"/>
  <c r="K2271" i="1"/>
  <c r="A2272" i="1"/>
  <c r="B2272" i="1"/>
  <c r="C2272" i="1"/>
  <c r="F2272" i="1"/>
  <c r="K2272" i="1"/>
  <c r="A2273" i="1"/>
  <c r="B2273" i="1"/>
  <c r="C2273" i="1"/>
  <c r="F2273" i="1"/>
  <c r="K2273" i="1"/>
  <c r="A2274" i="1"/>
  <c r="B2274" i="1"/>
  <c r="C2274" i="1"/>
  <c r="F2274" i="1"/>
  <c r="K2274" i="1"/>
  <c r="A2275" i="1"/>
  <c r="B2275" i="1"/>
  <c r="C2275" i="1"/>
  <c r="F2275" i="1"/>
  <c r="K2275" i="1"/>
  <c r="A2276" i="1"/>
  <c r="F2276" i="1"/>
  <c r="K2276" i="1"/>
  <c r="A2277" i="1"/>
  <c r="F2277" i="1"/>
  <c r="K2277" i="1"/>
  <c r="A2278" i="1"/>
  <c r="B2278" i="1"/>
  <c r="C2278" i="1"/>
  <c r="F2278" i="1"/>
  <c r="K2278" i="1"/>
  <c r="A2279" i="1"/>
  <c r="B2279" i="1"/>
  <c r="C2279" i="1"/>
  <c r="F2279" i="1"/>
  <c r="K2279" i="1"/>
  <c r="A2280" i="1"/>
  <c r="B2280" i="1"/>
  <c r="C2280" i="1"/>
  <c r="F2280" i="1"/>
  <c r="K2280" i="1"/>
  <c r="A2281" i="1"/>
  <c r="F2281" i="1"/>
  <c r="A2282" i="1"/>
  <c r="F2282" i="1"/>
  <c r="A2283" i="1"/>
  <c r="F2283" i="1"/>
  <c r="A2284" i="1"/>
  <c r="F2284" i="1"/>
  <c r="K2284" i="1"/>
  <c r="A2285" i="1"/>
  <c r="B2285" i="1"/>
  <c r="C2285" i="1"/>
  <c r="F2285" i="1"/>
  <c r="K2285" i="1"/>
  <c r="A2286" i="1"/>
  <c r="F2286" i="1"/>
  <c r="K2286" i="1"/>
  <c r="A2287" i="1"/>
  <c r="B2287" i="1"/>
  <c r="C2287" i="1"/>
  <c r="F2287" i="1"/>
  <c r="K2287" i="1"/>
  <c r="A2288" i="1"/>
  <c r="F2288" i="1"/>
  <c r="K2288" i="1"/>
  <c r="A2289" i="1"/>
  <c r="B2289" i="1"/>
  <c r="C2289" i="1"/>
  <c r="F2289" i="1"/>
  <c r="K2289" i="1"/>
  <c r="A2290" i="1"/>
  <c r="F2290" i="1"/>
  <c r="K2290" i="1"/>
  <c r="A2291" i="1"/>
  <c r="B2291" i="1"/>
  <c r="C2291" i="1"/>
  <c r="F2291" i="1"/>
  <c r="K2291" i="1"/>
  <c r="A2292" i="1"/>
  <c r="B2292" i="1"/>
  <c r="C2292" i="1"/>
  <c r="F2292" i="1"/>
  <c r="K2292" i="1"/>
  <c r="A2293" i="1"/>
  <c r="B2293" i="1"/>
  <c r="C2293" i="1"/>
  <c r="F2293" i="1"/>
  <c r="K2293" i="1"/>
  <c r="A2294" i="1"/>
  <c r="F2294" i="1"/>
  <c r="K2294" i="1"/>
  <c r="A2295" i="1"/>
  <c r="F2295" i="1"/>
  <c r="K2295" i="1"/>
  <c r="A2296" i="1"/>
  <c r="F2296" i="1"/>
  <c r="K2296" i="1"/>
  <c r="A2297" i="1"/>
  <c r="B2297" i="1"/>
  <c r="C2297" i="1"/>
  <c r="F2297" i="1"/>
  <c r="K2297" i="1"/>
  <c r="A2298" i="1"/>
  <c r="F2298" i="1"/>
  <c r="K2298" i="1"/>
  <c r="A2299" i="1"/>
  <c r="F2299" i="1"/>
  <c r="K2299" i="1"/>
  <c r="A2300" i="1"/>
  <c r="F2300" i="1"/>
  <c r="A2301" i="1"/>
  <c r="F2301" i="1"/>
  <c r="A2302" i="1"/>
  <c r="F2302" i="1"/>
  <c r="A2303" i="1"/>
  <c r="F2303" i="1"/>
  <c r="A2304" i="1"/>
  <c r="F2304" i="1"/>
  <c r="A2305" i="1"/>
  <c r="F2305" i="1"/>
  <c r="A2306" i="1"/>
  <c r="F2306" i="1"/>
  <c r="A2307" i="1"/>
  <c r="F2307" i="1"/>
  <c r="A2308" i="1"/>
  <c r="F2308" i="1"/>
  <c r="A2309" i="1"/>
  <c r="B2309" i="1"/>
  <c r="C2309" i="1"/>
  <c r="F2309" i="1"/>
  <c r="K2309" i="1"/>
  <c r="A2310" i="1"/>
  <c r="B2310" i="1"/>
  <c r="C2310" i="1"/>
  <c r="F2310" i="1"/>
  <c r="K2310" i="1"/>
  <c r="A2311" i="1"/>
  <c r="B2311" i="1"/>
  <c r="C2311" i="1"/>
  <c r="F2311" i="1"/>
  <c r="K2311" i="1"/>
  <c r="A2312" i="1"/>
  <c r="F2312" i="1"/>
  <c r="K2312" i="1"/>
  <c r="A2313" i="1"/>
  <c r="B2313" i="1"/>
  <c r="C2313" i="1"/>
  <c r="F2313" i="1"/>
  <c r="K2313" i="1"/>
  <c r="A2314" i="1"/>
  <c r="F2314" i="1"/>
  <c r="K2314" i="1"/>
  <c r="A2315" i="1"/>
  <c r="F2315" i="1"/>
  <c r="K2315" i="1"/>
  <c r="A2316" i="1"/>
  <c r="F2316" i="1"/>
  <c r="K2316" i="1"/>
  <c r="A2317" i="1"/>
  <c r="F2317" i="1"/>
  <c r="K2317" i="1"/>
  <c r="A2318" i="1"/>
  <c r="B2318" i="1"/>
  <c r="C2318" i="1"/>
  <c r="F2318" i="1"/>
  <c r="K2318" i="1"/>
  <c r="A2319" i="1"/>
  <c r="F2319" i="1"/>
  <c r="K2319" i="1"/>
  <c r="A2320" i="1"/>
  <c r="F2320" i="1"/>
  <c r="K2320" i="1"/>
  <c r="A2321" i="1"/>
  <c r="F2321" i="1"/>
  <c r="K2321" i="1"/>
  <c r="A2322" i="1"/>
  <c r="F2322" i="1"/>
  <c r="K2322" i="1"/>
  <c r="A2323" i="1"/>
  <c r="F2323" i="1"/>
  <c r="A2324" i="1"/>
  <c r="F2324" i="1"/>
  <c r="A2325" i="1"/>
  <c r="F2325" i="1"/>
  <c r="A2326" i="1"/>
  <c r="F2326" i="1"/>
  <c r="A2327" i="1"/>
  <c r="F2327" i="1"/>
  <c r="A2328" i="1"/>
  <c r="F2328" i="1"/>
  <c r="A2329" i="1"/>
  <c r="F2329" i="1"/>
  <c r="A2330" i="1"/>
  <c r="F2330" i="1"/>
  <c r="A2331" i="1"/>
  <c r="F2331" i="1"/>
  <c r="A2332" i="1"/>
  <c r="B2332" i="1"/>
  <c r="C2332" i="1"/>
  <c r="F2332" i="1"/>
  <c r="K2332" i="1"/>
  <c r="A2333" i="1"/>
  <c r="B2333" i="1"/>
  <c r="C2333" i="1"/>
  <c r="F2333" i="1"/>
  <c r="A2334" i="1"/>
  <c r="F2334" i="1"/>
  <c r="A2335" i="1"/>
  <c r="F2335" i="1"/>
  <c r="A2336" i="1"/>
  <c r="F2336" i="1"/>
  <c r="A2337" i="1"/>
  <c r="F2337" i="1"/>
  <c r="A2338" i="1"/>
  <c r="F2338" i="1"/>
  <c r="A2339" i="1"/>
  <c r="F2339" i="1"/>
  <c r="A2340" i="1"/>
  <c r="F2340" i="1"/>
  <c r="A2341" i="1"/>
  <c r="F2341" i="1"/>
  <c r="A2342" i="1"/>
  <c r="F2342" i="1"/>
  <c r="A2343" i="1"/>
  <c r="F2343" i="1"/>
  <c r="A2344" i="1"/>
  <c r="F2344" i="1"/>
  <c r="K2344" i="1"/>
  <c r="A2345" i="1"/>
  <c r="B2345" i="1"/>
  <c r="C2345" i="1"/>
  <c r="F2345" i="1"/>
  <c r="K2345" i="1"/>
  <c r="A2346" i="1"/>
  <c r="F2346" i="1"/>
  <c r="K2346" i="1"/>
  <c r="A2347" i="1"/>
  <c r="B2347" i="1"/>
  <c r="C2347" i="1"/>
  <c r="F2347" i="1"/>
  <c r="K2347" i="1"/>
  <c r="A2348" i="1"/>
  <c r="F2348" i="1"/>
  <c r="A2349" i="1"/>
  <c r="F2349" i="1"/>
  <c r="A2350" i="1"/>
  <c r="F2350" i="1"/>
  <c r="A2351" i="1"/>
  <c r="B2351" i="1"/>
  <c r="C2351" i="1"/>
  <c r="F2351" i="1"/>
  <c r="K2351" i="1"/>
  <c r="A2352" i="1"/>
  <c r="B2352" i="1"/>
  <c r="C2352" i="1"/>
  <c r="F2352" i="1"/>
  <c r="K2352" i="1"/>
  <c r="A2353" i="1"/>
  <c r="B2353" i="1"/>
  <c r="C2353" i="1"/>
  <c r="F2353" i="1"/>
  <c r="K2353" i="1"/>
  <c r="A2354" i="1"/>
  <c r="B2354" i="1"/>
  <c r="C2354" i="1"/>
  <c r="F2354" i="1"/>
  <c r="K2354" i="1"/>
  <c r="A2355" i="1"/>
  <c r="B2355" i="1"/>
  <c r="C2355" i="1"/>
  <c r="F2355" i="1"/>
  <c r="K2355" i="1"/>
  <c r="A2356" i="1"/>
  <c r="F2356" i="1"/>
  <c r="K2356" i="1"/>
  <c r="A2357" i="1"/>
  <c r="F2357" i="1"/>
  <c r="K2357" i="1"/>
  <c r="A2358" i="1"/>
  <c r="F2358" i="1"/>
  <c r="K2358" i="1"/>
  <c r="A2359" i="1"/>
  <c r="F2359" i="1"/>
  <c r="K2359" i="1"/>
  <c r="A2360" i="1"/>
  <c r="F2360" i="1"/>
  <c r="K2360" i="1"/>
  <c r="A2361" i="1"/>
  <c r="B2361" i="1"/>
  <c r="C2361" i="1"/>
  <c r="F2361" i="1"/>
  <c r="K2361" i="1"/>
  <c r="A2362" i="1"/>
  <c r="B2362" i="1"/>
  <c r="C2362" i="1"/>
  <c r="F2362" i="1"/>
  <c r="K2362" i="1"/>
  <c r="A2363" i="1"/>
  <c r="B2363" i="1"/>
  <c r="C2363" i="1"/>
  <c r="F2363" i="1"/>
  <c r="K2363" i="1"/>
  <c r="A2364" i="1"/>
  <c r="B2364" i="1"/>
  <c r="C2364" i="1"/>
  <c r="F2364" i="1"/>
  <c r="K2364" i="1"/>
  <c r="A2365" i="1"/>
  <c r="F2365" i="1"/>
  <c r="K2365" i="1"/>
  <c r="A2366" i="1"/>
  <c r="F2366" i="1"/>
  <c r="K2366" i="1"/>
  <c r="A2367" i="1"/>
  <c r="F2367" i="1"/>
  <c r="K2367" i="1"/>
  <c r="A2368" i="1"/>
  <c r="F2368" i="1"/>
  <c r="K2368" i="1"/>
  <c r="A2369" i="1"/>
  <c r="F2369" i="1"/>
  <c r="K2369" i="1"/>
  <c r="A2370" i="1"/>
  <c r="F2370" i="1"/>
  <c r="K2370" i="1"/>
  <c r="A2371" i="1"/>
  <c r="F2371" i="1"/>
  <c r="A2372" i="1"/>
  <c r="B2372" i="1"/>
  <c r="C2372" i="1"/>
  <c r="F2372" i="1"/>
  <c r="K2372" i="1"/>
  <c r="A2373" i="1"/>
  <c r="B2373" i="1"/>
  <c r="C2373" i="1"/>
  <c r="F2373" i="1"/>
  <c r="K2373" i="1"/>
  <c r="A2374" i="1"/>
  <c r="B2374" i="1"/>
  <c r="C2374" i="1"/>
  <c r="F2374" i="1"/>
  <c r="K2374" i="1"/>
  <c r="A2375" i="1"/>
  <c r="B2375" i="1"/>
  <c r="C2375" i="1"/>
  <c r="F2375" i="1"/>
  <c r="K2375" i="1"/>
  <c r="A2376" i="1"/>
  <c r="B2376" i="1"/>
  <c r="C2376" i="1"/>
  <c r="F2376" i="1"/>
  <c r="K2376" i="1"/>
  <c r="A2377" i="1"/>
  <c r="B2377" i="1"/>
  <c r="C2377" i="1"/>
  <c r="F2377" i="1"/>
  <c r="K2377" i="1"/>
  <c r="A2378" i="1"/>
  <c r="F2378" i="1"/>
  <c r="A2379" i="1"/>
  <c r="F2379" i="1"/>
  <c r="A2380" i="1"/>
  <c r="F2380" i="1"/>
  <c r="A2381" i="1"/>
  <c r="F2381" i="1"/>
  <c r="A2382" i="1"/>
  <c r="F2382" i="1"/>
  <c r="A2383" i="1"/>
  <c r="F2383" i="1"/>
  <c r="K2383" i="1"/>
  <c r="A2384" i="1"/>
  <c r="F2384" i="1"/>
  <c r="K2384" i="1"/>
  <c r="A2385" i="1"/>
  <c r="F2385" i="1"/>
  <c r="K2385" i="1"/>
  <c r="A2386" i="1"/>
  <c r="F2386" i="1"/>
  <c r="K2386" i="1"/>
  <c r="A2387" i="1"/>
  <c r="F2387" i="1"/>
  <c r="K2387" i="1"/>
  <c r="A2388" i="1"/>
  <c r="F2388" i="1"/>
  <c r="K2388" i="1"/>
  <c r="A2389" i="1"/>
  <c r="F2389" i="1"/>
  <c r="K2389" i="1"/>
  <c r="A2390" i="1"/>
  <c r="F2390" i="1"/>
  <c r="K2390" i="1"/>
  <c r="A2391" i="1"/>
  <c r="B2391" i="1"/>
  <c r="C2391" i="1"/>
  <c r="F2391" i="1"/>
  <c r="K2391" i="1"/>
  <c r="A2392" i="1"/>
  <c r="B2392" i="1"/>
  <c r="C2392" i="1"/>
  <c r="F2392" i="1"/>
  <c r="K2392" i="1"/>
  <c r="A2393" i="1"/>
  <c r="B2393" i="1"/>
  <c r="C2393" i="1"/>
  <c r="F2393" i="1"/>
  <c r="K2393" i="1"/>
  <c r="A2394" i="1"/>
  <c r="B2394" i="1"/>
  <c r="C2394" i="1"/>
  <c r="F2394" i="1"/>
  <c r="K2394" i="1"/>
  <c r="A2395" i="1"/>
  <c r="B2395" i="1"/>
  <c r="C2395" i="1"/>
  <c r="F2395" i="1"/>
  <c r="K2395" i="1"/>
  <c r="A2396" i="1"/>
  <c r="F2396" i="1"/>
  <c r="A2397" i="1"/>
  <c r="B2397" i="1"/>
  <c r="C2397" i="1"/>
  <c r="F2397" i="1"/>
  <c r="K2397" i="1"/>
  <c r="A2398" i="1"/>
  <c r="B2398" i="1"/>
  <c r="C2398" i="1"/>
  <c r="F2398" i="1"/>
  <c r="K2398" i="1"/>
  <c r="A2399" i="1"/>
  <c r="B2399" i="1"/>
  <c r="C2399" i="1"/>
  <c r="F2399" i="1"/>
  <c r="K2399" i="1"/>
  <c r="A2400" i="1"/>
  <c r="B2400" i="1"/>
  <c r="C2400" i="1"/>
  <c r="F2400" i="1"/>
  <c r="K2400" i="1"/>
  <c r="A2401" i="1"/>
  <c r="F2401" i="1"/>
  <c r="K2401" i="1"/>
  <c r="A2402" i="1"/>
  <c r="B2402" i="1"/>
  <c r="C2402" i="1"/>
  <c r="F2402" i="1"/>
  <c r="K2402" i="1"/>
  <c r="A2403" i="1"/>
  <c r="F2403" i="1"/>
  <c r="K2403" i="1"/>
  <c r="A2404" i="1"/>
  <c r="F2404" i="1"/>
  <c r="K2404" i="1"/>
  <c r="A2405" i="1"/>
  <c r="B2405" i="1"/>
  <c r="C2405" i="1"/>
  <c r="F2405" i="1"/>
  <c r="K2405" i="1"/>
  <c r="A2406" i="1"/>
  <c r="B2406" i="1"/>
  <c r="C2406" i="1"/>
  <c r="F2406" i="1"/>
  <c r="K2406" i="1"/>
  <c r="A2407" i="1"/>
  <c r="B2407" i="1"/>
  <c r="C2407" i="1"/>
  <c r="F2407" i="1"/>
  <c r="K2407" i="1"/>
  <c r="A2408" i="1"/>
  <c r="B2408" i="1"/>
  <c r="C2408" i="1"/>
  <c r="F2408" i="1"/>
  <c r="K2408" i="1"/>
  <c r="A2409" i="1"/>
  <c r="B2409" i="1"/>
  <c r="C2409" i="1"/>
  <c r="F2409" i="1"/>
  <c r="K2409" i="1"/>
  <c r="A2410" i="1"/>
  <c r="F2410" i="1"/>
  <c r="A2411" i="1"/>
  <c r="F2411" i="1"/>
  <c r="A2412" i="1"/>
  <c r="F2412" i="1"/>
  <c r="K2412" i="1"/>
  <c r="A2413" i="1"/>
  <c r="B2413" i="1"/>
  <c r="C2413" i="1"/>
  <c r="F2413" i="1"/>
  <c r="K2413" i="1"/>
  <c r="A2414" i="1"/>
  <c r="F2414" i="1"/>
  <c r="K2414" i="1"/>
  <c r="A2415" i="1"/>
  <c r="F2415" i="1"/>
  <c r="K2415" i="1"/>
  <c r="A2416" i="1"/>
  <c r="B2416" i="1"/>
  <c r="C2416" i="1"/>
  <c r="F2416" i="1"/>
  <c r="K2416" i="1"/>
  <c r="A2417" i="1"/>
  <c r="F2417" i="1"/>
  <c r="K2417" i="1"/>
  <c r="A2418" i="1"/>
  <c r="F2418" i="1"/>
  <c r="A2419" i="1"/>
  <c r="B2419" i="1"/>
  <c r="C2419" i="1"/>
  <c r="F2419" i="1"/>
  <c r="K2419" i="1"/>
  <c r="A2420" i="1"/>
  <c r="B2420" i="1"/>
  <c r="C2420" i="1"/>
  <c r="F2420" i="1"/>
  <c r="K2420" i="1"/>
  <c r="A2421" i="1"/>
  <c r="B2421" i="1"/>
  <c r="C2421" i="1"/>
  <c r="F2421" i="1"/>
  <c r="K2421" i="1"/>
  <c r="A2422" i="1"/>
  <c r="B2422" i="1"/>
  <c r="C2422" i="1"/>
  <c r="F2422" i="1"/>
  <c r="K2422" i="1"/>
  <c r="A2423" i="1"/>
  <c r="B2423" i="1"/>
  <c r="C2423" i="1"/>
  <c r="F2423" i="1"/>
  <c r="K2423" i="1"/>
  <c r="A2424" i="1"/>
  <c r="F2424" i="1"/>
  <c r="K2424" i="1"/>
  <c r="A2425" i="1"/>
  <c r="B2425" i="1"/>
  <c r="C2425" i="1"/>
  <c r="F2425" i="1"/>
  <c r="K2425" i="1"/>
  <c r="A2426" i="1"/>
  <c r="F2426" i="1"/>
  <c r="K2426" i="1"/>
  <c r="A2427" i="1"/>
  <c r="B2427" i="1"/>
  <c r="C2427" i="1"/>
  <c r="F2427" i="1"/>
  <c r="K2427" i="1"/>
  <c r="A2428" i="1"/>
  <c r="B2428" i="1"/>
  <c r="C2428" i="1"/>
  <c r="F2428" i="1"/>
  <c r="K2428" i="1"/>
  <c r="A2429" i="1"/>
  <c r="B2429" i="1"/>
  <c r="C2429" i="1"/>
  <c r="F2429" i="1"/>
  <c r="K2429" i="1"/>
  <c r="A2430" i="1"/>
  <c r="B2430" i="1"/>
  <c r="C2430" i="1"/>
  <c r="F2430" i="1"/>
  <c r="K2430" i="1"/>
  <c r="A2431" i="1"/>
  <c r="F2431" i="1"/>
  <c r="K2431" i="1"/>
  <c r="A2432" i="1"/>
  <c r="B2432" i="1"/>
  <c r="C2432" i="1"/>
  <c r="F2432" i="1"/>
  <c r="K2432" i="1"/>
  <c r="A2433" i="1"/>
  <c r="B2433" i="1"/>
  <c r="C2433" i="1"/>
  <c r="F2433" i="1"/>
  <c r="K2433" i="1"/>
  <c r="A2434" i="1"/>
  <c r="F2434" i="1"/>
  <c r="K2434" i="1"/>
  <c r="A2435" i="1"/>
  <c r="B2435" i="1"/>
  <c r="C2435" i="1"/>
  <c r="F2435" i="1"/>
  <c r="K2435" i="1"/>
  <c r="A2436" i="1"/>
  <c r="F2436" i="1"/>
  <c r="A2437" i="1"/>
  <c r="F2437" i="1"/>
  <c r="K2437" i="1"/>
  <c r="A2438" i="1"/>
  <c r="B2438" i="1"/>
  <c r="C2438" i="1"/>
  <c r="F2438" i="1"/>
  <c r="K2438" i="1"/>
  <c r="A2439" i="1"/>
  <c r="B2439" i="1"/>
  <c r="C2439" i="1"/>
  <c r="F2439" i="1"/>
  <c r="K2439" i="1"/>
  <c r="A2440" i="1"/>
  <c r="B2440" i="1"/>
  <c r="C2440" i="1"/>
  <c r="F2440" i="1"/>
  <c r="K2440" i="1"/>
  <c r="A2441" i="1"/>
  <c r="B2441" i="1"/>
  <c r="C2441" i="1"/>
  <c r="F2441" i="1"/>
  <c r="K2441" i="1"/>
  <c r="A2442" i="1"/>
  <c r="B2442" i="1"/>
  <c r="C2442" i="1"/>
  <c r="F2442" i="1"/>
  <c r="K2442" i="1"/>
  <c r="A2443" i="1"/>
  <c r="B2443" i="1"/>
  <c r="C2443" i="1"/>
  <c r="F2443" i="1"/>
  <c r="K2443" i="1"/>
  <c r="A2444" i="1"/>
  <c r="F2444" i="1"/>
  <c r="A2445" i="1"/>
  <c r="B2445" i="1"/>
  <c r="C2445" i="1"/>
  <c r="F2445" i="1"/>
  <c r="K2445" i="1"/>
  <c r="A2446" i="1"/>
  <c r="B2446" i="1"/>
  <c r="C2446" i="1"/>
  <c r="F2446" i="1"/>
  <c r="K2446" i="1"/>
  <c r="A2447" i="1"/>
  <c r="B2447" i="1"/>
  <c r="C2447" i="1"/>
  <c r="F2447" i="1"/>
  <c r="K2447" i="1"/>
  <c r="A2448" i="1"/>
  <c r="B2448" i="1"/>
  <c r="C2448" i="1"/>
  <c r="F2448" i="1"/>
  <c r="K2448" i="1"/>
  <c r="A2449" i="1"/>
  <c r="B2449" i="1"/>
  <c r="C2449" i="1"/>
  <c r="F2449" i="1"/>
  <c r="K2449" i="1"/>
  <c r="A2450" i="1"/>
  <c r="B2450" i="1"/>
  <c r="C2450" i="1"/>
  <c r="F2450" i="1"/>
  <c r="K2450" i="1"/>
  <c r="A2451" i="1"/>
  <c r="B2451" i="1"/>
  <c r="C2451" i="1"/>
  <c r="F2451" i="1"/>
  <c r="K2451" i="1"/>
  <c r="A2452" i="1"/>
  <c r="B2452" i="1"/>
  <c r="C2452" i="1"/>
  <c r="F2452" i="1"/>
  <c r="K2452" i="1"/>
  <c r="A2453" i="1"/>
  <c r="B2453" i="1"/>
  <c r="C2453" i="1"/>
  <c r="F2453" i="1"/>
  <c r="K2453" i="1"/>
  <c r="A2454" i="1"/>
  <c r="B2454" i="1"/>
  <c r="C2454" i="1"/>
  <c r="F2454" i="1"/>
  <c r="K2454" i="1"/>
  <c r="A2455" i="1"/>
  <c r="B2455" i="1"/>
  <c r="C2455" i="1"/>
  <c r="F2455" i="1"/>
  <c r="K2455" i="1"/>
  <c r="A2456" i="1"/>
  <c r="B2456" i="1"/>
  <c r="C2456" i="1"/>
  <c r="F2456" i="1"/>
  <c r="K2456" i="1"/>
  <c r="A2457" i="1"/>
  <c r="B2457" i="1"/>
  <c r="C2457" i="1"/>
  <c r="F2457" i="1"/>
  <c r="K2457" i="1"/>
  <c r="A2458" i="1"/>
  <c r="B2458" i="1"/>
  <c r="C2458" i="1"/>
  <c r="F2458" i="1"/>
  <c r="K2458" i="1"/>
  <c r="A2459" i="1"/>
  <c r="B2459" i="1"/>
  <c r="C2459" i="1"/>
  <c r="F2459" i="1"/>
  <c r="K2459" i="1"/>
  <c r="A2460" i="1"/>
  <c r="B2460" i="1"/>
  <c r="C2460" i="1"/>
  <c r="F2460" i="1"/>
  <c r="K2460" i="1"/>
  <c r="A2461" i="1"/>
  <c r="B2461" i="1"/>
  <c r="C2461" i="1"/>
  <c r="F2461" i="1"/>
  <c r="K2461" i="1"/>
  <c r="A2462" i="1"/>
  <c r="B2462" i="1"/>
  <c r="C2462" i="1"/>
  <c r="F2462" i="1"/>
  <c r="K2462" i="1"/>
  <c r="A2463" i="1"/>
  <c r="B2463" i="1"/>
  <c r="C2463" i="1"/>
  <c r="F2463" i="1"/>
  <c r="K2463" i="1"/>
  <c r="A2464" i="1"/>
  <c r="B2464" i="1"/>
  <c r="C2464" i="1"/>
  <c r="F2464" i="1"/>
  <c r="K2464" i="1"/>
  <c r="A2465" i="1"/>
  <c r="B2465" i="1"/>
  <c r="C2465" i="1"/>
  <c r="F2465" i="1"/>
  <c r="K2465" i="1"/>
  <c r="A2466" i="1"/>
  <c r="B2466" i="1"/>
  <c r="C2466" i="1"/>
  <c r="F2466" i="1"/>
  <c r="K2466" i="1"/>
  <c r="A2467" i="1"/>
  <c r="B2467" i="1"/>
  <c r="C2467" i="1"/>
  <c r="F2467" i="1"/>
  <c r="K2467" i="1"/>
  <c r="A2468" i="1"/>
  <c r="B2468" i="1"/>
  <c r="C2468" i="1"/>
  <c r="F2468" i="1"/>
  <c r="K2468" i="1"/>
  <c r="A2469" i="1"/>
  <c r="B2469" i="1"/>
  <c r="C2469" i="1"/>
  <c r="F2469" i="1"/>
  <c r="K2469" i="1"/>
  <c r="A2470" i="1"/>
  <c r="B2470" i="1"/>
  <c r="C2470" i="1"/>
  <c r="F2470" i="1"/>
  <c r="K2470" i="1"/>
  <c r="A2471" i="1"/>
  <c r="F2471" i="1"/>
  <c r="K2471" i="1"/>
  <c r="A2472" i="1"/>
  <c r="F2472" i="1"/>
  <c r="K2472" i="1"/>
  <c r="A2473" i="1"/>
  <c r="F2473" i="1"/>
  <c r="K2473" i="1"/>
  <c r="A2474" i="1"/>
  <c r="B2474" i="1"/>
  <c r="C2474" i="1"/>
  <c r="F2474" i="1"/>
  <c r="K2474" i="1"/>
  <c r="A2475" i="1"/>
  <c r="B2475" i="1"/>
  <c r="C2475" i="1"/>
  <c r="F2475" i="1"/>
  <c r="K2475" i="1"/>
  <c r="A2476" i="1"/>
  <c r="B2476" i="1"/>
  <c r="C2476" i="1"/>
  <c r="F2476" i="1"/>
  <c r="K2476" i="1"/>
  <c r="A2477" i="1"/>
  <c r="B2477" i="1"/>
  <c r="C2477" i="1"/>
  <c r="F2477" i="1"/>
  <c r="K2477" i="1"/>
  <c r="A2478" i="1"/>
  <c r="B2478" i="1"/>
  <c r="C2478" i="1"/>
  <c r="F2478" i="1"/>
  <c r="K2478" i="1"/>
  <c r="A2479" i="1"/>
  <c r="B2479" i="1"/>
  <c r="C2479" i="1"/>
  <c r="F2479" i="1"/>
  <c r="K2479" i="1"/>
  <c r="A2480" i="1"/>
  <c r="B2480" i="1"/>
  <c r="C2480" i="1"/>
  <c r="F2480" i="1"/>
  <c r="K2480" i="1"/>
  <c r="A2481" i="1"/>
  <c r="B2481" i="1"/>
  <c r="C2481" i="1"/>
  <c r="F2481" i="1"/>
  <c r="K2481" i="1"/>
  <c r="A2482" i="1"/>
  <c r="B2482" i="1"/>
  <c r="C2482" i="1"/>
  <c r="F2482" i="1"/>
  <c r="K2482" i="1"/>
  <c r="A2483" i="1"/>
  <c r="B2483" i="1"/>
  <c r="C2483" i="1"/>
  <c r="F2483" i="1"/>
  <c r="K2483" i="1"/>
  <c r="A2484" i="1"/>
  <c r="B2484" i="1"/>
  <c r="C2484" i="1"/>
  <c r="F2484" i="1"/>
  <c r="K2484" i="1"/>
  <c r="A2485" i="1"/>
  <c r="B2485" i="1"/>
  <c r="C2485" i="1"/>
  <c r="F2485" i="1"/>
  <c r="K2485" i="1"/>
  <c r="A2486" i="1"/>
  <c r="B2486" i="1"/>
  <c r="C2486" i="1"/>
  <c r="F2486" i="1"/>
  <c r="K2486" i="1"/>
  <c r="A2487" i="1"/>
  <c r="F2487" i="1"/>
  <c r="K2487" i="1"/>
  <c r="A2488" i="1"/>
  <c r="F2488" i="1"/>
  <c r="K2488" i="1"/>
  <c r="A2489" i="1"/>
  <c r="F2489" i="1"/>
  <c r="K2489" i="1"/>
  <c r="A2490" i="1"/>
  <c r="F2490" i="1"/>
  <c r="K2490" i="1"/>
  <c r="A2491" i="1"/>
  <c r="F2491" i="1"/>
  <c r="K2491" i="1"/>
  <c r="A2492" i="1"/>
  <c r="F2492" i="1"/>
  <c r="K2492" i="1"/>
  <c r="A2493" i="1"/>
  <c r="B2493" i="1"/>
  <c r="C2493" i="1"/>
  <c r="F2493" i="1"/>
  <c r="K2493" i="1"/>
  <c r="A2494" i="1"/>
  <c r="B2494" i="1"/>
  <c r="C2494" i="1"/>
  <c r="F2494" i="1"/>
  <c r="K2494" i="1"/>
  <c r="A2495" i="1"/>
  <c r="B2495" i="1"/>
  <c r="C2495" i="1"/>
  <c r="F2495" i="1"/>
  <c r="K2495" i="1"/>
  <c r="A2496" i="1"/>
  <c r="B2496" i="1"/>
  <c r="C2496" i="1"/>
  <c r="F2496" i="1"/>
  <c r="K2496" i="1"/>
  <c r="A2497" i="1"/>
  <c r="B2497" i="1"/>
  <c r="C2497" i="1"/>
  <c r="F2497" i="1"/>
  <c r="K2497" i="1"/>
  <c r="A2498" i="1"/>
  <c r="B2498" i="1"/>
  <c r="C2498" i="1"/>
  <c r="F2498" i="1"/>
  <c r="K2498" i="1"/>
  <c r="A2499" i="1"/>
  <c r="B2499" i="1"/>
  <c r="C2499" i="1"/>
  <c r="F2499" i="1"/>
  <c r="K2499" i="1"/>
  <c r="A2500" i="1"/>
  <c r="B2500" i="1"/>
  <c r="C2500" i="1"/>
  <c r="F2500" i="1"/>
  <c r="K2500" i="1"/>
  <c r="A2501" i="1"/>
  <c r="B2501" i="1"/>
  <c r="C2501" i="1"/>
  <c r="F2501" i="1"/>
  <c r="K2501" i="1"/>
  <c r="A2502" i="1"/>
  <c r="B2502" i="1"/>
  <c r="C2502" i="1"/>
  <c r="F2502" i="1"/>
  <c r="K2502" i="1"/>
  <c r="A2503" i="1"/>
  <c r="B2503" i="1"/>
  <c r="C2503" i="1"/>
  <c r="F2503" i="1"/>
  <c r="K2503" i="1"/>
  <c r="A2504" i="1"/>
  <c r="B2504" i="1"/>
  <c r="C2504" i="1"/>
  <c r="F2504" i="1"/>
  <c r="K2504" i="1"/>
  <c r="A2505" i="1"/>
  <c r="B2505" i="1"/>
  <c r="C2505" i="1"/>
  <c r="F2505" i="1"/>
  <c r="K2505" i="1"/>
  <c r="A2506" i="1"/>
  <c r="B2506" i="1"/>
  <c r="C2506" i="1"/>
  <c r="F2506" i="1"/>
  <c r="K2506" i="1"/>
  <c r="A2507" i="1"/>
  <c r="B2507" i="1"/>
  <c r="C2507" i="1"/>
  <c r="F2507" i="1"/>
  <c r="K2507" i="1"/>
  <c r="A2508" i="1"/>
  <c r="B2508" i="1"/>
  <c r="C2508" i="1"/>
  <c r="F2508" i="1"/>
  <c r="K2508" i="1"/>
  <c r="A2509" i="1"/>
  <c r="B2509" i="1"/>
  <c r="C2509" i="1"/>
  <c r="F2509" i="1"/>
  <c r="K2509" i="1"/>
  <c r="A2510" i="1"/>
  <c r="B2510" i="1"/>
  <c r="C2510" i="1"/>
  <c r="F2510" i="1"/>
  <c r="K2510" i="1"/>
  <c r="A2511" i="1"/>
  <c r="F2511" i="1"/>
  <c r="A2512" i="1"/>
  <c r="B2512" i="1"/>
  <c r="C2512" i="1"/>
  <c r="F2512" i="1"/>
  <c r="K2512" i="1"/>
  <c r="A2513" i="1"/>
  <c r="B2513" i="1"/>
  <c r="C2513" i="1"/>
  <c r="F2513" i="1"/>
  <c r="K2513" i="1"/>
  <c r="A2514" i="1"/>
  <c r="B2514" i="1"/>
  <c r="C2514" i="1"/>
  <c r="F2514" i="1"/>
  <c r="K2514" i="1"/>
  <c r="A2515" i="1"/>
  <c r="B2515" i="1"/>
  <c r="C2515" i="1"/>
  <c r="F2515" i="1"/>
  <c r="K2515" i="1"/>
  <c r="A2516" i="1"/>
  <c r="B2516" i="1"/>
  <c r="C2516" i="1"/>
  <c r="F2516" i="1"/>
  <c r="K2516" i="1"/>
  <c r="A2517" i="1"/>
  <c r="B2517" i="1"/>
  <c r="C2517" i="1"/>
  <c r="F2517" i="1"/>
  <c r="K2517" i="1"/>
  <c r="A2518" i="1"/>
  <c r="B2518" i="1"/>
  <c r="C2518" i="1"/>
  <c r="F2518" i="1"/>
  <c r="K2518" i="1"/>
  <c r="A2519" i="1"/>
  <c r="F2519" i="1"/>
  <c r="K2519" i="1"/>
  <c r="A2520" i="1"/>
  <c r="B2520" i="1"/>
  <c r="C2520" i="1"/>
  <c r="F2520" i="1"/>
  <c r="K2520" i="1"/>
  <c r="A2521" i="1"/>
  <c r="F2521" i="1"/>
  <c r="A2522" i="1"/>
  <c r="F2522" i="1"/>
  <c r="A2523" i="1"/>
  <c r="B2523" i="1"/>
  <c r="C2523" i="1"/>
  <c r="F2523" i="1"/>
  <c r="K2523" i="1"/>
  <c r="A2524" i="1"/>
  <c r="B2524" i="1"/>
  <c r="C2524" i="1"/>
  <c r="F2524" i="1"/>
  <c r="K2524" i="1"/>
  <c r="A2525" i="1"/>
  <c r="B2525" i="1"/>
  <c r="C2525" i="1"/>
  <c r="F2525" i="1"/>
  <c r="K2525" i="1"/>
  <c r="A2526" i="1"/>
  <c r="B2526" i="1"/>
  <c r="C2526" i="1"/>
  <c r="F2526" i="1"/>
  <c r="K2526" i="1"/>
  <c r="A2527" i="1"/>
  <c r="B2527" i="1"/>
  <c r="C2527" i="1"/>
  <c r="F2527" i="1"/>
  <c r="K2527" i="1"/>
  <c r="A2528" i="1"/>
  <c r="B2528" i="1"/>
  <c r="C2528" i="1"/>
  <c r="F2528" i="1"/>
  <c r="K2528" i="1"/>
  <c r="A2529" i="1"/>
  <c r="B2529" i="1"/>
  <c r="C2529" i="1"/>
  <c r="F2529" i="1"/>
  <c r="K2529" i="1"/>
  <c r="A2530" i="1"/>
  <c r="B2530" i="1"/>
  <c r="C2530" i="1"/>
  <c r="F2530" i="1"/>
  <c r="K2530" i="1"/>
  <c r="A2531" i="1"/>
  <c r="B2531" i="1"/>
  <c r="C2531" i="1"/>
  <c r="F2531" i="1"/>
  <c r="K2531" i="1"/>
  <c r="A2532" i="1"/>
  <c r="B2532" i="1"/>
  <c r="C2532" i="1"/>
  <c r="F2532" i="1"/>
  <c r="K2532" i="1"/>
  <c r="A2533" i="1"/>
  <c r="B2533" i="1"/>
  <c r="C2533" i="1"/>
  <c r="F2533" i="1"/>
  <c r="K2533" i="1"/>
  <c r="A2534" i="1"/>
  <c r="B2534" i="1"/>
  <c r="C2534" i="1"/>
  <c r="F2534" i="1"/>
  <c r="K2534" i="1"/>
  <c r="A2535" i="1"/>
  <c r="B2535" i="1"/>
  <c r="C2535" i="1"/>
  <c r="F2535" i="1"/>
  <c r="K2535" i="1"/>
  <c r="A2536" i="1"/>
  <c r="B2536" i="1"/>
  <c r="C2536" i="1"/>
  <c r="F2536" i="1"/>
  <c r="K2536" i="1"/>
  <c r="A2537" i="1"/>
  <c r="B2537" i="1"/>
  <c r="C2537" i="1"/>
  <c r="F2537" i="1"/>
  <c r="K2537" i="1"/>
  <c r="A2538" i="1"/>
  <c r="B2538" i="1"/>
  <c r="C2538" i="1"/>
  <c r="F2538" i="1"/>
  <c r="K2538" i="1"/>
  <c r="A2539" i="1"/>
  <c r="B2539" i="1"/>
  <c r="C2539" i="1"/>
  <c r="F2539" i="1"/>
  <c r="K2539" i="1"/>
  <c r="A2540" i="1"/>
  <c r="B2540" i="1"/>
  <c r="C2540" i="1"/>
  <c r="F2540" i="1"/>
  <c r="K2540" i="1"/>
  <c r="A2541" i="1"/>
  <c r="B2541" i="1"/>
  <c r="C2541" i="1"/>
  <c r="F2541" i="1"/>
  <c r="K2541" i="1"/>
  <c r="A2542" i="1"/>
  <c r="B2542" i="1"/>
  <c r="C2542" i="1"/>
  <c r="F2542" i="1"/>
  <c r="K2542" i="1"/>
  <c r="A2543" i="1"/>
  <c r="B2543" i="1"/>
  <c r="C2543" i="1"/>
  <c r="F2543" i="1"/>
  <c r="K2543" i="1"/>
  <c r="A2544" i="1"/>
  <c r="B2544" i="1"/>
  <c r="C2544" i="1"/>
  <c r="F2544" i="1"/>
  <c r="K2544" i="1"/>
  <c r="A2545" i="1"/>
  <c r="F2545" i="1"/>
  <c r="K2545" i="1"/>
  <c r="A2546" i="1"/>
  <c r="F2546" i="1"/>
  <c r="K2546" i="1"/>
  <c r="A2547" i="1"/>
  <c r="B2547" i="1"/>
  <c r="C2547" i="1"/>
  <c r="F2547" i="1"/>
  <c r="K2547" i="1"/>
  <c r="A2548" i="1"/>
  <c r="F2548" i="1"/>
  <c r="A2549" i="1"/>
  <c r="F2549" i="1"/>
  <c r="A2550" i="1"/>
  <c r="B2550" i="1"/>
  <c r="C2550" i="1"/>
  <c r="F2550" i="1"/>
  <c r="K2550" i="1"/>
  <c r="A2551" i="1"/>
  <c r="F2551" i="1"/>
  <c r="K2551" i="1"/>
  <c r="A2552" i="1"/>
  <c r="F2552" i="1"/>
  <c r="K2552" i="1"/>
  <c r="A2553" i="1"/>
  <c r="F2553" i="1"/>
  <c r="K2553" i="1"/>
  <c r="A2554" i="1"/>
  <c r="F2554" i="1"/>
  <c r="K2554" i="1"/>
  <c r="A2555" i="1"/>
  <c r="F2555" i="1"/>
  <c r="K2555" i="1"/>
  <c r="A2556" i="1"/>
  <c r="B2556" i="1"/>
  <c r="C2556" i="1"/>
  <c r="F2556" i="1"/>
  <c r="K2556" i="1"/>
  <c r="A2557" i="1"/>
  <c r="B2557" i="1"/>
  <c r="C2557" i="1"/>
  <c r="F2557" i="1"/>
  <c r="K2557" i="1"/>
  <c r="A2558" i="1"/>
  <c r="B2558" i="1"/>
  <c r="C2558" i="1"/>
  <c r="F2558" i="1"/>
  <c r="K2558" i="1"/>
  <c r="A2559" i="1"/>
  <c r="B2559" i="1"/>
  <c r="C2559" i="1"/>
  <c r="F2559" i="1"/>
  <c r="K2559" i="1"/>
  <c r="A2560" i="1"/>
  <c r="B2560" i="1"/>
  <c r="C2560" i="1"/>
  <c r="F2560" i="1"/>
  <c r="K2560" i="1"/>
  <c r="A2561" i="1"/>
  <c r="B2561" i="1"/>
  <c r="C2561" i="1"/>
  <c r="F2561" i="1"/>
  <c r="K2561" i="1"/>
  <c r="A2562" i="1"/>
  <c r="B2562" i="1"/>
  <c r="C2562" i="1"/>
  <c r="F2562" i="1"/>
  <c r="K2562" i="1"/>
  <c r="A2563" i="1"/>
  <c r="B2563" i="1"/>
  <c r="C2563" i="1"/>
  <c r="F2563" i="1"/>
  <c r="K2563" i="1"/>
  <c r="A2564" i="1"/>
  <c r="F2564" i="1"/>
  <c r="K2564" i="1"/>
  <c r="A2565" i="1"/>
  <c r="B2565" i="1"/>
  <c r="C2565" i="1"/>
  <c r="F2565" i="1"/>
  <c r="K2565" i="1"/>
  <c r="A2566" i="1"/>
  <c r="B2566" i="1"/>
  <c r="C2566" i="1"/>
  <c r="F2566" i="1"/>
  <c r="K2566" i="1"/>
  <c r="A2567" i="1"/>
  <c r="B2567" i="1"/>
  <c r="C2567" i="1"/>
  <c r="F2567" i="1"/>
  <c r="K2567" i="1"/>
  <c r="A2568" i="1"/>
  <c r="B2568" i="1"/>
  <c r="C2568" i="1"/>
  <c r="F2568" i="1"/>
  <c r="K2568" i="1"/>
  <c r="A2569" i="1"/>
  <c r="B2569" i="1"/>
  <c r="C2569" i="1"/>
  <c r="F2569" i="1"/>
  <c r="K2569" i="1"/>
  <c r="A2570" i="1"/>
  <c r="B2570" i="1"/>
  <c r="C2570" i="1"/>
  <c r="F2570" i="1"/>
  <c r="K2570" i="1"/>
  <c r="A2571" i="1"/>
  <c r="B2571" i="1"/>
  <c r="C2571" i="1"/>
  <c r="F2571" i="1"/>
  <c r="K2571" i="1"/>
  <c r="A2572" i="1"/>
  <c r="F2572" i="1"/>
  <c r="K2572" i="1"/>
  <c r="A2573" i="1"/>
  <c r="B2573" i="1"/>
  <c r="C2573" i="1"/>
  <c r="F2573" i="1"/>
  <c r="K2573" i="1"/>
  <c r="A2574" i="1"/>
  <c r="B2574" i="1"/>
  <c r="C2574" i="1"/>
  <c r="F2574" i="1"/>
  <c r="K2574" i="1"/>
  <c r="A2575" i="1"/>
  <c r="B2575" i="1"/>
  <c r="C2575" i="1"/>
  <c r="F2575" i="1"/>
  <c r="K2575" i="1"/>
  <c r="A2576" i="1"/>
  <c r="B2576" i="1"/>
  <c r="C2576" i="1"/>
  <c r="F2576" i="1"/>
  <c r="K2576" i="1"/>
  <c r="A2577" i="1"/>
  <c r="B2577" i="1"/>
  <c r="C2577" i="1"/>
  <c r="F2577" i="1"/>
  <c r="K2577" i="1"/>
  <c r="A2578" i="1"/>
  <c r="B2578" i="1"/>
  <c r="C2578" i="1"/>
  <c r="F2578" i="1"/>
  <c r="K2578" i="1"/>
  <c r="A2579" i="1"/>
  <c r="B2579" i="1"/>
  <c r="C2579" i="1"/>
  <c r="F2579" i="1"/>
  <c r="K2579" i="1"/>
  <c r="A2580" i="1"/>
  <c r="B2580" i="1"/>
  <c r="C2580" i="1"/>
  <c r="F2580" i="1"/>
  <c r="K2580" i="1"/>
  <c r="A2581" i="1"/>
  <c r="F2581" i="1"/>
  <c r="K2581" i="1"/>
  <c r="A2582" i="1"/>
  <c r="F2582" i="1"/>
  <c r="K2582" i="1"/>
  <c r="A2583" i="1"/>
  <c r="F2583" i="1"/>
  <c r="K2583" i="1"/>
  <c r="A2584" i="1"/>
  <c r="B2584" i="1"/>
  <c r="C2584" i="1"/>
  <c r="F2584" i="1"/>
  <c r="K2584" i="1"/>
  <c r="A2585" i="1"/>
  <c r="B2585" i="1"/>
  <c r="C2585" i="1"/>
  <c r="F2585" i="1"/>
  <c r="K2585" i="1"/>
  <c r="A2586" i="1"/>
  <c r="F2586" i="1"/>
  <c r="K2586" i="1"/>
  <c r="A2587" i="1"/>
  <c r="F2587" i="1"/>
  <c r="A2588" i="1"/>
  <c r="F2588" i="1"/>
  <c r="K2588" i="1"/>
  <c r="A2589" i="1"/>
  <c r="F2589" i="1"/>
  <c r="K2589" i="1"/>
  <c r="A2590" i="1"/>
  <c r="B2590" i="1"/>
  <c r="C2590" i="1"/>
  <c r="F2590" i="1"/>
  <c r="K2590" i="1"/>
  <c r="A2591" i="1"/>
  <c r="F2591" i="1"/>
  <c r="K2591" i="1"/>
  <c r="A2592" i="1"/>
  <c r="F2592" i="1"/>
  <c r="K2592" i="1"/>
  <c r="A2593" i="1"/>
  <c r="B2593" i="1"/>
  <c r="C2593" i="1"/>
  <c r="F2593" i="1"/>
  <c r="K2593" i="1"/>
  <c r="A2594" i="1"/>
  <c r="F2594" i="1"/>
  <c r="K2594" i="1"/>
  <c r="A2595" i="1"/>
  <c r="F2595" i="1"/>
  <c r="K2595" i="1"/>
  <c r="A2596" i="1"/>
  <c r="F2596" i="1"/>
  <c r="A2597" i="1"/>
  <c r="B2597" i="1"/>
  <c r="C2597" i="1"/>
  <c r="F2597" i="1"/>
  <c r="K2597" i="1"/>
  <c r="A2598" i="1"/>
  <c r="B2598" i="1"/>
  <c r="C2598" i="1"/>
  <c r="F2598" i="1"/>
  <c r="K2598" i="1"/>
  <c r="A2599" i="1"/>
  <c r="B2599" i="1"/>
  <c r="C2599" i="1"/>
  <c r="F2599" i="1"/>
  <c r="K2599" i="1"/>
  <c r="A2600" i="1"/>
  <c r="B2600" i="1"/>
  <c r="C2600" i="1"/>
  <c r="F2600" i="1"/>
  <c r="K2600" i="1"/>
  <c r="A2601" i="1"/>
  <c r="B2601" i="1"/>
  <c r="C2601" i="1"/>
  <c r="F2601" i="1"/>
  <c r="K2601" i="1"/>
  <c r="A2602" i="1"/>
  <c r="B2602" i="1"/>
  <c r="C2602" i="1"/>
  <c r="F2602" i="1"/>
  <c r="K2602" i="1"/>
  <c r="A2603" i="1"/>
  <c r="B2603" i="1"/>
  <c r="C2603" i="1"/>
  <c r="F2603" i="1"/>
  <c r="K2603" i="1"/>
  <c r="A2604" i="1"/>
  <c r="B2604" i="1"/>
  <c r="C2604" i="1"/>
  <c r="F2604" i="1"/>
  <c r="K2604" i="1"/>
  <c r="A2605" i="1"/>
  <c r="F2605" i="1"/>
  <c r="A2606" i="1"/>
  <c r="F2606" i="1"/>
  <c r="A2607" i="1"/>
  <c r="F2607" i="1"/>
  <c r="A2608" i="1"/>
  <c r="B2608" i="1"/>
  <c r="C2608" i="1"/>
  <c r="F2608" i="1"/>
  <c r="K2608" i="1"/>
  <c r="A2609" i="1"/>
  <c r="B2609" i="1"/>
  <c r="C2609" i="1"/>
  <c r="F2609" i="1"/>
  <c r="K2609" i="1"/>
  <c r="A2610" i="1"/>
  <c r="B2610" i="1"/>
  <c r="C2610" i="1"/>
  <c r="F2610" i="1"/>
  <c r="K2610" i="1"/>
  <c r="A2611" i="1"/>
  <c r="B2611" i="1"/>
  <c r="C2611" i="1"/>
  <c r="F2611" i="1"/>
  <c r="K2611" i="1"/>
  <c r="A2612" i="1"/>
  <c r="B2612" i="1"/>
  <c r="C2612" i="1"/>
  <c r="F2612" i="1"/>
  <c r="K2612" i="1"/>
  <c r="A2613" i="1"/>
  <c r="B2613" i="1"/>
  <c r="C2613" i="1"/>
  <c r="F2613" i="1"/>
  <c r="K2613" i="1"/>
  <c r="A2614" i="1"/>
  <c r="B2614" i="1"/>
  <c r="C2614" i="1"/>
  <c r="F2614" i="1"/>
  <c r="K2614" i="1"/>
  <c r="A2615" i="1"/>
  <c r="B2615" i="1"/>
  <c r="C2615" i="1"/>
  <c r="F2615" i="1"/>
  <c r="K2615" i="1"/>
  <c r="A2616" i="1"/>
  <c r="B2616" i="1"/>
  <c r="C2616" i="1"/>
  <c r="F2616" i="1"/>
  <c r="K2616" i="1"/>
  <c r="A2617" i="1"/>
  <c r="B2617" i="1"/>
  <c r="C2617" i="1"/>
  <c r="F2617" i="1"/>
  <c r="K2617" i="1"/>
  <c r="A2618" i="1"/>
  <c r="B2618" i="1"/>
  <c r="C2618" i="1"/>
  <c r="F2618" i="1"/>
  <c r="K2618" i="1"/>
  <c r="A2619" i="1"/>
  <c r="B2619" i="1"/>
  <c r="C2619" i="1"/>
  <c r="F2619" i="1"/>
  <c r="K2619" i="1"/>
  <c r="A2620" i="1"/>
  <c r="B2620" i="1"/>
  <c r="C2620" i="1"/>
  <c r="F2620" i="1"/>
  <c r="K2620" i="1"/>
  <c r="A2621" i="1"/>
  <c r="B2621" i="1"/>
  <c r="C2621" i="1"/>
  <c r="F2621" i="1"/>
  <c r="K2621" i="1"/>
  <c r="A2622" i="1"/>
  <c r="B2622" i="1"/>
  <c r="C2622" i="1"/>
  <c r="F2622" i="1"/>
  <c r="K2622" i="1"/>
  <c r="A2623" i="1"/>
  <c r="B2623" i="1"/>
  <c r="C2623" i="1"/>
  <c r="F2623" i="1"/>
  <c r="K2623" i="1"/>
  <c r="A2624" i="1"/>
  <c r="B2624" i="1"/>
  <c r="C2624" i="1"/>
  <c r="F2624" i="1"/>
  <c r="K2624" i="1"/>
  <c r="A2625" i="1"/>
  <c r="B2625" i="1"/>
  <c r="C2625" i="1"/>
  <c r="F2625" i="1"/>
  <c r="K2625" i="1"/>
  <c r="A2626" i="1"/>
  <c r="B2626" i="1"/>
  <c r="C2626" i="1"/>
  <c r="F2626" i="1"/>
  <c r="K2626" i="1"/>
  <c r="A2627" i="1"/>
  <c r="F2627" i="1"/>
  <c r="A2628" i="1"/>
  <c r="F2628" i="1"/>
  <c r="A2629" i="1"/>
  <c r="F2629" i="1"/>
  <c r="A2630" i="1"/>
  <c r="F2630" i="1"/>
  <c r="A2631" i="1"/>
  <c r="B2631" i="1"/>
  <c r="C2631" i="1"/>
  <c r="F2631" i="1"/>
  <c r="K2631" i="1"/>
  <c r="A2632" i="1"/>
  <c r="F2632" i="1"/>
  <c r="A2633" i="1"/>
  <c r="B2633" i="1"/>
  <c r="C2633" i="1"/>
  <c r="F2633" i="1"/>
  <c r="K2633" i="1"/>
  <c r="A2634" i="1"/>
  <c r="B2634" i="1"/>
  <c r="C2634" i="1"/>
  <c r="F2634" i="1"/>
  <c r="K2634" i="1"/>
  <c r="A2635" i="1"/>
  <c r="B2635" i="1"/>
  <c r="C2635" i="1"/>
  <c r="F2635" i="1"/>
  <c r="K2635" i="1"/>
  <c r="A2636" i="1"/>
  <c r="B2636" i="1"/>
  <c r="C2636" i="1"/>
  <c r="F2636" i="1"/>
  <c r="K2636" i="1"/>
  <c r="A2637" i="1"/>
  <c r="B2637" i="1"/>
  <c r="C2637" i="1"/>
  <c r="F2637" i="1"/>
  <c r="K2637" i="1"/>
  <c r="A2638" i="1"/>
  <c r="B2638" i="1"/>
  <c r="C2638" i="1"/>
  <c r="F2638" i="1"/>
  <c r="K2638" i="1"/>
  <c r="A2639" i="1"/>
  <c r="B2639" i="1"/>
  <c r="C2639" i="1"/>
  <c r="F2639" i="1"/>
  <c r="A2640" i="1"/>
  <c r="B2640" i="1"/>
  <c r="C2640" i="1"/>
  <c r="F2640" i="1"/>
  <c r="K2640" i="1"/>
  <c r="A2641" i="1"/>
  <c r="B2641" i="1"/>
  <c r="C2641" i="1"/>
  <c r="F2641" i="1"/>
  <c r="K2641" i="1"/>
  <c r="A2642" i="1"/>
  <c r="B2642" i="1"/>
  <c r="C2642" i="1"/>
  <c r="F2642" i="1"/>
  <c r="K2642" i="1"/>
  <c r="A2643" i="1"/>
  <c r="B2643" i="1"/>
  <c r="C2643" i="1"/>
  <c r="F2643" i="1"/>
  <c r="K2643" i="1"/>
  <c r="A2644" i="1"/>
  <c r="F2644" i="1"/>
  <c r="A2645" i="1"/>
  <c r="F2645" i="1"/>
  <c r="A2646" i="1"/>
  <c r="F2646" i="1"/>
  <c r="A2647" i="1"/>
  <c r="F2647" i="1"/>
  <c r="A2648" i="1"/>
  <c r="F2648" i="1"/>
  <c r="A2649" i="1"/>
  <c r="F2649" i="1"/>
  <c r="A2650" i="1"/>
  <c r="F2650" i="1"/>
  <c r="A2651" i="1"/>
  <c r="B2651" i="1"/>
  <c r="C2651" i="1"/>
  <c r="F2651" i="1"/>
  <c r="K2651" i="1"/>
  <c r="A2652" i="1"/>
  <c r="B2652" i="1"/>
  <c r="C2652" i="1"/>
  <c r="F2652" i="1"/>
  <c r="K2652" i="1"/>
  <c r="A2653" i="1"/>
  <c r="B2653" i="1"/>
  <c r="C2653" i="1"/>
  <c r="F2653" i="1"/>
  <c r="K2653" i="1"/>
  <c r="A2654" i="1"/>
  <c r="B2654" i="1"/>
  <c r="C2654" i="1"/>
  <c r="F2654" i="1"/>
  <c r="K2654" i="1"/>
  <c r="A2655" i="1"/>
  <c r="B2655" i="1"/>
  <c r="C2655" i="1"/>
  <c r="F2655" i="1"/>
  <c r="K2655" i="1"/>
  <c r="A2656" i="1"/>
  <c r="B2656" i="1"/>
  <c r="C2656" i="1"/>
  <c r="F2656" i="1"/>
  <c r="K2656" i="1"/>
  <c r="A2657" i="1"/>
  <c r="B2657" i="1"/>
  <c r="C2657" i="1"/>
  <c r="F2657" i="1"/>
  <c r="K2657" i="1"/>
  <c r="A2658" i="1"/>
  <c r="B2658" i="1"/>
  <c r="C2658" i="1"/>
  <c r="F2658" i="1"/>
  <c r="K2658" i="1"/>
  <c r="A2659" i="1"/>
  <c r="B2659" i="1"/>
  <c r="C2659" i="1"/>
  <c r="F2659" i="1"/>
  <c r="K2659" i="1"/>
  <c r="A2660" i="1"/>
  <c r="B2660" i="1"/>
  <c r="C2660" i="1"/>
  <c r="F2660" i="1"/>
  <c r="K2660" i="1"/>
  <c r="A2661" i="1"/>
  <c r="B2661" i="1"/>
  <c r="C2661" i="1"/>
  <c r="F2661" i="1"/>
  <c r="K2661" i="1"/>
  <c r="A2662" i="1"/>
  <c r="B2662" i="1"/>
  <c r="C2662" i="1"/>
  <c r="F2662" i="1"/>
  <c r="K2662" i="1"/>
  <c r="A2663" i="1"/>
  <c r="B2663" i="1"/>
  <c r="C2663" i="1"/>
  <c r="F2663" i="1"/>
  <c r="K2663" i="1"/>
  <c r="A2664" i="1"/>
  <c r="B2664" i="1"/>
  <c r="C2664" i="1"/>
  <c r="F2664" i="1"/>
  <c r="K2664" i="1"/>
  <c r="A2665" i="1"/>
  <c r="B2665" i="1"/>
  <c r="C2665" i="1"/>
  <c r="F2665" i="1"/>
  <c r="K2665" i="1"/>
  <c r="A2666" i="1"/>
  <c r="B2666" i="1"/>
  <c r="C2666" i="1"/>
  <c r="F2666" i="1"/>
  <c r="K2666" i="1"/>
  <c r="A2667" i="1"/>
  <c r="B2667" i="1"/>
  <c r="C2667" i="1"/>
  <c r="F2667" i="1"/>
  <c r="K2667" i="1"/>
  <c r="A2668" i="1"/>
  <c r="B2668" i="1"/>
  <c r="C2668" i="1"/>
  <c r="F2668" i="1"/>
  <c r="K2668" i="1"/>
  <c r="A2669" i="1"/>
  <c r="B2669" i="1"/>
  <c r="C2669" i="1"/>
  <c r="F2669" i="1"/>
  <c r="K2669" i="1"/>
  <c r="A2670" i="1"/>
  <c r="B2670" i="1"/>
  <c r="C2670" i="1"/>
  <c r="F2670" i="1"/>
  <c r="K2670" i="1"/>
  <c r="A2671" i="1"/>
  <c r="B2671" i="1"/>
  <c r="C2671" i="1"/>
  <c r="F2671" i="1"/>
  <c r="K2671" i="1"/>
  <c r="A2672" i="1"/>
  <c r="B2672" i="1"/>
  <c r="C2672" i="1"/>
  <c r="F2672" i="1"/>
  <c r="K2672" i="1"/>
  <c r="A2673" i="1"/>
  <c r="B2673" i="1"/>
  <c r="C2673" i="1"/>
  <c r="F2673" i="1"/>
  <c r="K2673" i="1"/>
  <c r="A2674" i="1"/>
  <c r="B2674" i="1"/>
  <c r="C2674" i="1"/>
  <c r="F2674" i="1"/>
  <c r="K2674" i="1"/>
  <c r="A2675" i="1"/>
  <c r="B2675" i="1"/>
  <c r="C2675" i="1"/>
  <c r="F2675" i="1"/>
  <c r="K2675" i="1"/>
  <c r="A2676" i="1"/>
  <c r="B2676" i="1"/>
  <c r="C2676" i="1"/>
  <c r="F2676" i="1"/>
  <c r="K2676" i="1"/>
  <c r="A2677" i="1"/>
  <c r="B2677" i="1"/>
  <c r="C2677" i="1"/>
  <c r="F2677" i="1"/>
  <c r="K2677" i="1"/>
  <c r="A2678" i="1"/>
  <c r="B2678" i="1"/>
  <c r="C2678" i="1"/>
  <c r="F2678" i="1"/>
  <c r="K2678" i="1"/>
  <c r="A2679" i="1"/>
  <c r="B2679" i="1"/>
  <c r="C2679" i="1"/>
  <c r="F2679" i="1"/>
  <c r="K2679" i="1"/>
  <c r="A2680" i="1"/>
  <c r="F2680" i="1"/>
  <c r="A2681" i="1"/>
  <c r="F2681" i="1"/>
  <c r="A2682" i="1"/>
  <c r="F2682" i="1"/>
  <c r="A2683" i="1"/>
  <c r="F2683" i="1"/>
  <c r="A2684" i="1"/>
  <c r="F2684" i="1"/>
  <c r="A2685" i="1"/>
  <c r="F2685" i="1"/>
  <c r="A2686" i="1"/>
  <c r="F2686" i="1"/>
  <c r="A2687" i="1"/>
  <c r="F2687" i="1"/>
  <c r="A2688" i="1"/>
  <c r="F2688" i="1"/>
  <c r="A2689" i="1"/>
  <c r="B2689" i="1"/>
  <c r="C2689" i="1"/>
  <c r="F2689" i="1"/>
  <c r="A2690" i="1"/>
  <c r="B2690" i="1"/>
  <c r="C2690" i="1"/>
  <c r="F2690" i="1"/>
  <c r="A2691" i="1"/>
  <c r="B2691" i="1"/>
  <c r="C2691" i="1"/>
  <c r="F2691" i="1"/>
  <c r="K2691" i="1"/>
  <c r="A2692" i="1"/>
  <c r="B2692" i="1"/>
  <c r="C2692" i="1"/>
  <c r="F2692" i="1"/>
  <c r="K2692" i="1"/>
  <c r="A2693" i="1"/>
  <c r="B2693" i="1"/>
  <c r="C2693" i="1"/>
  <c r="F2693" i="1"/>
  <c r="K2693" i="1"/>
  <c r="A2694" i="1"/>
  <c r="B2694" i="1"/>
  <c r="C2694" i="1"/>
  <c r="F2694" i="1"/>
  <c r="K2694" i="1"/>
  <c r="A2695" i="1"/>
  <c r="B2695" i="1"/>
  <c r="C2695" i="1"/>
  <c r="F2695" i="1"/>
  <c r="K2695" i="1"/>
  <c r="A2696" i="1"/>
  <c r="B2696" i="1"/>
  <c r="C2696" i="1"/>
  <c r="F2696" i="1"/>
  <c r="K2696" i="1"/>
  <c r="A2697" i="1"/>
  <c r="B2697" i="1"/>
  <c r="C2697" i="1"/>
  <c r="F2697" i="1"/>
  <c r="K2697" i="1"/>
  <c r="A2698" i="1"/>
  <c r="B2698" i="1"/>
  <c r="C2698" i="1"/>
  <c r="F2698" i="1"/>
  <c r="K2698" i="1"/>
  <c r="A2699" i="1"/>
  <c r="B2699" i="1"/>
  <c r="C2699" i="1"/>
  <c r="F2699" i="1"/>
  <c r="K2699" i="1"/>
  <c r="A2700" i="1"/>
  <c r="B2700" i="1"/>
  <c r="C2700" i="1"/>
  <c r="F2700" i="1"/>
  <c r="K2700" i="1"/>
  <c r="A2701" i="1"/>
  <c r="B2701" i="1"/>
  <c r="C2701" i="1"/>
  <c r="F2701" i="1"/>
  <c r="K2701" i="1"/>
  <c r="A2702" i="1"/>
  <c r="B2702" i="1"/>
  <c r="C2702" i="1"/>
  <c r="F2702" i="1"/>
  <c r="K2702" i="1"/>
  <c r="A2703" i="1"/>
  <c r="B2703" i="1"/>
  <c r="C2703" i="1"/>
  <c r="F2703" i="1"/>
  <c r="K2703" i="1"/>
  <c r="A2704" i="1"/>
  <c r="B2704" i="1"/>
  <c r="C2704" i="1"/>
  <c r="F2704" i="1"/>
  <c r="K2704" i="1"/>
  <c r="A2705" i="1"/>
  <c r="B2705" i="1"/>
  <c r="C2705" i="1"/>
  <c r="F2705" i="1"/>
  <c r="K2705" i="1"/>
  <c r="A2706" i="1"/>
  <c r="B2706" i="1"/>
  <c r="C2706" i="1"/>
  <c r="F2706" i="1"/>
  <c r="K2706" i="1"/>
  <c r="A2707" i="1"/>
  <c r="B2707" i="1"/>
  <c r="C2707" i="1"/>
  <c r="F2707" i="1"/>
  <c r="K2707" i="1"/>
  <c r="A2708" i="1"/>
  <c r="B2708" i="1"/>
  <c r="C2708" i="1"/>
  <c r="F2708" i="1"/>
  <c r="K2708" i="1"/>
  <c r="A2709" i="1"/>
  <c r="B2709" i="1"/>
  <c r="C2709" i="1"/>
  <c r="F2709" i="1"/>
  <c r="K2709" i="1"/>
  <c r="A2710" i="1"/>
  <c r="B2710" i="1"/>
  <c r="C2710" i="1"/>
  <c r="F2710" i="1"/>
  <c r="K2710" i="1"/>
  <c r="A2711" i="1"/>
  <c r="B2711" i="1"/>
  <c r="C2711" i="1"/>
  <c r="F2711" i="1"/>
  <c r="K2711" i="1"/>
  <c r="A2712" i="1"/>
  <c r="B2712" i="1"/>
  <c r="C2712" i="1"/>
  <c r="F2712" i="1"/>
  <c r="K2712" i="1"/>
  <c r="A2713" i="1"/>
  <c r="B2713" i="1"/>
  <c r="C2713" i="1"/>
  <c r="F2713" i="1"/>
  <c r="K2713" i="1"/>
  <c r="A2714" i="1"/>
  <c r="B2714" i="1"/>
  <c r="C2714" i="1"/>
  <c r="F2714" i="1"/>
  <c r="K2714" i="1"/>
  <c r="A2715" i="1"/>
  <c r="F2715" i="1"/>
  <c r="A2716" i="1"/>
  <c r="F2716" i="1"/>
  <c r="A2717" i="1"/>
  <c r="B2717" i="1"/>
  <c r="C2717" i="1"/>
  <c r="F2717" i="1"/>
  <c r="K2717" i="1"/>
  <c r="A2718" i="1"/>
  <c r="B2718" i="1"/>
  <c r="C2718" i="1"/>
  <c r="F2718" i="1"/>
  <c r="K2718" i="1"/>
  <c r="A2719" i="1"/>
  <c r="B2719" i="1"/>
  <c r="C2719" i="1"/>
  <c r="F2719" i="1"/>
  <c r="K2719" i="1"/>
  <c r="A2720" i="1"/>
  <c r="B2720" i="1"/>
  <c r="C2720" i="1"/>
  <c r="F2720" i="1"/>
  <c r="K2720" i="1"/>
  <c r="A2721" i="1"/>
  <c r="B2721" i="1"/>
  <c r="C2721" i="1"/>
  <c r="F2721" i="1"/>
  <c r="K2721" i="1"/>
  <c r="A2722" i="1"/>
  <c r="B2722" i="1"/>
  <c r="C2722" i="1"/>
  <c r="F2722" i="1"/>
  <c r="K2722" i="1"/>
  <c r="A2723" i="1"/>
  <c r="B2723" i="1"/>
  <c r="C2723" i="1"/>
  <c r="F2723" i="1"/>
  <c r="K2723" i="1"/>
  <c r="A2724" i="1"/>
  <c r="B2724" i="1"/>
  <c r="C2724" i="1"/>
  <c r="F2724" i="1"/>
  <c r="K2724" i="1"/>
  <c r="A2725" i="1"/>
  <c r="B2725" i="1"/>
  <c r="C2725" i="1"/>
  <c r="F2725" i="1"/>
  <c r="K2725" i="1"/>
  <c r="A2726" i="1"/>
  <c r="B2726" i="1"/>
  <c r="C2726" i="1"/>
  <c r="F2726" i="1"/>
  <c r="K2726" i="1"/>
  <c r="A2727" i="1"/>
  <c r="B2727" i="1"/>
  <c r="C2727" i="1"/>
  <c r="F2727" i="1"/>
  <c r="K2727" i="1"/>
  <c r="A2728" i="1"/>
  <c r="B2728" i="1"/>
  <c r="C2728" i="1"/>
  <c r="F2728" i="1"/>
  <c r="K2728" i="1"/>
  <c r="A2729" i="1"/>
  <c r="B2729" i="1"/>
  <c r="C2729" i="1"/>
  <c r="F2729" i="1"/>
  <c r="K2729" i="1"/>
  <c r="A2730" i="1"/>
  <c r="B2730" i="1"/>
  <c r="C2730" i="1"/>
  <c r="F2730" i="1"/>
  <c r="K2730" i="1"/>
  <c r="A2731" i="1"/>
  <c r="B2731" i="1"/>
  <c r="C2731" i="1"/>
  <c r="F2731" i="1"/>
  <c r="K2731" i="1"/>
  <c r="A2732" i="1"/>
  <c r="B2732" i="1"/>
  <c r="C2732" i="1"/>
  <c r="F2732" i="1"/>
  <c r="K2732" i="1"/>
  <c r="A2733" i="1"/>
  <c r="B2733" i="1"/>
  <c r="C2733" i="1"/>
  <c r="F2733" i="1"/>
  <c r="K2733" i="1"/>
  <c r="A2734" i="1"/>
  <c r="B2734" i="1"/>
  <c r="C2734" i="1"/>
  <c r="F2734" i="1"/>
  <c r="K2734" i="1"/>
  <c r="A2735" i="1"/>
  <c r="F2735" i="1"/>
  <c r="A2736" i="1"/>
  <c r="B2736" i="1"/>
  <c r="C2736" i="1"/>
  <c r="F2736" i="1"/>
  <c r="K2736" i="1"/>
  <c r="A2737" i="1"/>
  <c r="B2737" i="1"/>
  <c r="C2737" i="1"/>
  <c r="F2737" i="1"/>
  <c r="K2737" i="1"/>
  <c r="A2738" i="1"/>
  <c r="B2738" i="1"/>
  <c r="C2738" i="1"/>
  <c r="F2738" i="1"/>
  <c r="K2738" i="1"/>
  <c r="A2739" i="1"/>
  <c r="B2739" i="1"/>
  <c r="C2739" i="1"/>
  <c r="F2739" i="1"/>
  <c r="K2739" i="1"/>
  <c r="A2740" i="1"/>
  <c r="B2740" i="1"/>
  <c r="C2740" i="1"/>
  <c r="F2740" i="1"/>
  <c r="K2740" i="1"/>
  <c r="A2741" i="1"/>
  <c r="B2741" i="1"/>
  <c r="C2741" i="1"/>
  <c r="F2741" i="1"/>
  <c r="K2741" i="1"/>
  <c r="A2742" i="1"/>
  <c r="B2742" i="1"/>
  <c r="C2742" i="1"/>
  <c r="F2742" i="1"/>
  <c r="K2742" i="1"/>
  <c r="A2743" i="1"/>
  <c r="B2743" i="1"/>
  <c r="C2743" i="1"/>
  <c r="F2743" i="1"/>
  <c r="K2743" i="1"/>
  <c r="A2744" i="1"/>
  <c r="B2744" i="1"/>
  <c r="C2744" i="1"/>
  <c r="F2744" i="1"/>
  <c r="K2744" i="1"/>
  <c r="A2745" i="1"/>
  <c r="B2745" i="1"/>
  <c r="C2745" i="1"/>
  <c r="F2745" i="1"/>
  <c r="K2745" i="1"/>
  <c r="A2746" i="1"/>
  <c r="B2746" i="1"/>
  <c r="C2746" i="1"/>
  <c r="F2746" i="1"/>
  <c r="K2746" i="1"/>
  <c r="A2747" i="1"/>
  <c r="B2747" i="1"/>
  <c r="C2747" i="1"/>
  <c r="F2747" i="1"/>
  <c r="K2747" i="1"/>
  <c r="A2748" i="1"/>
  <c r="B2748" i="1"/>
  <c r="C2748" i="1"/>
  <c r="F2748" i="1"/>
  <c r="K2748" i="1"/>
  <c r="A2749" i="1"/>
  <c r="B2749" i="1"/>
  <c r="C2749" i="1"/>
  <c r="F2749" i="1"/>
  <c r="K2749" i="1"/>
  <c r="A2750" i="1"/>
  <c r="B2750" i="1"/>
  <c r="C2750" i="1"/>
  <c r="F2750" i="1"/>
  <c r="K2750" i="1"/>
  <c r="A2751" i="1"/>
  <c r="B2751" i="1"/>
  <c r="C2751" i="1"/>
  <c r="F2751" i="1"/>
  <c r="K2751" i="1"/>
  <c r="A2752" i="1"/>
  <c r="B2752" i="1"/>
  <c r="C2752" i="1"/>
  <c r="F2752" i="1"/>
  <c r="K2752" i="1"/>
  <c r="A2753" i="1"/>
  <c r="B2753" i="1"/>
  <c r="C2753" i="1"/>
  <c r="F2753" i="1"/>
  <c r="K2753" i="1"/>
  <c r="A2754" i="1"/>
  <c r="B2754" i="1"/>
  <c r="C2754" i="1"/>
  <c r="F2754" i="1"/>
  <c r="K2754" i="1"/>
  <c r="A2755" i="1"/>
  <c r="B2755" i="1"/>
  <c r="C2755" i="1"/>
  <c r="F2755" i="1"/>
  <c r="K2755" i="1"/>
  <c r="A2756" i="1"/>
  <c r="B2756" i="1"/>
  <c r="C2756" i="1"/>
  <c r="F2756" i="1"/>
  <c r="K2756" i="1"/>
  <c r="A2757" i="1"/>
  <c r="B2757" i="1"/>
  <c r="C2757" i="1"/>
  <c r="F2757" i="1"/>
  <c r="K2757" i="1"/>
  <c r="A2758" i="1"/>
  <c r="B2758" i="1"/>
  <c r="C2758" i="1"/>
  <c r="F2758" i="1"/>
  <c r="K2758" i="1"/>
  <c r="A2759" i="1"/>
  <c r="B2759" i="1"/>
  <c r="C2759" i="1"/>
  <c r="F2759" i="1"/>
  <c r="K2759" i="1"/>
  <c r="A2760" i="1"/>
  <c r="B2760" i="1"/>
  <c r="C2760" i="1"/>
  <c r="F2760" i="1"/>
  <c r="K2760" i="1"/>
  <c r="A2761" i="1"/>
  <c r="B2761" i="1"/>
  <c r="C2761" i="1"/>
  <c r="F2761" i="1"/>
  <c r="K2761" i="1"/>
  <c r="A2762" i="1"/>
  <c r="B2762" i="1"/>
  <c r="C2762" i="1"/>
  <c r="F2762" i="1"/>
  <c r="K2762" i="1"/>
  <c r="A2763" i="1"/>
  <c r="B2763" i="1"/>
  <c r="C2763" i="1"/>
  <c r="F2763" i="1"/>
  <c r="K2763" i="1"/>
  <c r="A2764" i="1"/>
  <c r="B2764" i="1"/>
  <c r="C2764" i="1"/>
  <c r="F2764" i="1"/>
  <c r="K2764" i="1"/>
  <c r="A2765" i="1"/>
  <c r="B2765" i="1"/>
  <c r="C2765" i="1"/>
  <c r="F2765" i="1"/>
  <c r="K2765" i="1"/>
  <c r="A2766" i="1"/>
  <c r="B2766" i="1"/>
  <c r="C2766" i="1"/>
  <c r="F2766" i="1"/>
  <c r="K2766" i="1"/>
  <c r="A2767" i="1"/>
  <c r="B2767" i="1"/>
  <c r="C2767" i="1"/>
  <c r="F2767" i="1"/>
  <c r="K2767" i="1"/>
  <c r="A2768" i="1"/>
  <c r="B2768" i="1"/>
  <c r="C2768" i="1"/>
  <c r="F2768" i="1"/>
  <c r="K2768" i="1"/>
  <c r="A2769" i="1"/>
  <c r="B2769" i="1"/>
  <c r="C2769" i="1"/>
  <c r="F2769" i="1"/>
  <c r="K2769" i="1"/>
  <c r="A2770" i="1"/>
  <c r="B2770" i="1"/>
  <c r="C2770" i="1"/>
  <c r="F2770" i="1"/>
  <c r="K2770" i="1"/>
  <c r="A2771" i="1"/>
  <c r="B2771" i="1"/>
  <c r="C2771" i="1"/>
  <c r="F2771" i="1"/>
  <c r="K2771" i="1"/>
  <c r="A2772" i="1"/>
  <c r="B2772" i="1"/>
  <c r="C2772" i="1"/>
  <c r="F2772" i="1"/>
  <c r="K2772" i="1"/>
  <c r="A2773" i="1"/>
  <c r="B2773" i="1"/>
  <c r="C2773" i="1"/>
  <c r="F2773" i="1"/>
  <c r="K2773" i="1"/>
  <c r="A2774" i="1"/>
  <c r="B2774" i="1"/>
  <c r="C2774" i="1"/>
  <c r="F2774" i="1"/>
  <c r="K2774" i="1"/>
  <c r="A2775" i="1"/>
  <c r="B2775" i="1"/>
  <c r="C2775" i="1"/>
  <c r="F2775" i="1"/>
  <c r="K2775" i="1"/>
  <c r="A2776" i="1"/>
  <c r="B2776" i="1"/>
  <c r="C2776" i="1"/>
  <c r="F2776" i="1"/>
  <c r="K2776" i="1"/>
  <c r="A2777" i="1"/>
  <c r="B2777" i="1"/>
  <c r="C2777" i="1"/>
  <c r="F2777" i="1"/>
  <c r="K2777" i="1"/>
  <c r="A2778" i="1"/>
  <c r="B2778" i="1"/>
  <c r="C2778" i="1"/>
  <c r="F2778" i="1"/>
  <c r="K2778" i="1"/>
  <c r="A2779" i="1"/>
  <c r="F2779" i="1"/>
  <c r="K2779" i="1"/>
  <c r="A2780" i="1"/>
  <c r="F2780" i="1"/>
  <c r="A2781" i="1"/>
  <c r="F2781" i="1"/>
  <c r="A2782" i="1"/>
  <c r="F2782" i="1"/>
  <c r="A2783" i="1"/>
  <c r="F2783" i="1"/>
  <c r="A2784" i="1"/>
  <c r="F2784" i="1"/>
  <c r="A2785" i="1"/>
  <c r="F2785" i="1"/>
  <c r="A2786" i="1"/>
  <c r="F2786" i="1"/>
  <c r="A2787" i="1"/>
  <c r="F2787" i="1"/>
  <c r="A2788" i="1"/>
  <c r="F2788" i="1"/>
  <c r="A2789" i="1"/>
  <c r="F2789" i="1"/>
  <c r="A2790" i="1"/>
  <c r="F2790" i="1"/>
  <c r="A2791" i="1"/>
  <c r="B2791" i="1"/>
  <c r="C2791" i="1"/>
  <c r="F2791" i="1"/>
  <c r="K2791" i="1"/>
  <c r="A2792" i="1"/>
  <c r="B2792" i="1"/>
  <c r="C2792" i="1"/>
  <c r="F2792" i="1"/>
  <c r="K2792" i="1"/>
  <c r="A2793" i="1"/>
  <c r="B2793" i="1"/>
  <c r="C2793" i="1"/>
  <c r="F2793" i="1"/>
  <c r="K2793" i="1"/>
  <c r="A2794" i="1"/>
  <c r="B2794" i="1"/>
  <c r="C2794" i="1"/>
  <c r="F2794" i="1"/>
  <c r="K2794" i="1"/>
  <c r="A2795" i="1"/>
  <c r="B2795" i="1"/>
  <c r="C2795" i="1"/>
  <c r="F2795" i="1"/>
  <c r="K2795" i="1"/>
  <c r="A2796" i="1"/>
  <c r="B2796" i="1"/>
  <c r="C2796" i="1"/>
  <c r="F2796" i="1"/>
  <c r="K2796" i="1"/>
  <c r="A2797" i="1"/>
  <c r="B2797" i="1"/>
  <c r="C2797" i="1"/>
  <c r="F2797" i="1"/>
  <c r="K2797" i="1"/>
  <c r="A2798" i="1"/>
  <c r="B2798" i="1"/>
  <c r="C2798" i="1"/>
  <c r="F2798" i="1"/>
  <c r="K2798" i="1"/>
  <c r="A2799" i="1"/>
  <c r="B2799" i="1"/>
  <c r="C2799" i="1"/>
  <c r="F2799" i="1"/>
  <c r="K2799" i="1"/>
  <c r="A2800" i="1"/>
  <c r="B2800" i="1"/>
  <c r="C2800" i="1"/>
  <c r="F2800" i="1"/>
  <c r="K2800" i="1"/>
  <c r="A2801" i="1"/>
  <c r="B2801" i="1"/>
  <c r="C2801" i="1"/>
  <c r="F2801" i="1"/>
  <c r="K2801" i="1"/>
  <c r="A2802" i="1"/>
  <c r="B2802" i="1"/>
  <c r="C2802" i="1"/>
  <c r="F2802" i="1"/>
  <c r="K2802" i="1"/>
  <c r="A2803" i="1"/>
  <c r="B2803" i="1"/>
  <c r="C2803" i="1"/>
  <c r="F2803" i="1"/>
  <c r="K2803" i="1"/>
  <c r="A2804" i="1"/>
  <c r="B2804" i="1"/>
  <c r="C2804" i="1"/>
  <c r="F2804" i="1"/>
  <c r="K2804" i="1"/>
  <c r="A2805" i="1"/>
  <c r="B2805" i="1"/>
  <c r="C2805" i="1"/>
  <c r="F2805" i="1"/>
  <c r="K2805" i="1"/>
  <c r="A2806" i="1"/>
  <c r="B2806" i="1"/>
  <c r="C2806" i="1"/>
  <c r="F2806" i="1"/>
  <c r="K2806" i="1"/>
  <c r="A2807" i="1"/>
  <c r="B2807" i="1"/>
  <c r="C2807" i="1"/>
  <c r="F2807" i="1"/>
  <c r="K2807" i="1"/>
  <c r="A2808" i="1"/>
  <c r="B2808" i="1"/>
  <c r="C2808" i="1"/>
  <c r="F2808" i="1"/>
  <c r="K2808" i="1"/>
  <c r="A2809" i="1"/>
  <c r="B2809" i="1"/>
  <c r="C2809" i="1"/>
  <c r="F2809" i="1"/>
  <c r="K2809" i="1"/>
  <c r="A2810" i="1"/>
  <c r="B2810" i="1"/>
  <c r="C2810" i="1"/>
  <c r="F2810" i="1"/>
  <c r="K2810" i="1"/>
  <c r="A2811" i="1"/>
  <c r="B2811" i="1"/>
  <c r="C2811" i="1"/>
  <c r="F2811" i="1"/>
  <c r="K2811" i="1"/>
  <c r="A2812" i="1"/>
  <c r="B2812" i="1"/>
  <c r="C2812" i="1"/>
  <c r="F2812" i="1"/>
  <c r="K2812" i="1"/>
  <c r="A2813" i="1"/>
  <c r="B2813" i="1"/>
  <c r="C2813" i="1"/>
  <c r="F2813" i="1"/>
  <c r="K2813" i="1"/>
  <c r="A2814" i="1"/>
  <c r="B2814" i="1"/>
  <c r="C2814" i="1"/>
  <c r="F2814" i="1"/>
  <c r="K2814" i="1"/>
  <c r="A2815" i="1"/>
  <c r="B2815" i="1"/>
  <c r="C2815" i="1"/>
  <c r="F2815" i="1"/>
  <c r="K2815" i="1"/>
  <c r="A2816" i="1"/>
  <c r="B2816" i="1"/>
  <c r="C2816" i="1"/>
  <c r="F2816" i="1"/>
  <c r="K2816" i="1"/>
  <c r="A2817" i="1"/>
  <c r="B2817" i="1"/>
  <c r="C2817" i="1"/>
  <c r="F2817" i="1"/>
  <c r="K2817" i="1"/>
  <c r="A2818" i="1"/>
  <c r="B2818" i="1"/>
  <c r="C2818" i="1"/>
  <c r="F2818" i="1"/>
  <c r="K2818" i="1"/>
  <c r="A2819" i="1"/>
  <c r="B2819" i="1"/>
  <c r="C2819" i="1"/>
  <c r="F2819" i="1"/>
  <c r="K2819" i="1"/>
  <c r="A2820" i="1"/>
  <c r="B2820" i="1"/>
  <c r="C2820" i="1"/>
  <c r="F2820" i="1"/>
  <c r="K2820" i="1"/>
  <c r="A2821" i="1"/>
  <c r="B2821" i="1"/>
  <c r="C2821" i="1"/>
  <c r="F2821" i="1"/>
  <c r="K2821" i="1"/>
  <c r="A2822" i="1"/>
  <c r="B2822" i="1"/>
  <c r="C2822" i="1"/>
  <c r="F2822" i="1"/>
  <c r="K2822" i="1"/>
  <c r="A2823" i="1"/>
  <c r="B2823" i="1"/>
  <c r="C2823" i="1"/>
  <c r="F2823" i="1"/>
  <c r="K2823" i="1"/>
  <c r="A2824" i="1"/>
  <c r="B2824" i="1"/>
  <c r="C2824" i="1"/>
  <c r="F2824" i="1"/>
  <c r="K2824" i="1"/>
  <c r="A2825" i="1"/>
  <c r="B2825" i="1"/>
  <c r="C2825" i="1"/>
  <c r="F2825" i="1"/>
  <c r="K2825" i="1"/>
  <c r="A2826" i="1"/>
  <c r="B2826" i="1"/>
  <c r="C2826" i="1"/>
  <c r="F2826" i="1"/>
  <c r="K2826" i="1"/>
  <c r="A2827" i="1"/>
  <c r="B2827" i="1"/>
  <c r="C2827" i="1"/>
  <c r="F2827" i="1"/>
  <c r="K2827" i="1"/>
  <c r="A2828" i="1"/>
  <c r="B2828" i="1"/>
  <c r="C2828" i="1"/>
  <c r="F2828" i="1"/>
  <c r="K2828" i="1"/>
  <c r="A2829" i="1"/>
  <c r="B2829" i="1"/>
  <c r="C2829" i="1"/>
  <c r="F2829" i="1"/>
  <c r="K2829" i="1"/>
  <c r="A2830" i="1"/>
  <c r="B2830" i="1"/>
  <c r="C2830" i="1"/>
  <c r="F2830" i="1"/>
  <c r="K2830" i="1"/>
  <c r="A2831" i="1"/>
  <c r="B2831" i="1"/>
  <c r="C2831" i="1"/>
  <c r="F2831" i="1"/>
  <c r="K2831" i="1"/>
  <c r="A2832" i="1"/>
  <c r="B2832" i="1"/>
  <c r="C2832" i="1"/>
  <c r="F2832" i="1"/>
  <c r="K2832" i="1"/>
  <c r="A2833" i="1"/>
  <c r="B2833" i="1"/>
  <c r="C2833" i="1"/>
  <c r="F2833" i="1"/>
  <c r="K2833" i="1"/>
  <c r="A2834" i="1"/>
  <c r="B2834" i="1"/>
  <c r="C2834" i="1"/>
  <c r="F2834" i="1"/>
  <c r="K2834" i="1"/>
  <c r="A2835" i="1"/>
  <c r="B2835" i="1"/>
  <c r="C2835" i="1"/>
  <c r="F2835" i="1"/>
  <c r="K2835" i="1"/>
  <c r="A2836" i="1"/>
  <c r="B2836" i="1"/>
  <c r="C2836" i="1"/>
  <c r="F2836" i="1"/>
  <c r="K2836" i="1"/>
  <c r="A2837" i="1"/>
  <c r="B2837" i="1"/>
  <c r="C2837" i="1"/>
  <c r="F2837" i="1"/>
  <c r="K2837" i="1"/>
  <c r="A2838" i="1"/>
  <c r="B2838" i="1"/>
  <c r="C2838" i="1"/>
  <c r="F2838" i="1"/>
  <c r="K2838" i="1"/>
  <c r="A2839" i="1"/>
  <c r="B2839" i="1"/>
  <c r="C2839" i="1"/>
  <c r="F2839" i="1"/>
  <c r="K2839" i="1"/>
  <c r="A2840" i="1"/>
  <c r="B2840" i="1"/>
  <c r="C2840" i="1"/>
  <c r="F2840" i="1"/>
  <c r="K2840" i="1"/>
  <c r="A2841" i="1"/>
  <c r="B2841" i="1"/>
  <c r="C2841" i="1"/>
  <c r="F2841" i="1"/>
  <c r="K2841" i="1"/>
  <c r="A2842" i="1"/>
  <c r="B2842" i="1"/>
  <c r="C2842" i="1"/>
  <c r="F2842" i="1"/>
  <c r="K2842" i="1"/>
  <c r="A2843" i="1"/>
  <c r="B2843" i="1"/>
  <c r="C2843" i="1"/>
  <c r="F2843" i="1"/>
  <c r="K2843" i="1"/>
  <c r="A2844" i="1"/>
  <c r="B2844" i="1"/>
  <c r="C2844" i="1"/>
  <c r="F2844" i="1"/>
  <c r="K2844" i="1"/>
  <c r="A2845" i="1"/>
  <c r="B2845" i="1"/>
  <c r="C2845" i="1"/>
  <c r="F2845" i="1"/>
  <c r="K2845" i="1"/>
  <c r="A2846" i="1"/>
  <c r="B2846" i="1"/>
  <c r="C2846" i="1"/>
  <c r="F2846" i="1"/>
  <c r="K2846" i="1"/>
  <c r="A2847" i="1"/>
  <c r="F2847" i="1"/>
  <c r="A2848" i="1"/>
  <c r="B2848" i="1"/>
  <c r="C2848" i="1"/>
  <c r="F2848" i="1"/>
  <c r="K2848" i="1"/>
  <c r="A2849" i="1"/>
  <c r="B2849" i="1"/>
  <c r="C2849" i="1"/>
  <c r="F2849" i="1"/>
  <c r="K2849" i="1"/>
  <c r="A2850" i="1"/>
  <c r="B2850" i="1"/>
  <c r="C2850" i="1"/>
  <c r="F2850" i="1"/>
  <c r="K2850" i="1"/>
  <c r="A2851" i="1"/>
  <c r="B2851" i="1"/>
  <c r="C2851" i="1"/>
  <c r="F2851" i="1"/>
  <c r="K2851" i="1"/>
  <c r="A2852" i="1"/>
  <c r="B2852" i="1"/>
  <c r="C2852" i="1"/>
  <c r="F2852" i="1"/>
  <c r="K2852" i="1"/>
  <c r="A2853" i="1"/>
  <c r="B2853" i="1"/>
  <c r="C2853" i="1"/>
  <c r="F2853" i="1"/>
  <c r="A2854" i="1"/>
  <c r="B2854" i="1"/>
  <c r="C2854" i="1"/>
  <c r="F2854" i="1"/>
  <c r="A2855" i="1"/>
  <c r="B2855" i="1"/>
  <c r="C2855" i="1"/>
  <c r="F2855" i="1"/>
  <c r="A2856" i="1"/>
  <c r="B2856" i="1"/>
  <c r="C2856" i="1"/>
  <c r="F2856" i="1"/>
  <c r="K2856" i="1"/>
  <c r="A2857" i="1"/>
  <c r="B2857" i="1"/>
  <c r="C2857" i="1"/>
  <c r="F2857" i="1"/>
  <c r="K2857" i="1"/>
  <c r="A2858" i="1"/>
  <c r="B2858" i="1"/>
  <c r="C2858" i="1"/>
  <c r="F2858" i="1"/>
  <c r="K2858" i="1"/>
  <c r="A2859" i="1"/>
  <c r="B2859" i="1"/>
  <c r="C2859" i="1"/>
  <c r="F2859" i="1"/>
  <c r="K2859" i="1"/>
  <c r="A2860" i="1"/>
  <c r="B2860" i="1"/>
  <c r="C2860" i="1"/>
  <c r="F2860" i="1"/>
  <c r="K2860" i="1"/>
  <c r="A2861" i="1"/>
  <c r="B2861" i="1"/>
  <c r="C2861" i="1"/>
  <c r="F2861" i="1"/>
  <c r="K2861" i="1"/>
  <c r="A2862" i="1"/>
  <c r="F2862" i="1"/>
  <c r="A2863" i="1"/>
  <c r="F2863" i="1"/>
  <c r="A2864" i="1"/>
  <c r="F2864" i="1"/>
  <c r="A2865" i="1"/>
  <c r="F2865" i="1"/>
  <c r="A2866" i="1"/>
  <c r="F2866" i="1"/>
  <c r="A2867" i="1"/>
  <c r="F2867" i="1"/>
  <c r="A2868" i="1"/>
  <c r="F2868" i="1"/>
  <c r="A2869" i="1"/>
  <c r="F2869" i="1"/>
  <c r="A2870" i="1"/>
  <c r="F2870" i="1"/>
  <c r="A2871" i="1"/>
  <c r="F2871" i="1"/>
  <c r="A2872" i="1"/>
  <c r="B2872" i="1"/>
  <c r="C2872" i="1"/>
  <c r="F2872" i="1"/>
  <c r="K2872" i="1"/>
  <c r="A2873" i="1"/>
  <c r="B2873" i="1"/>
  <c r="C2873" i="1"/>
  <c r="F2873" i="1"/>
  <c r="K2873" i="1"/>
  <c r="A2874" i="1"/>
  <c r="B2874" i="1"/>
  <c r="C2874" i="1"/>
  <c r="F2874" i="1"/>
  <c r="K2874" i="1"/>
  <c r="A2875" i="1"/>
  <c r="F2875" i="1"/>
  <c r="A2876" i="1"/>
  <c r="F2876" i="1"/>
  <c r="A2877" i="1"/>
  <c r="F2877" i="1"/>
  <c r="A2878" i="1"/>
  <c r="F2878" i="1"/>
  <c r="A2879" i="1"/>
  <c r="F2879" i="1"/>
  <c r="A2880" i="1"/>
  <c r="F2880" i="1"/>
  <c r="A2881" i="1"/>
  <c r="B2881" i="1"/>
  <c r="C2881" i="1"/>
  <c r="F2881" i="1"/>
  <c r="K2881" i="1"/>
  <c r="A2882" i="1"/>
  <c r="F2882" i="1"/>
  <c r="A2883" i="1"/>
  <c r="F2883" i="1"/>
  <c r="A2884" i="1"/>
  <c r="B2884" i="1"/>
  <c r="C2884" i="1"/>
  <c r="F2884" i="1"/>
  <c r="K2884" i="1"/>
  <c r="A2885" i="1"/>
  <c r="B2885" i="1"/>
  <c r="C2885" i="1"/>
  <c r="F2885" i="1"/>
  <c r="K2885" i="1"/>
  <c r="A2886" i="1"/>
  <c r="B2886" i="1"/>
  <c r="C2886" i="1"/>
  <c r="F2886" i="1"/>
  <c r="K2886" i="1"/>
  <c r="A2887" i="1"/>
  <c r="B2887" i="1"/>
  <c r="C2887" i="1"/>
  <c r="F2887" i="1"/>
  <c r="K2887" i="1"/>
  <c r="A2888" i="1"/>
  <c r="F2888" i="1"/>
  <c r="A2889" i="1"/>
  <c r="F2889" i="1"/>
  <c r="A2890" i="1"/>
  <c r="B2890" i="1"/>
  <c r="C2890" i="1"/>
  <c r="F2890" i="1"/>
  <c r="K2890" i="1"/>
  <c r="A2891" i="1"/>
  <c r="F2891" i="1"/>
  <c r="K2891" i="1"/>
  <c r="A2892" i="1"/>
  <c r="F2892" i="1"/>
  <c r="K2892" i="1"/>
  <c r="A2893" i="1"/>
  <c r="F2893" i="1"/>
  <c r="A2894" i="1"/>
  <c r="B2894" i="1"/>
  <c r="C2894" i="1"/>
  <c r="F2894" i="1"/>
  <c r="K2894" i="1"/>
  <c r="A2895" i="1"/>
  <c r="B2895" i="1"/>
  <c r="C2895" i="1"/>
  <c r="F2895" i="1"/>
  <c r="K2895" i="1"/>
  <c r="A2896" i="1"/>
  <c r="B2896" i="1"/>
  <c r="C2896" i="1"/>
  <c r="F2896" i="1"/>
  <c r="K2896" i="1"/>
  <c r="A2897" i="1"/>
  <c r="B2897" i="1"/>
  <c r="C2897" i="1"/>
  <c r="F2897" i="1"/>
  <c r="A2898" i="1"/>
  <c r="B2898" i="1"/>
  <c r="C2898" i="1"/>
  <c r="F2898" i="1"/>
  <c r="K2898" i="1"/>
  <c r="A2899" i="1"/>
  <c r="B2899" i="1"/>
  <c r="C2899" i="1"/>
  <c r="F2899" i="1"/>
  <c r="K2899" i="1"/>
  <c r="A2900" i="1"/>
  <c r="B2900" i="1"/>
  <c r="C2900" i="1"/>
  <c r="F2900" i="1"/>
  <c r="K2900" i="1"/>
  <c r="A2901" i="1"/>
  <c r="B2901" i="1"/>
  <c r="C2901" i="1"/>
  <c r="F2901" i="1"/>
  <c r="K2901" i="1"/>
  <c r="A2902" i="1"/>
  <c r="B2902" i="1"/>
  <c r="C2902" i="1"/>
  <c r="F2902" i="1"/>
  <c r="K2902" i="1"/>
  <c r="A2903" i="1"/>
  <c r="B2903" i="1"/>
  <c r="C2903" i="1"/>
  <c r="F2903" i="1"/>
  <c r="K2903" i="1"/>
  <c r="A2904" i="1"/>
  <c r="B2904" i="1"/>
  <c r="C2904" i="1"/>
  <c r="F2904" i="1"/>
  <c r="K2904" i="1"/>
  <c r="A2905" i="1"/>
  <c r="B2905" i="1"/>
  <c r="C2905" i="1"/>
  <c r="F2905" i="1"/>
  <c r="K2905" i="1"/>
  <c r="A2906" i="1"/>
  <c r="B2906" i="1"/>
  <c r="C2906" i="1"/>
  <c r="F2906" i="1"/>
  <c r="K2906" i="1"/>
  <c r="A2907" i="1"/>
  <c r="B2907" i="1"/>
  <c r="C2907" i="1"/>
  <c r="F2907" i="1"/>
  <c r="K2907" i="1"/>
  <c r="A2908" i="1"/>
  <c r="B2908" i="1"/>
  <c r="C2908" i="1"/>
  <c r="F2908" i="1"/>
  <c r="K2908" i="1"/>
  <c r="A2909" i="1"/>
  <c r="F2909" i="1"/>
  <c r="K2909" i="1"/>
  <c r="A2910" i="1"/>
  <c r="F2910" i="1"/>
  <c r="K2910" i="1"/>
  <c r="A2911" i="1"/>
  <c r="F2911" i="1"/>
  <c r="K2911" i="1"/>
  <c r="A2912" i="1"/>
  <c r="B2912" i="1"/>
  <c r="C2912" i="1"/>
  <c r="F2912" i="1"/>
  <c r="K2912" i="1"/>
  <c r="A2913" i="1"/>
  <c r="B2913" i="1"/>
  <c r="C2913" i="1"/>
  <c r="F2913" i="1"/>
  <c r="K2913" i="1"/>
  <c r="A2914" i="1"/>
  <c r="B2914" i="1"/>
  <c r="C2914" i="1"/>
  <c r="F2914" i="1"/>
  <c r="K2914" i="1"/>
  <c r="A2915" i="1"/>
  <c r="B2915" i="1"/>
  <c r="C2915" i="1"/>
  <c r="F2915" i="1"/>
  <c r="K2915" i="1"/>
  <c r="A2916" i="1"/>
  <c r="B2916" i="1"/>
  <c r="C2916" i="1"/>
  <c r="F2916" i="1"/>
  <c r="K2916" i="1"/>
  <c r="A2917" i="1"/>
  <c r="F2917" i="1"/>
  <c r="A2918" i="1"/>
  <c r="F2918" i="1"/>
  <c r="A2919" i="1"/>
  <c r="F2919" i="1"/>
  <c r="A2920" i="1"/>
  <c r="F2920" i="1"/>
  <c r="A2921" i="1"/>
  <c r="F2921" i="1"/>
  <c r="K2921" i="1"/>
  <c r="A2922" i="1"/>
  <c r="F2922" i="1"/>
  <c r="K2922" i="1"/>
  <c r="A2923" i="1"/>
  <c r="F2923" i="1"/>
  <c r="K2923" i="1"/>
  <c r="A2924" i="1"/>
  <c r="B2924" i="1"/>
  <c r="C2924" i="1"/>
  <c r="F2924" i="1"/>
  <c r="K2924" i="1"/>
  <c r="A2925" i="1"/>
  <c r="B2925" i="1"/>
  <c r="C2925" i="1"/>
  <c r="F2925" i="1"/>
  <c r="K2925" i="1"/>
  <c r="A2926" i="1"/>
  <c r="B2926" i="1"/>
  <c r="C2926" i="1"/>
  <c r="F2926" i="1"/>
  <c r="K2926" i="1"/>
  <c r="A2927" i="1"/>
  <c r="B2927" i="1"/>
  <c r="C2927" i="1"/>
  <c r="F2927" i="1"/>
  <c r="K2927" i="1"/>
  <c r="A2928" i="1"/>
  <c r="F2928" i="1"/>
  <c r="K2928" i="1"/>
  <c r="A2929" i="1"/>
  <c r="B2929" i="1"/>
  <c r="C2929" i="1"/>
  <c r="F2929" i="1"/>
  <c r="K2929" i="1"/>
  <c r="A2930" i="1"/>
  <c r="B2930" i="1"/>
  <c r="C2930" i="1"/>
  <c r="F2930" i="1"/>
  <c r="K2930" i="1"/>
  <c r="A2931" i="1"/>
  <c r="B2931" i="1"/>
  <c r="C2931" i="1"/>
  <c r="F2931" i="1"/>
  <c r="A2932" i="1"/>
  <c r="K2932" i="1"/>
  <c r="A2933" i="1"/>
  <c r="K2933" i="1"/>
  <c r="A2934" i="1"/>
  <c r="A2935" i="1"/>
  <c r="B2935" i="1"/>
  <c r="C2935" i="1"/>
  <c r="K2935" i="1"/>
  <c r="A2936" i="1"/>
  <c r="B2936" i="1"/>
  <c r="C2936" i="1"/>
  <c r="K2936" i="1"/>
  <c r="A2937" i="1"/>
  <c r="B2937" i="1"/>
  <c r="C2937" i="1"/>
  <c r="K2937" i="1"/>
  <c r="A2938" i="1"/>
  <c r="B2938" i="1"/>
  <c r="C2938" i="1"/>
  <c r="K2938" i="1"/>
  <c r="A2939" i="1"/>
  <c r="B2939" i="1"/>
  <c r="C2939" i="1"/>
  <c r="K2939" i="1"/>
  <c r="A2940" i="1"/>
  <c r="B2940" i="1"/>
  <c r="C2940" i="1"/>
  <c r="A2941" i="1"/>
  <c r="B2941" i="1"/>
  <c r="C2941" i="1"/>
  <c r="A2942" i="1"/>
  <c r="A2943" i="1"/>
  <c r="B2943" i="1"/>
  <c r="C2943" i="1"/>
  <c r="K2943" i="1"/>
  <c r="A2944" i="1"/>
  <c r="B2944" i="1"/>
  <c r="C2944" i="1"/>
  <c r="K2944" i="1"/>
  <c r="A2945" i="1"/>
  <c r="B2945" i="1"/>
  <c r="C2945" i="1"/>
  <c r="K2945" i="1"/>
  <c r="A2946" i="1"/>
  <c r="B2946" i="1"/>
  <c r="C2946" i="1"/>
  <c r="K2946" i="1"/>
  <c r="A2947" i="1"/>
  <c r="B2947" i="1"/>
  <c r="C2947" i="1"/>
  <c r="K2947" i="1"/>
  <c r="A2948" i="1"/>
  <c r="B2948" i="1"/>
  <c r="C2948" i="1"/>
  <c r="K2948" i="1"/>
  <c r="A2949" i="1"/>
  <c r="B2949" i="1"/>
  <c r="C2949" i="1"/>
  <c r="K2949" i="1"/>
  <c r="A2950" i="1"/>
  <c r="B2950" i="1"/>
  <c r="C2950" i="1"/>
  <c r="K2950" i="1"/>
  <c r="A2951" i="1"/>
  <c r="B2951" i="1"/>
  <c r="C2951" i="1"/>
  <c r="K2951" i="1"/>
  <c r="A2952" i="1"/>
  <c r="B2952" i="1"/>
  <c r="C2952" i="1"/>
  <c r="K2952" i="1"/>
  <c r="A2953" i="1"/>
  <c r="B2953" i="1"/>
  <c r="C2953" i="1"/>
  <c r="K2953" i="1"/>
  <c r="A2954" i="1"/>
  <c r="B2954" i="1"/>
  <c r="C2954" i="1"/>
  <c r="K2954" i="1"/>
  <c r="A2955" i="1"/>
  <c r="B2955" i="1"/>
  <c r="C2955" i="1"/>
  <c r="K2955" i="1"/>
  <c r="A2956" i="1"/>
  <c r="B2956" i="1"/>
  <c r="C2956" i="1"/>
  <c r="A2957" i="1"/>
  <c r="B2957" i="1"/>
  <c r="C2957" i="1"/>
  <c r="K2957" i="1"/>
  <c r="A2958" i="1"/>
  <c r="B2958" i="1"/>
  <c r="C2958" i="1"/>
  <c r="K2958" i="1"/>
  <c r="A2959" i="1"/>
  <c r="B2959" i="1"/>
  <c r="C2959" i="1"/>
  <c r="K2959" i="1"/>
  <c r="A2960" i="1"/>
  <c r="B2960" i="1"/>
  <c r="C2960" i="1"/>
  <c r="A2961" i="1"/>
  <c r="B2961" i="1"/>
  <c r="C2961" i="1"/>
  <c r="K2961" i="1"/>
  <c r="A2962" i="1"/>
  <c r="B2962" i="1"/>
  <c r="C2962" i="1"/>
  <c r="K2962" i="1"/>
  <c r="A2963" i="1"/>
  <c r="B2963" i="1"/>
  <c r="C2963" i="1"/>
  <c r="K2963" i="1"/>
  <c r="A2964" i="1"/>
  <c r="B2964" i="1"/>
  <c r="C2964" i="1"/>
  <c r="K2964" i="1"/>
  <c r="A2965" i="1"/>
  <c r="B2965" i="1"/>
  <c r="C2965" i="1"/>
  <c r="K2965" i="1"/>
  <c r="A2966" i="1"/>
  <c r="B2966" i="1"/>
  <c r="C2966" i="1"/>
  <c r="A2967" i="1"/>
  <c r="B2967" i="1"/>
  <c r="C2967" i="1"/>
  <c r="A2968" i="1"/>
  <c r="B2968" i="1"/>
  <c r="C2968" i="1"/>
  <c r="A2969" i="1"/>
  <c r="B2969" i="1"/>
  <c r="C2969" i="1"/>
  <c r="K2969" i="1"/>
  <c r="A2970" i="1"/>
  <c r="B2970" i="1"/>
  <c r="C2970" i="1"/>
  <c r="K2970" i="1"/>
  <c r="A2971" i="1"/>
  <c r="B2971" i="1"/>
  <c r="C2971" i="1"/>
  <c r="K2971" i="1"/>
  <c r="A2972" i="1"/>
  <c r="B2972" i="1"/>
  <c r="C2972" i="1"/>
  <c r="K2972" i="1"/>
  <c r="A2973" i="1"/>
  <c r="B2973" i="1"/>
  <c r="C2973" i="1"/>
  <c r="K2973" i="1"/>
  <c r="A2974" i="1"/>
  <c r="B2974" i="1"/>
  <c r="C2974" i="1"/>
  <c r="K2974" i="1"/>
  <c r="A2975" i="1"/>
  <c r="B2975" i="1"/>
  <c r="C2975" i="1"/>
  <c r="K2975" i="1"/>
  <c r="A2976" i="1"/>
  <c r="B2976" i="1"/>
  <c r="C2976" i="1"/>
  <c r="K2976" i="1"/>
  <c r="A2977" i="1"/>
  <c r="B2977" i="1"/>
  <c r="C2977" i="1"/>
  <c r="K2977" i="1"/>
  <c r="A2978" i="1"/>
  <c r="B2978" i="1"/>
  <c r="C2978" i="1"/>
  <c r="A2979" i="1"/>
  <c r="B2979" i="1"/>
  <c r="C2979" i="1"/>
  <c r="A2980" i="1"/>
  <c r="B2980" i="1"/>
  <c r="C2980" i="1"/>
  <c r="K2980" i="1"/>
  <c r="A2981" i="1"/>
  <c r="B2981" i="1"/>
  <c r="C2981" i="1"/>
  <c r="K2981" i="1"/>
  <c r="A2982" i="1"/>
  <c r="B2982" i="1"/>
  <c r="C2982" i="1"/>
  <c r="K2982" i="1"/>
  <c r="A2983" i="1"/>
  <c r="B2983" i="1"/>
  <c r="C2983" i="1"/>
  <c r="K2983" i="1"/>
  <c r="A2984" i="1"/>
  <c r="B2984" i="1"/>
  <c r="C2984" i="1"/>
  <c r="A2985" i="1"/>
  <c r="B2985" i="1"/>
  <c r="C2985" i="1"/>
  <c r="A2986" i="1"/>
  <c r="B2986" i="1"/>
  <c r="C2986" i="1"/>
  <c r="K2986" i="1"/>
  <c r="A2987" i="1"/>
  <c r="B2987" i="1"/>
  <c r="C2987" i="1"/>
  <c r="K2987" i="1"/>
  <c r="A2988" i="1"/>
  <c r="B2988" i="1"/>
  <c r="C2988" i="1"/>
  <c r="A2989" i="1"/>
  <c r="B2989" i="1"/>
  <c r="C2989" i="1"/>
  <c r="A2990" i="1"/>
  <c r="B2990" i="1"/>
  <c r="C2990" i="1"/>
  <c r="A2991" i="1"/>
  <c r="B2991" i="1"/>
  <c r="C2991" i="1"/>
  <c r="K2991" i="1"/>
  <c r="A2992" i="1"/>
  <c r="B2992" i="1"/>
  <c r="C2992" i="1"/>
  <c r="A2993" i="1"/>
  <c r="B2993" i="1"/>
  <c r="C2993" i="1"/>
  <c r="A2994" i="1"/>
  <c r="B2994" i="1"/>
  <c r="C2994" i="1"/>
  <c r="A2995" i="1"/>
  <c r="B2995" i="1"/>
  <c r="C2995" i="1"/>
  <c r="A2996" i="1"/>
  <c r="B2996" i="1"/>
  <c r="C2996" i="1"/>
  <c r="A2997" i="1"/>
  <c r="B2997" i="1"/>
  <c r="C2997" i="1"/>
  <c r="A2998" i="1"/>
  <c r="B2998" i="1"/>
  <c r="C2998" i="1"/>
  <c r="A2999" i="1"/>
  <c r="K2999" i="1"/>
  <c r="A3000" i="1"/>
  <c r="K3000" i="1"/>
  <c r="A3001" i="1"/>
  <c r="K3001" i="1"/>
  <c r="A3002" i="1"/>
  <c r="K3002" i="1"/>
  <c r="A3003" i="1"/>
  <c r="B3003" i="1"/>
  <c r="C3003" i="1"/>
  <c r="K3003" i="1"/>
  <c r="A3004" i="1"/>
  <c r="B3004" i="1"/>
  <c r="C3004" i="1"/>
  <c r="A3005" i="1"/>
  <c r="B3005" i="1"/>
  <c r="C3005" i="1"/>
  <c r="A3006" i="1"/>
  <c r="B3006" i="1"/>
  <c r="C3006" i="1"/>
  <c r="A3007" i="1"/>
  <c r="B3007" i="1"/>
  <c r="C3007" i="1"/>
  <c r="A3008" i="1"/>
  <c r="B3008" i="1"/>
  <c r="C3008" i="1"/>
  <c r="A3009" i="1"/>
  <c r="B3009" i="1"/>
  <c r="C3009" i="1"/>
  <c r="A3010" i="1"/>
  <c r="B3010" i="1"/>
  <c r="C3010" i="1"/>
  <c r="A3011" i="1"/>
  <c r="B3011" i="1"/>
  <c r="C3011" i="1"/>
  <c r="A3012" i="1"/>
  <c r="B3012" i="1"/>
  <c r="C3012" i="1"/>
  <c r="A3013" i="1"/>
  <c r="B3013" i="1"/>
  <c r="C3013" i="1"/>
  <c r="A3014" i="1"/>
  <c r="B3014" i="1"/>
  <c r="C3014" i="1"/>
  <c r="A3015" i="1"/>
  <c r="B3015" i="1"/>
  <c r="C3015" i="1"/>
  <c r="A3016" i="1"/>
  <c r="B3016" i="1"/>
  <c r="C3016" i="1"/>
  <c r="K3016" i="1"/>
  <c r="A3017" i="1"/>
  <c r="B3017" i="1"/>
  <c r="C3017" i="1"/>
  <c r="K3017" i="1"/>
  <c r="A3018" i="1"/>
  <c r="B3018" i="1"/>
  <c r="C3018" i="1"/>
  <c r="K3018" i="1"/>
  <c r="A3019" i="1"/>
  <c r="B3019" i="1"/>
  <c r="C3019" i="1"/>
  <c r="K3019" i="1"/>
  <c r="A3020" i="1"/>
  <c r="B3020" i="1"/>
  <c r="C3020" i="1"/>
  <c r="K3020" i="1"/>
  <c r="A3021" i="1"/>
  <c r="B3021" i="1"/>
  <c r="C3021" i="1"/>
  <c r="K3021" i="1"/>
  <c r="A3022" i="1"/>
  <c r="B3022" i="1"/>
  <c r="C3022" i="1"/>
  <c r="K3022" i="1"/>
  <c r="A3023" i="1"/>
  <c r="B3023" i="1"/>
  <c r="C3023" i="1"/>
  <c r="K3023" i="1"/>
  <c r="A3024" i="1"/>
  <c r="B3024" i="1"/>
  <c r="C3024" i="1"/>
  <c r="A3025" i="1"/>
  <c r="B3025" i="1"/>
  <c r="C3025" i="1"/>
  <c r="A3026" i="1"/>
  <c r="B3026" i="1"/>
  <c r="C3026" i="1"/>
  <c r="A3027" i="1"/>
  <c r="B3027" i="1"/>
  <c r="C3027" i="1"/>
  <c r="K3027" i="1"/>
  <c r="A3028" i="1"/>
  <c r="B3028" i="1"/>
  <c r="C3028" i="1"/>
  <c r="K3028" i="1"/>
  <c r="A3029" i="1"/>
  <c r="B3029" i="1"/>
  <c r="C3029" i="1"/>
  <c r="K3029" i="1"/>
  <c r="A3030" i="1"/>
  <c r="B3030" i="1"/>
  <c r="C3030" i="1"/>
  <c r="K3030" i="1"/>
  <c r="A3031" i="1"/>
  <c r="B3031" i="1"/>
  <c r="C3031" i="1"/>
  <c r="K3031" i="1"/>
  <c r="A3032" i="1"/>
  <c r="B3032" i="1"/>
  <c r="C3032" i="1"/>
  <c r="A3033" i="1"/>
  <c r="B3033" i="1"/>
  <c r="C3033" i="1"/>
  <c r="A3034" i="1"/>
  <c r="B3034" i="1"/>
  <c r="C3034" i="1"/>
  <c r="A3035" i="1"/>
  <c r="B3035" i="1"/>
  <c r="C3035" i="1"/>
  <c r="K3035" i="1"/>
  <c r="A3036" i="1"/>
  <c r="A3037" i="1"/>
  <c r="B3037" i="1"/>
  <c r="C3037" i="1"/>
  <c r="K3037" i="1"/>
  <c r="A3038" i="1"/>
  <c r="B3038" i="1"/>
  <c r="C3038" i="1"/>
  <c r="K3038" i="1"/>
  <c r="A3039" i="1"/>
  <c r="B3039" i="1"/>
  <c r="C3039" i="1"/>
  <c r="K3039" i="1"/>
  <c r="A3040" i="1"/>
  <c r="B3040" i="1"/>
  <c r="C3040" i="1"/>
  <c r="K3040" i="1"/>
  <c r="A3041" i="1"/>
  <c r="B3041" i="1"/>
  <c r="C3041" i="1"/>
  <c r="K3041" i="1"/>
  <c r="A3042" i="1"/>
  <c r="B3042" i="1"/>
  <c r="C3042" i="1"/>
  <c r="K3042" i="1"/>
  <c r="A3043" i="1"/>
  <c r="B3043" i="1"/>
  <c r="C3043" i="1"/>
  <c r="K3043" i="1"/>
  <c r="A3044" i="1"/>
  <c r="B3044" i="1"/>
  <c r="C3044" i="1"/>
  <c r="K3044" i="1"/>
  <c r="A3045" i="1"/>
  <c r="B3045" i="1"/>
  <c r="C3045" i="1"/>
  <c r="K3045" i="1"/>
  <c r="A3046" i="1"/>
  <c r="B3046" i="1"/>
  <c r="C3046" i="1"/>
  <c r="K3046" i="1"/>
  <c r="A3047" i="1"/>
  <c r="B3047" i="1"/>
  <c r="C3047" i="1"/>
  <c r="K3047" i="1"/>
  <c r="A3048" i="1"/>
  <c r="B3048" i="1"/>
  <c r="C3048" i="1"/>
  <c r="K3048" i="1"/>
  <c r="A3049" i="1"/>
  <c r="B3049" i="1"/>
  <c r="C3049" i="1"/>
  <c r="K3049" i="1"/>
  <c r="A3050" i="1"/>
  <c r="B3050" i="1"/>
  <c r="C3050" i="1"/>
  <c r="K3050" i="1"/>
  <c r="A3051" i="1"/>
  <c r="B3051" i="1"/>
  <c r="C3051" i="1"/>
  <c r="A3052" i="1"/>
  <c r="B3052" i="1"/>
  <c r="C3052" i="1"/>
  <c r="K3052" i="1"/>
  <c r="A3053" i="1"/>
  <c r="B3053" i="1"/>
  <c r="C3053" i="1"/>
  <c r="K3053" i="1"/>
  <c r="A3054" i="1"/>
  <c r="B3054" i="1"/>
  <c r="C3054" i="1"/>
  <c r="A3055" i="1"/>
  <c r="B3055" i="1"/>
  <c r="C3055" i="1"/>
  <c r="A3056" i="1"/>
  <c r="B3056" i="1"/>
  <c r="C3056" i="1"/>
  <c r="A3057" i="1"/>
  <c r="B3057" i="1"/>
  <c r="C3057" i="1"/>
  <c r="A3058" i="1"/>
  <c r="B3058" i="1"/>
  <c r="C3058" i="1"/>
  <c r="A3059" i="1"/>
  <c r="B3059" i="1"/>
  <c r="C3059" i="1"/>
  <c r="A3060" i="1"/>
  <c r="B3060" i="1"/>
  <c r="C3060" i="1"/>
  <c r="A3061" i="1"/>
  <c r="B3061" i="1"/>
  <c r="C3061" i="1"/>
  <c r="A3062" i="1"/>
  <c r="B3062" i="1"/>
  <c r="C3062" i="1"/>
  <c r="A3063" i="1"/>
  <c r="B3063" i="1"/>
  <c r="C3063" i="1"/>
  <c r="A3064" i="1"/>
  <c r="B3064" i="1"/>
  <c r="C3064" i="1"/>
  <c r="A3065" i="1"/>
  <c r="B3065" i="1"/>
  <c r="C3065" i="1"/>
  <c r="A3066" i="1"/>
  <c r="B3066" i="1"/>
  <c r="C3066" i="1"/>
  <c r="A3067" i="1"/>
  <c r="K3067" i="1"/>
  <c r="A3068" i="1"/>
  <c r="A3069" i="1"/>
  <c r="B3069" i="1"/>
  <c r="C3069" i="1"/>
  <c r="K3069" i="1"/>
  <c r="A3070" i="1"/>
  <c r="B3070" i="1"/>
  <c r="C3070" i="1"/>
  <c r="K3070" i="1"/>
  <c r="A3071" i="1"/>
  <c r="B3071" i="1"/>
  <c r="C3071" i="1"/>
  <c r="K3071" i="1"/>
  <c r="A3072" i="1"/>
  <c r="B3072" i="1"/>
  <c r="C3072" i="1"/>
  <c r="K3072" i="1"/>
  <c r="A3073" i="1"/>
  <c r="B3073" i="1"/>
  <c r="C3073" i="1"/>
  <c r="A3074" i="1"/>
  <c r="B3074" i="1"/>
  <c r="C3074" i="1"/>
  <c r="A3075" i="1"/>
  <c r="B3075" i="1"/>
  <c r="C3075" i="1"/>
  <c r="A3076" i="1"/>
  <c r="B3076" i="1"/>
  <c r="C3076" i="1"/>
  <c r="A3077" i="1"/>
  <c r="B3077" i="1"/>
  <c r="C3077" i="1"/>
  <c r="A3078" i="1"/>
  <c r="B3078" i="1"/>
  <c r="C3078" i="1"/>
  <c r="A3079" i="1"/>
  <c r="B3079" i="1"/>
  <c r="C3079" i="1"/>
  <c r="K3079" i="1"/>
  <c r="A3080" i="1"/>
  <c r="B3080" i="1"/>
  <c r="C3080" i="1"/>
  <c r="K3080" i="1"/>
  <c r="A3081" i="1"/>
  <c r="B3081" i="1"/>
  <c r="C3081" i="1"/>
  <c r="A3082" i="1"/>
  <c r="B3082" i="1"/>
  <c r="C3082" i="1"/>
  <c r="A3083" i="1"/>
  <c r="B3083" i="1"/>
  <c r="C3083" i="1"/>
  <c r="A3084" i="1"/>
  <c r="B3084" i="1"/>
  <c r="C3084" i="1"/>
  <c r="A3085" i="1"/>
  <c r="B3085" i="1"/>
  <c r="C3085" i="1"/>
  <c r="K3085" i="1"/>
  <c r="A3086" i="1"/>
  <c r="B3086" i="1"/>
  <c r="C3086" i="1"/>
  <c r="K3086" i="1"/>
  <c r="A3087" i="1"/>
  <c r="B3087" i="1"/>
  <c r="C3087" i="1"/>
  <c r="K3087" i="1"/>
  <c r="A3088" i="1"/>
  <c r="B3088" i="1"/>
  <c r="C3088" i="1"/>
  <c r="K3088" i="1"/>
  <c r="A3089" i="1"/>
  <c r="B3089" i="1"/>
  <c r="C3089" i="1"/>
  <c r="K3089" i="1"/>
  <c r="A3090" i="1"/>
  <c r="B3090" i="1"/>
  <c r="C3090" i="1"/>
  <c r="K3090" i="1"/>
  <c r="A3091" i="1"/>
  <c r="B3091" i="1"/>
  <c r="C3091" i="1"/>
  <c r="A3092" i="1"/>
  <c r="B3092" i="1"/>
  <c r="C3092" i="1"/>
  <c r="A3093" i="1"/>
  <c r="B3093" i="1"/>
  <c r="C3093" i="1"/>
  <c r="K3093" i="1"/>
  <c r="A3094" i="1"/>
  <c r="B3094" i="1"/>
  <c r="C3094" i="1"/>
  <c r="A3095" i="1"/>
  <c r="B3095" i="1"/>
  <c r="C3095" i="1"/>
  <c r="A3096" i="1"/>
  <c r="B3096" i="1"/>
  <c r="C3096" i="1"/>
  <c r="K3096" i="1"/>
  <c r="A3097" i="1"/>
  <c r="B3097" i="1"/>
  <c r="C3097" i="1"/>
  <c r="K3097" i="1"/>
  <c r="A3098" i="1"/>
  <c r="B3098" i="1"/>
  <c r="C3098" i="1"/>
  <c r="A3099" i="1"/>
  <c r="B3099" i="1"/>
  <c r="C3099" i="1"/>
  <c r="K3099" i="1"/>
  <c r="A3100" i="1"/>
  <c r="B3100" i="1"/>
  <c r="C3100" i="1"/>
  <c r="A3101" i="1"/>
  <c r="B3101" i="1"/>
  <c r="C3101" i="1"/>
  <c r="K3101" i="1"/>
  <c r="A3102" i="1"/>
  <c r="B3102" i="1"/>
  <c r="C3102" i="1"/>
  <c r="K3102" i="1"/>
  <c r="A3103" i="1"/>
  <c r="B3103" i="1"/>
  <c r="C3103" i="1"/>
  <c r="A3104" i="1"/>
  <c r="B3104" i="1"/>
  <c r="C3104" i="1"/>
  <c r="A3105" i="1"/>
  <c r="B3105" i="1"/>
  <c r="C3105" i="1"/>
  <c r="K3105" i="1"/>
  <c r="A3106" i="1"/>
  <c r="B3106" i="1"/>
  <c r="C3106" i="1"/>
  <c r="K3106" i="1"/>
  <c r="A3107" i="1"/>
  <c r="B3107" i="1"/>
  <c r="C3107" i="1"/>
  <c r="K3107" i="1"/>
  <c r="A3108" i="1"/>
  <c r="B3108" i="1"/>
  <c r="C3108" i="1"/>
  <c r="K3108" i="1"/>
  <c r="A3109" i="1"/>
  <c r="B3109" i="1"/>
  <c r="C3109" i="1"/>
  <c r="A3110" i="1"/>
  <c r="B3110" i="1"/>
  <c r="C3110" i="1"/>
  <c r="K3110" i="1"/>
  <c r="A3111" i="1"/>
  <c r="B3111" i="1"/>
  <c r="C3111" i="1"/>
  <c r="A3112" i="1"/>
  <c r="B3112" i="1"/>
  <c r="C3112" i="1"/>
  <c r="A3113" i="1"/>
  <c r="B3113" i="1"/>
  <c r="C3113" i="1"/>
  <c r="A3114" i="1"/>
  <c r="B3114" i="1"/>
  <c r="C3114" i="1"/>
  <c r="K3114" i="1"/>
  <c r="A3115" i="1"/>
  <c r="B3115" i="1"/>
  <c r="C3115" i="1"/>
  <c r="A3116" i="1"/>
  <c r="B3116" i="1"/>
  <c r="C3116" i="1"/>
  <c r="A3117" i="1"/>
  <c r="B3117" i="1"/>
  <c r="C3117" i="1"/>
  <c r="A3118" i="1"/>
  <c r="B3118" i="1"/>
  <c r="C3118" i="1"/>
  <c r="A3119" i="1"/>
  <c r="B3119" i="1"/>
  <c r="C3119" i="1"/>
  <c r="K3119" i="1"/>
  <c r="A3120" i="1"/>
  <c r="B3120" i="1"/>
  <c r="C3120" i="1"/>
  <c r="A3121" i="1"/>
  <c r="B3121" i="1"/>
  <c r="C3121" i="1"/>
  <c r="A3122" i="1"/>
  <c r="B3122" i="1"/>
  <c r="C3122" i="1"/>
  <c r="A3123" i="1"/>
  <c r="B3123" i="1"/>
  <c r="C3123" i="1"/>
  <c r="A3124" i="1"/>
  <c r="B3124" i="1"/>
  <c r="C3124" i="1"/>
  <c r="A3125" i="1"/>
  <c r="B3125" i="1"/>
  <c r="C3125" i="1"/>
  <c r="K3125" i="1"/>
  <c r="A3126" i="1"/>
  <c r="B3126" i="1"/>
  <c r="C3126" i="1"/>
  <c r="A3127" i="1"/>
  <c r="B3127" i="1"/>
  <c r="C3127" i="1"/>
  <c r="A3128" i="1"/>
  <c r="B3128" i="1"/>
  <c r="C3128" i="1"/>
  <c r="K3128" i="1"/>
  <c r="A3129" i="1"/>
  <c r="B3129" i="1"/>
  <c r="C3129" i="1"/>
  <c r="A3130" i="1"/>
  <c r="B3130" i="1"/>
  <c r="C3130" i="1"/>
  <c r="A3131" i="1"/>
  <c r="B3131" i="1"/>
  <c r="C3131" i="1"/>
  <c r="A3132" i="1"/>
  <c r="B3132" i="1"/>
  <c r="C3132" i="1"/>
  <c r="A3133" i="1"/>
  <c r="B3133" i="1"/>
  <c r="C3133" i="1"/>
  <c r="A3134" i="1"/>
  <c r="B3134" i="1"/>
  <c r="C3134" i="1"/>
  <c r="A3135" i="1"/>
  <c r="B3135" i="1"/>
  <c r="C3135" i="1"/>
  <c r="A3136" i="1"/>
  <c r="B3136" i="1"/>
  <c r="C3136" i="1"/>
  <c r="A3137" i="1"/>
  <c r="B3137" i="1"/>
  <c r="C3137" i="1"/>
  <c r="K3137" i="1"/>
  <c r="A3138" i="1"/>
  <c r="B3138" i="1"/>
  <c r="C3138" i="1"/>
  <c r="A3139" i="1"/>
  <c r="B3139" i="1"/>
  <c r="C3139" i="1"/>
  <c r="A3140" i="1"/>
  <c r="B3140" i="1"/>
  <c r="C3140" i="1"/>
  <c r="K3140" i="1"/>
  <c r="A3141" i="1"/>
  <c r="B3141" i="1"/>
  <c r="C3141" i="1"/>
  <c r="A3142" i="1"/>
  <c r="B3142" i="1"/>
  <c r="C3142" i="1"/>
  <c r="A3143" i="1"/>
  <c r="B3143" i="1"/>
  <c r="C3143" i="1"/>
  <c r="K3143" i="1"/>
  <c r="A3144" i="1"/>
  <c r="B3144" i="1"/>
  <c r="C3144" i="1"/>
  <c r="A3145" i="1"/>
  <c r="B3145" i="1"/>
  <c r="C3145" i="1"/>
  <c r="A3146" i="1"/>
  <c r="B3146" i="1"/>
  <c r="C3146" i="1"/>
  <c r="A3147" i="1"/>
  <c r="B3147" i="1"/>
  <c r="C3147" i="1"/>
  <c r="A3148" i="1"/>
  <c r="B3148" i="1"/>
  <c r="C3148" i="1"/>
  <c r="A3149" i="1"/>
  <c r="B3149" i="1"/>
  <c r="C3149" i="1"/>
  <c r="A3150" i="1"/>
  <c r="B3150" i="1"/>
  <c r="C3150" i="1"/>
  <c r="A3151" i="1"/>
  <c r="B3151" i="1"/>
  <c r="C3151" i="1"/>
  <c r="K3151" i="1"/>
  <c r="A3152" i="1"/>
  <c r="B3152" i="1"/>
  <c r="C3152" i="1"/>
  <c r="A3153" i="1"/>
  <c r="B3153" i="1"/>
  <c r="C3153" i="1"/>
  <c r="A3154" i="1"/>
  <c r="B3154" i="1"/>
  <c r="C3154" i="1"/>
  <c r="K3154" i="1"/>
  <c r="A3155" i="1"/>
  <c r="B3155" i="1"/>
  <c r="C3155" i="1"/>
  <c r="A3156" i="1"/>
  <c r="B3156" i="1"/>
  <c r="C3156" i="1"/>
  <c r="K3156" i="1"/>
  <c r="A3157" i="1"/>
  <c r="B3157" i="1"/>
  <c r="C3157" i="1"/>
  <c r="A3158" i="1"/>
  <c r="B3158" i="1"/>
  <c r="C3158" i="1"/>
  <c r="A3159" i="1"/>
  <c r="B3159" i="1"/>
  <c r="C3159" i="1"/>
  <c r="A3160" i="1"/>
  <c r="B3160" i="1"/>
  <c r="C3160" i="1"/>
  <c r="A3161" i="1"/>
  <c r="B3161" i="1"/>
  <c r="C3161" i="1"/>
  <c r="K3161" i="1"/>
  <c r="A3162" i="1"/>
  <c r="B3162" i="1"/>
  <c r="C3162" i="1"/>
  <c r="A3163" i="1"/>
  <c r="B3163" i="1"/>
  <c r="C3163" i="1"/>
  <c r="A3164" i="1"/>
  <c r="B3164" i="1"/>
  <c r="C3164" i="1"/>
  <c r="A3165" i="1"/>
  <c r="B3165" i="1"/>
  <c r="C3165" i="1"/>
  <c r="A3166" i="1"/>
  <c r="B3166" i="1"/>
  <c r="C3166" i="1"/>
  <c r="A3167" i="1"/>
  <c r="B3167" i="1"/>
  <c r="C3167" i="1"/>
  <c r="A3168" i="1"/>
  <c r="B3168" i="1"/>
  <c r="C3168" i="1"/>
  <c r="A3169" i="1"/>
  <c r="B3169" i="1"/>
  <c r="C3169" i="1"/>
  <c r="A3170" i="1"/>
  <c r="B3170" i="1"/>
  <c r="C3170" i="1"/>
  <c r="A3171" i="1"/>
  <c r="B3171" i="1"/>
  <c r="C3171" i="1"/>
  <c r="A3172" i="1"/>
  <c r="B3172" i="1"/>
  <c r="C3172" i="1"/>
  <c r="A3173" i="1"/>
  <c r="B3173" i="1"/>
  <c r="C3173" i="1"/>
  <c r="A3174" i="1"/>
  <c r="B3174" i="1"/>
  <c r="C3174" i="1"/>
  <c r="A3175" i="1"/>
  <c r="B3175" i="1"/>
  <c r="C3175" i="1"/>
  <c r="A3176" i="1"/>
  <c r="B3176" i="1"/>
  <c r="C3176" i="1"/>
  <c r="A3177" i="1"/>
  <c r="B3177" i="1"/>
  <c r="C3177" i="1"/>
  <c r="A3178" i="1"/>
  <c r="B3178" i="1"/>
  <c r="C3178" i="1"/>
  <c r="A3179" i="1"/>
  <c r="B3179" i="1"/>
  <c r="C3179" i="1"/>
  <c r="A3180" i="1"/>
  <c r="B3180" i="1"/>
  <c r="C3180" i="1"/>
  <c r="A3181" i="1"/>
  <c r="B3181" i="1"/>
  <c r="C3181" i="1"/>
  <c r="A3182" i="1"/>
  <c r="B3182" i="1"/>
  <c r="C3182" i="1"/>
  <c r="A3183" i="1"/>
  <c r="B3183" i="1"/>
  <c r="C3183" i="1"/>
  <c r="K3183" i="1"/>
  <c r="A3184" i="1"/>
  <c r="B3184" i="1"/>
  <c r="C3184" i="1"/>
  <c r="A3185" i="1"/>
  <c r="B3185" i="1"/>
  <c r="C3185" i="1"/>
  <c r="A3186" i="1"/>
  <c r="B3186" i="1"/>
  <c r="C3186" i="1"/>
  <c r="A3187" i="1"/>
  <c r="B3187" i="1"/>
  <c r="C3187" i="1"/>
  <c r="K3187" i="1"/>
  <c r="A3188" i="1"/>
  <c r="B3188" i="1"/>
  <c r="C3188" i="1"/>
  <c r="K3188" i="1"/>
  <c r="A3189" i="1"/>
  <c r="B3189" i="1"/>
  <c r="C3189" i="1"/>
  <c r="A3190" i="1"/>
  <c r="B3190" i="1"/>
  <c r="C3190" i="1"/>
  <c r="K3190" i="1"/>
  <c r="A3191" i="1"/>
  <c r="B3191" i="1"/>
  <c r="C3191" i="1"/>
  <c r="K3191" i="1"/>
  <c r="A3192" i="1"/>
  <c r="B3192" i="1"/>
  <c r="C3192" i="1"/>
  <c r="K3192" i="1"/>
  <c r="A3193" i="1"/>
  <c r="B3193" i="1"/>
  <c r="C3193" i="1"/>
  <c r="K3193" i="1"/>
  <c r="A3194" i="1"/>
  <c r="B3194" i="1"/>
  <c r="C3194" i="1"/>
  <c r="A3195" i="1"/>
  <c r="B3195" i="1"/>
  <c r="C3195" i="1"/>
  <c r="K3195" i="1"/>
  <c r="A3196" i="1"/>
  <c r="B3196" i="1"/>
  <c r="C3196" i="1"/>
  <c r="K3196" i="1"/>
  <c r="A3197" i="1"/>
  <c r="B3197" i="1"/>
  <c r="C3197" i="1"/>
  <c r="A3198" i="1"/>
  <c r="B3198" i="1"/>
  <c r="C3198" i="1"/>
  <c r="A3199" i="1"/>
  <c r="B3199" i="1"/>
  <c r="C3199" i="1"/>
  <c r="A3200" i="1"/>
  <c r="B3200" i="1"/>
  <c r="C3200" i="1"/>
  <c r="K3200" i="1"/>
  <c r="A3201" i="1"/>
  <c r="B3201" i="1"/>
  <c r="C3201" i="1"/>
  <c r="A3202" i="1"/>
  <c r="B3202" i="1"/>
  <c r="C3202" i="1"/>
  <c r="A3203" i="1"/>
  <c r="B3203" i="1"/>
  <c r="C3203" i="1"/>
  <c r="K3203" i="1"/>
  <c r="A3204" i="1"/>
  <c r="B3204" i="1"/>
  <c r="C3204" i="1"/>
  <c r="K3204" i="1"/>
  <c r="A3205" i="1"/>
  <c r="B3205" i="1"/>
  <c r="C3205" i="1"/>
  <c r="A3206" i="1"/>
  <c r="B3206" i="1"/>
  <c r="C3206" i="1"/>
  <c r="A3207" i="1"/>
  <c r="B3207" i="1"/>
  <c r="C3207" i="1"/>
  <c r="K3207" i="1"/>
  <c r="A3208" i="1"/>
  <c r="B3208" i="1"/>
  <c r="C3208" i="1"/>
  <c r="K3208" i="1"/>
  <c r="A3209" i="1"/>
  <c r="B3209" i="1"/>
  <c r="C3209" i="1"/>
  <c r="K3209" i="1"/>
  <c r="A3210" i="1"/>
  <c r="B3210" i="1"/>
  <c r="C3210" i="1"/>
  <c r="K3210" i="1"/>
  <c r="A3211" i="1"/>
  <c r="B3211" i="1"/>
  <c r="C3211" i="1"/>
  <c r="K3211" i="1"/>
  <c r="A3212" i="1"/>
  <c r="B3212" i="1"/>
  <c r="C3212" i="1"/>
  <c r="K3212" i="1"/>
  <c r="A3213" i="1"/>
  <c r="B3213" i="1"/>
  <c r="C3213" i="1"/>
  <c r="K3213" i="1"/>
  <c r="A3214" i="1"/>
  <c r="B3214" i="1"/>
  <c r="C3214" i="1"/>
  <c r="K3214" i="1"/>
  <c r="A3215" i="1"/>
  <c r="B3215" i="1"/>
  <c r="C3215" i="1"/>
  <c r="K3215" i="1"/>
  <c r="A3216" i="1"/>
  <c r="B3216" i="1"/>
  <c r="C3216" i="1"/>
  <c r="K3216" i="1"/>
  <c r="A3217" i="1"/>
  <c r="B3217" i="1"/>
  <c r="C3217" i="1"/>
  <c r="K3217" i="1"/>
  <c r="A3218" i="1"/>
  <c r="B3218" i="1"/>
  <c r="C3218" i="1"/>
  <c r="K3218" i="1"/>
  <c r="A3219" i="1"/>
  <c r="B3219" i="1"/>
  <c r="C3219" i="1"/>
  <c r="K3219" i="1"/>
  <c r="A3220" i="1"/>
  <c r="B3220" i="1"/>
  <c r="C3220" i="1"/>
  <c r="K3220" i="1"/>
  <c r="A3221" i="1"/>
  <c r="B3221" i="1"/>
  <c r="C3221" i="1"/>
  <c r="K3221" i="1"/>
  <c r="A3222" i="1"/>
  <c r="B3222" i="1"/>
  <c r="C3222" i="1"/>
  <c r="K3222" i="1"/>
  <c r="A3223" i="1"/>
  <c r="B3223" i="1"/>
  <c r="C3223" i="1"/>
  <c r="K3223" i="1"/>
  <c r="A3224" i="1"/>
  <c r="B3224" i="1"/>
  <c r="C3224" i="1"/>
  <c r="K3224" i="1"/>
  <c r="A3225" i="1"/>
  <c r="B3225" i="1"/>
  <c r="C3225" i="1"/>
  <c r="K3225" i="1"/>
  <c r="A3226" i="1"/>
  <c r="B3226" i="1"/>
  <c r="C3226" i="1"/>
  <c r="K3226" i="1"/>
  <c r="A3227" i="1"/>
  <c r="B3227" i="1"/>
  <c r="C3227" i="1"/>
  <c r="K3227" i="1"/>
  <c r="A3228" i="1"/>
  <c r="B3228" i="1"/>
  <c r="C3228" i="1"/>
  <c r="K3228" i="1"/>
  <c r="A3229" i="1"/>
  <c r="B3229" i="1"/>
  <c r="C3229" i="1"/>
  <c r="K3229" i="1"/>
  <c r="A3230" i="1"/>
  <c r="B3230" i="1"/>
  <c r="C3230" i="1"/>
  <c r="K3230" i="1"/>
  <c r="A3231" i="1"/>
  <c r="B3231" i="1"/>
  <c r="C3231" i="1"/>
  <c r="K3231" i="1"/>
  <c r="A3232" i="1"/>
  <c r="B3232" i="1"/>
  <c r="C3232" i="1"/>
  <c r="K3232" i="1"/>
  <c r="A3233" i="1"/>
  <c r="B3233" i="1"/>
  <c r="C3233" i="1"/>
  <c r="K3233" i="1"/>
  <c r="A3234" i="1"/>
  <c r="B3234" i="1"/>
  <c r="C3234" i="1"/>
  <c r="K3234" i="1"/>
  <c r="A3235" i="1"/>
  <c r="B3235" i="1"/>
  <c r="C3235" i="1"/>
  <c r="K3235" i="1"/>
  <c r="A3236" i="1"/>
  <c r="B3236" i="1"/>
  <c r="C3236" i="1"/>
  <c r="K3236" i="1"/>
  <c r="A3237" i="1"/>
  <c r="B3237" i="1"/>
  <c r="C3237" i="1"/>
  <c r="K3237" i="1"/>
  <c r="A3238" i="1"/>
  <c r="B3238" i="1"/>
  <c r="C3238" i="1"/>
  <c r="K3238" i="1"/>
  <c r="A3239" i="1"/>
  <c r="B3239" i="1"/>
  <c r="C3239" i="1"/>
  <c r="A3240" i="1"/>
  <c r="B3240" i="1"/>
  <c r="C3240" i="1"/>
  <c r="A3241" i="1"/>
  <c r="B3241" i="1"/>
  <c r="C3241" i="1"/>
  <c r="A3242" i="1"/>
  <c r="B3242" i="1"/>
  <c r="C3242" i="1"/>
  <c r="K3242" i="1"/>
  <c r="A3243" i="1"/>
  <c r="B3243" i="1"/>
  <c r="C3243" i="1"/>
  <c r="A3244" i="1"/>
  <c r="B3244" i="1"/>
  <c r="C3244" i="1"/>
  <c r="K3244" i="1"/>
  <c r="A3245" i="1"/>
  <c r="B3245" i="1"/>
  <c r="C3245" i="1"/>
  <c r="K3245" i="1"/>
  <c r="A3246" i="1"/>
  <c r="B3246" i="1"/>
  <c r="C3246" i="1"/>
  <c r="A3247" i="1"/>
  <c r="B3247" i="1"/>
  <c r="C3247" i="1"/>
  <c r="A3248" i="1"/>
  <c r="B3248" i="1"/>
  <c r="C3248" i="1"/>
  <c r="A3249" i="1"/>
  <c r="B3249" i="1"/>
  <c r="C3249" i="1"/>
  <c r="A3250" i="1"/>
  <c r="B3250" i="1"/>
  <c r="C3250" i="1"/>
  <c r="A3251" i="1"/>
  <c r="B3251" i="1"/>
  <c r="C3251" i="1"/>
  <c r="A3252" i="1"/>
  <c r="B3252" i="1"/>
  <c r="C3252" i="1"/>
  <c r="A3253" i="1"/>
  <c r="B3253" i="1"/>
  <c r="C3253" i="1"/>
  <c r="A3254" i="1"/>
  <c r="B3254" i="1"/>
  <c r="C3254" i="1"/>
  <c r="A3255" i="1"/>
  <c r="B3255" i="1"/>
  <c r="C3255" i="1"/>
  <c r="A3256" i="1"/>
  <c r="B3256" i="1"/>
  <c r="C3256" i="1"/>
  <c r="A3257" i="1"/>
  <c r="B3257" i="1"/>
  <c r="C3257" i="1"/>
  <c r="A3258" i="1"/>
  <c r="B3258" i="1"/>
  <c r="C3258" i="1"/>
  <c r="A3259" i="1"/>
  <c r="B3259" i="1"/>
  <c r="C3259" i="1"/>
  <c r="A3260" i="1"/>
  <c r="B3260" i="1"/>
  <c r="C3260" i="1"/>
  <c r="A3261" i="1"/>
  <c r="B3261" i="1"/>
  <c r="C3261" i="1"/>
  <c r="A3262" i="1"/>
  <c r="B3262" i="1"/>
  <c r="C3262" i="1"/>
  <c r="K3262" i="1"/>
  <c r="A3263" i="1"/>
  <c r="B3263" i="1"/>
  <c r="C3263" i="1"/>
  <c r="A3264" i="1"/>
  <c r="B3264" i="1"/>
  <c r="C3264" i="1"/>
  <c r="A3265" i="1"/>
  <c r="B3265" i="1"/>
  <c r="C3265" i="1"/>
  <c r="A3266" i="1"/>
  <c r="B3266" i="1"/>
  <c r="C3266" i="1"/>
  <c r="A3267" i="1"/>
  <c r="B3267" i="1"/>
  <c r="C3267" i="1"/>
  <c r="K3267" i="1"/>
  <c r="A3268" i="1"/>
  <c r="B3268" i="1"/>
  <c r="C3268" i="1"/>
  <c r="K3268" i="1"/>
  <c r="A3269" i="1"/>
  <c r="B3269" i="1"/>
  <c r="C3269" i="1"/>
  <c r="K3269" i="1"/>
  <c r="A3270" i="1"/>
  <c r="B3270" i="1"/>
  <c r="C3270" i="1"/>
  <c r="K3270" i="1"/>
  <c r="A3271" i="1"/>
  <c r="B3271" i="1"/>
  <c r="C3271" i="1"/>
  <c r="K3271" i="1"/>
  <c r="A3272" i="1"/>
  <c r="B3272" i="1"/>
  <c r="C3272" i="1"/>
  <c r="K3272" i="1"/>
  <c r="A3273" i="1"/>
  <c r="B3273" i="1"/>
  <c r="C3273" i="1"/>
  <c r="K3273" i="1"/>
  <c r="A3274" i="1"/>
  <c r="B3274" i="1"/>
  <c r="C3274" i="1"/>
  <c r="K3274" i="1"/>
  <c r="A3275" i="1"/>
  <c r="B3275" i="1"/>
  <c r="C3275" i="1"/>
  <c r="A3276" i="1"/>
  <c r="B3276" i="1"/>
  <c r="C3276" i="1"/>
  <c r="A3277" i="1"/>
  <c r="B3277" i="1"/>
  <c r="C3277" i="1"/>
  <c r="K3277" i="1"/>
  <c r="A3278" i="1"/>
  <c r="B3278" i="1"/>
  <c r="C3278" i="1"/>
  <c r="A3279" i="1"/>
  <c r="B3279" i="1"/>
  <c r="C3279" i="1"/>
  <c r="K3279" i="1"/>
  <c r="A3280" i="1"/>
  <c r="B3280" i="1"/>
  <c r="C3280" i="1"/>
  <c r="K3280" i="1"/>
  <c r="A3281" i="1"/>
  <c r="B3281" i="1"/>
  <c r="C3281" i="1"/>
  <c r="K3281" i="1"/>
  <c r="A3282" i="1"/>
  <c r="B3282" i="1"/>
  <c r="C3282" i="1"/>
  <c r="K3282" i="1"/>
  <c r="A3283" i="1"/>
  <c r="B3283" i="1"/>
  <c r="C3283" i="1"/>
  <c r="K3283" i="1"/>
  <c r="A3284" i="1"/>
  <c r="B3284" i="1"/>
  <c r="C3284" i="1"/>
  <c r="K3284" i="1"/>
  <c r="A3285" i="1"/>
  <c r="B3285" i="1"/>
  <c r="C3285" i="1"/>
  <c r="A3286" i="1"/>
  <c r="B3286" i="1"/>
  <c r="C3286" i="1"/>
  <c r="K3286" i="1"/>
  <c r="A3287" i="1"/>
  <c r="B3287" i="1"/>
  <c r="C3287" i="1"/>
  <c r="A3288" i="1"/>
  <c r="B3288" i="1"/>
  <c r="C3288" i="1"/>
  <c r="K3288" i="1"/>
  <c r="A3289" i="1"/>
  <c r="B3289" i="1"/>
  <c r="C3289" i="1"/>
  <c r="A3290" i="1"/>
  <c r="B3290" i="1"/>
  <c r="C3290" i="1"/>
  <c r="K3290" i="1"/>
  <c r="A3291" i="1"/>
  <c r="B3291" i="1"/>
  <c r="C3291" i="1"/>
  <c r="K3291" i="1"/>
  <c r="A3292" i="1"/>
  <c r="B3292" i="1"/>
  <c r="C3292" i="1"/>
  <c r="A3293" i="1"/>
  <c r="B3293" i="1"/>
  <c r="C3293" i="1"/>
  <c r="A3294" i="1"/>
  <c r="B3294" i="1"/>
  <c r="C3294" i="1"/>
  <c r="A3295" i="1"/>
  <c r="B3295" i="1"/>
  <c r="C3295" i="1"/>
  <c r="A3296" i="1"/>
  <c r="B3296" i="1"/>
  <c r="C3296" i="1"/>
  <c r="A3297" i="1"/>
  <c r="B3297" i="1"/>
  <c r="C3297" i="1"/>
  <c r="A3298" i="1"/>
  <c r="B3298" i="1"/>
  <c r="C3298" i="1"/>
  <c r="K3298" i="1"/>
  <c r="A3299" i="1"/>
  <c r="B3299" i="1"/>
  <c r="C3299" i="1"/>
  <c r="K3299" i="1"/>
  <c r="A3300" i="1"/>
  <c r="B3300" i="1"/>
  <c r="C3300" i="1"/>
  <c r="K3300" i="1"/>
  <c r="A3301" i="1"/>
  <c r="B3301" i="1"/>
  <c r="C3301" i="1"/>
  <c r="A3302" i="1"/>
  <c r="B3302" i="1"/>
  <c r="C3302" i="1"/>
  <c r="A3303" i="1"/>
  <c r="B3303" i="1"/>
  <c r="C3303" i="1"/>
  <c r="K3303" i="1"/>
  <c r="A3304" i="1"/>
  <c r="K3304" i="1"/>
  <c r="A3305" i="1"/>
  <c r="B3305" i="1"/>
  <c r="C3305" i="1"/>
  <c r="K3305" i="1"/>
  <c r="A3306" i="1"/>
  <c r="K3306" i="1"/>
  <c r="A3307" i="1"/>
  <c r="B3307" i="1"/>
  <c r="C3307" i="1"/>
  <c r="K3307" i="1"/>
  <c r="A3308" i="1"/>
  <c r="A3309" i="1"/>
  <c r="A3310" i="1"/>
  <c r="A3311" i="1"/>
  <c r="A3312" i="1"/>
  <c r="A3313" i="1"/>
  <c r="B3313" i="1"/>
  <c r="C3313" i="1"/>
  <c r="K3313" i="1"/>
  <c r="A3314" i="1"/>
  <c r="K3314" i="1"/>
  <c r="A3315" i="1"/>
  <c r="B3315" i="1"/>
  <c r="C3315" i="1"/>
  <c r="K3315" i="1"/>
  <c r="A3316" i="1"/>
  <c r="B3316" i="1"/>
  <c r="C3316" i="1"/>
  <c r="K3316" i="1"/>
  <c r="A3317" i="1"/>
  <c r="B3317" i="1"/>
  <c r="C3317" i="1"/>
  <c r="K3317" i="1"/>
  <c r="A3318" i="1"/>
  <c r="B3318" i="1"/>
  <c r="C3318" i="1"/>
  <c r="K3318" i="1"/>
  <c r="A3319" i="1"/>
  <c r="B3319" i="1"/>
  <c r="C3319" i="1"/>
  <c r="K3319" i="1"/>
  <c r="A3320" i="1"/>
  <c r="B3320" i="1"/>
  <c r="C3320" i="1"/>
  <c r="K3320" i="1"/>
  <c r="A3321" i="1"/>
  <c r="B3321" i="1"/>
  <c r="C3321" i="1"/>
  <c r="K3321" i="1"/>
  <c r="A3322" i="1"/>
  <c r="B3322" i="1"/>
  <c r="C3322" i="1"/>
  <c r="K3322" i="1"/>
  <c r="A3323" i="1"/>
  <c r="B3323" i="1"/>
  <c r="C3323" i="1"/>
  <c r="K3323" i="1"/>
  <c r="A3324" i="1"/>
  <c r="B3324" i="1"/>
  <c r="C3324" i="1"/>
  <c r="K3324" i="1"/>
  <c r="A3325" i="1"/>
  <c r="B3325" i="1"/>
  <c r="C3325" i="1"/>
  <c r="K3325" i="1"/>
  <c r="A3326" i="1"/>
  <c r="B3326" i="1"/>
  <c r="C3326" i="1"/>
  <c r="K3326" i="1"/>
  <c r="A3327" i="1"/>
  <c r="B3327" i="1"/>
  <c r="C3327" i="1"/>
  <c r="K3327" i="1"/>
  <c r="A3328" i="1"/>
  <c r="B3328" i="1"/>
  <c r="C3328" i="1"/>
  <c r="K3328" i="1"/>
  <c r="A3329" i="1"/>
  <c r="B3329" i="1"/>
  <c r="C3329" i="1"/>
  <c r="K3329" i="1"/>
  <c r="A3330" i="1"/>
  <c r="B3330" i="1"/>
  <c r="C3330" i="1"/>
  <c r="K3330" i="1"/>
  <c r="A3331" i="1"/>
  <c r="B3331" i="1"/>
  <c r="C3331" i="1"/>
  <c r="K3331" i="1"/>
  <c r="A3332" i="1"/>
  <c r="B3332" i="1"/>
  <c r="C3332" i="1"/>
  <c r="K3332" i="1"/>
  <c r="A3333" i="1"/>
  <c r="B3333" i="1"/>
  <c r="C3333" i="1"/>
  <c r="K3333" i="1"/>
  <c r="A3334" i="1"/>
  <c r="B3334" i="1"/>
  <c r="C3334" i="1"/>
  <c r="K3334" i="1"/>
  <c r="A3335" i="1"/>
  <c r="K3335" i="1"/>
  <c r="A3336" i="1"/>
  <c r="K3336" i="1"/>
  <c r="A3337" i="1"/>
  <c r="K3337" i="1"/>
  <c r="A3338" i="1"/>
  <c r="K3338" i="1"/>
  <c r="A3339" i="1"/>
  <c r="K3339" i="1"/>
  <c r="A3340" i="1"/>
  <c r="K3340" i="1"/>
  <c r="A3341" i="1"/>
  <c r="B3341" i="1"/>
  <c r="C3341" i="1"/>
  <c r="K3341" i="1"/>
  <c r="A3342" i="1"/>
  <c r="B3342" i="1"/>
  <c r="C3342" i="1"/>
  <c r="K3342" i="1"/>
  <c r="A3343" i="1"/>
  <c r="B3343" i="1"/>
  <c r="C3343" i="1"/>
  <c r="K3343" i="1"/>
  <c r="A3344" i="1"/>
  <c r="B3344" i="1"/>
  <c r="C3344" i="1"/>
  <c r="K3344" i="1"/>
  <c r="A3345" i="1"/>
  <c r="B3345" i="1"/>
  <c r="C3345" i="1"/>
  <c r="K3345" i="1"/>
  <c r="A3346" i="1"/>
  <c r="B3346" i="1"/>
  <c r="C3346" i="1"/>
  <c r="K3346" i="1"/>
  <c r="A3347" i="1"/>
  <c r="B3347" i="1"/>
  <c r="C3347" i="1"/>
  <c r="K3347" i="1"/>
  <c r="A3348" i="1"/>
  <c r="B3348" i="1"/>
  <c r="C3348" i="1"/>
  <c r="K3348" i="1"/>
  <c r="A3349" i="1"/>
  <c r="B3349" i="1"/>
  <c r="C3349" i="1"/>
  <c r="K3349" i="1"/>
  <c r="A3350" i="1"/>
  <c r="B3350" i="1"/>
  <c r="C3350" i="1"/>
  <c r="K3350" i="1"/>
  <c r="A3351" i="1"/>
  <c r="B3351" i="1"/>
  <c r="C3351" i="1"/>
  <c r="K3351" i="1"/>
  <c r="A3352" i="1"/>
  <c r="B3352" i="1"/>
  <c r="C3352" i="1"/>
  <c r="K3352" i="1"/>
  <c r="A3353" i="1"/>
  <c r="B3353" i="1"/>
  <c r="C3353" i="1"/>
  <c r="K3353" i="1"/>
  <c r="A3354" i="1"/>
  <c r="B3354" i="1"/>
  <c r="C3354" i="1"/>
  <c r="K3354" i="1"/>
  <c r="A3355" i="1"/>
  <c r="B3355" i="1"/>
  <c r="C3355" i="1"/>
  <c r="K3355" i="1"/>
  <c r="A3356" i="1"/>
  <c r="B3356" i="1"/>
  <c r="C3356" i="1"/>
  <c r="K3356" i="1"/>
  <c r="A3357" i="1"/>
  <c r="B3357" i="1"/>
  <c r="C3357" i="1"/>
  <c r="K3357" i="1"/>
  <c r="A3358" i="1"/>
  <c r="B3358" i="1"/>
  <c r="C3358" i="1"/>
  <c r="K3358" i="1"/>
  <c r="A3359" i="1"/>
  <c r="B3359" i="1"/>
  <c r="C3359" i="1"/>
  <c r="K3359" i="1"/>
  <c r="A3360" i="1"/>
  <c r="B3360" i="1"/>
  <c r="C3360" i="1"/>
  <c r="K3360" i="1"/>
  <c r="A3361" i="1"/>
  <c r="B3361" i="1"/>
  <c r="C3361" i="1"/>
  <c r="K3361" i="1"/>
  <c r="A3362" i="1"/>
  <c r="B3362" i="1"/>
  <c r="C3362" i="1"/>
  <c r="K3362" i="1"/>
  <c r="A3363" i="1"/>
  <c r="B3363" i="1"/>
  <c r="C3363" i="1"/>
  <c r="K3363" i="1"/>
  <c r="A3364" i="1"/>
  <c r="B3364" i="1"/>
  <c r="C3364" i="1"/>
  <c r="K3364" i="1"/>
  <c r="A3365" i="1"/>
  <c r="B3365" i="1"/>
  <c r="C3365" i="1"/>
  <c r="K3365" i="1"/>
  <c r="A3366" i="1"/>
  <c r="B3366" i="1"/>
  <c r="C3366" i="1"/>
  <c r="K3366" i="1"/>
  <c r="A3367" i="1"/>
  <c r="B3367" i="1"/>
  <c r="C3367" i="1"/>
  <c r="K3367" i="1"/>
  <c r="A3368" i="1"/>
  <c r="B3368" i="1"/>
  <c r="C3368" i="1"/>
  <c r="K3368" i="1"/>
  <c r="A3369" i="1"/>
  <c r="B3369" i="1"/>
  <c r="C3369" i="1"/>
  <c r="A3370" i="1"/>
  <c r="K3370" i="1"/>
  <c r="A3371" i="1"/>
  <c r="B3371" i="1"/>
  <c r="C3371" i="1"/>
  <c r="A3372" i="1"/>
  <c r="B3372" i="1"/>
  <c r="C3372" i="1"/>
  <c r="A3373" i="1"/>
  <c r="B3373" i="1"/>
  <c r="C3373" i="1"/>
  <c r="A3374" i="1"/>
  <c r="B3374" i="1"/>
  <c r="C3374" i="1"/>
  <c r="A3375" i="1"/>
  <c r="B3375" i="1"/>
  <c r="C3375" i="1"/>
  <c r="A3376" i="1"/>
  <c r="B3376" i="1"/>
  <c r="C3376" i="1"/>
  <c r="A3377" i="1"/>
  <c r="B3377" i="1"/>
  <c r="C3377" i="1"/>
  <c r="K3377" i="1"/>
  <c r="A3378" i="1"/>
  <c r="B3378" i="1"/>
  <c r="C3378" i="1"/>
  <c r="A3379" i="1"/>
  <c r="B3379" i="1"/>
  <c r="C3379" i="1"/>
  <c r="K3379" i="1"/>
  <c r="A3380" i="1"/>
  <c r="B3380" i="1"/>
  <c r="C3380" i="1"/>
  <c r="A3381" i="1"/>
  <c r="B3381" i="1"/>
  <c r="C3381" i="1"/>
  <c r="A3382" i="1"/>
  <c r="K3382" i="1"/>
  <c r="A3383" i="1"/>
  <c r="A3384" i="1"/>
  <c r="A3385" i="1"/>
  <c r="A3386" i="1"/>
  <c r="A3387" i="1"/>
  <c r="A3388" i="1"/>
  <c r="A3389" i="1"/>
  <c r="A3390" i="1"/>
  <c r="A3391" i="1"/>
  <c r="B3391" i="1"/>
  <c r="C3391" i="1"/>
  <c r="A3392" i="1"/>
  <c r="B3392" i="1"/>
  <c r="C3392" i="1"/>
  <c r="K3392" i="1"/>
  <c r="A3393" i="1"/>
  <c r="A3394" i="1"/>
  <c r="B3394" i="1"/>
  <c r="C3394" i="1"/>
  <c r="K3394" i="1"/>
  <c r="A3395" i="1"/>
  <c r="A3396" i="1"/>
  <c r="A3397" i="1"/>
  <c r="A3398" i="1"/>
  <c r="B3398" i="1"/>
  <c r="C3398" i="1"/>
  <c r="A3399" i="1"/>
  <c r="B3399" i="1"/>
  <c r="C3399" i="1"/>
  <c r="K3399" i="1"/>
  <c r="A3400" i="1"/>
  <c r="B3400" i="1"/>
  <c r="C3400" i="1"/>
  <c r="K3400" i="1"/>
  <c r="A3401" i="1"/>
  <c r="B3401" i="1"/>
  <c r="C3401" i="1"/>
  <c r="A3402" i="1"/>
  <c r="B3402" i="1"/>
  <c r="C3402" i="1"/>
  <c r="A3403" i="1"/>
  <c r="B3403" i="1"/>
  <c r="C3403" i="1"/>
  <c r="K3403" i="1"/>
  <c r="A3404" i="1"/>
  <c r="B3404" i="1"/>
  <c r="C3404" i="1"/>
  <c r="K3404" i="1"/>
  <c r="A3405" i="1"/>
  <c r="B3405" i="1"/>
  <c r="C3405" i="1"/>
  <c r="A3406" i="1"/>
  <c r="B3406" i="1"/>
  <c r="C3406" i="1"/>
  <c r="A3407" i="1"/>
  <c r="B3407" i="1"/>
  <c r="C3407" i="1"/>
  <c r="A3408" i="1"/>
  <c r="B3408" i="1"/>
  <c r="C3408" i="1"/>
  <c r="A3409" i="1"/>
  <c r="B3409" i="1"/>
  <c r="C3409" i="1"/>
  <c r="K3409" i="1"/>
  <c r="A3410" i="1"/>
  <c r="B3410" i="1"/>
  <c r="C3410" i="1"/>
  <c r="K3410" i="1"/>
  <c r="A3411" i="1"/>
  <c r="B3411" i="1"/>
  <c r="C3411" i="1"/>
  <c r="K3411" i="1"/>
  <c r="A3412" i="1"/>
  <c r="B3412" i="1"/>
  <c r="C3412" i="1"/>
  <c r="K3412" i="1"/>
  <c r="A3413" i="1"/>
  <c r="B3413" i="1"/>
  <c r="C3413" i="1"/>
  <c r="K3413" i="1"/>
  <c r="A3414" i="1"/>
  <c r="B3414" i="1"/>
  <c r="C3414" i="1"/>
  <c r="A3415" i="1"/>
  <c r="B3415" i="1"/>
  <c r="C3415" i="1"/>
  <c r="A3416" i="1"/>
  <c r="B3416" i="1"/>
  <c r="C3416" i="1"/>
  <c r="A3417" i="1"/>
  <c r="B3417" i="1"/>
  <c r="C3417" i="1"/>
  <c r="K3417" i="1"/>
  <c r="A3418" i="1"/>
  <c r="B3418" i="1"/>
  <c r="C3418" i="1"/>
  <c r="A3419" i="1"/>
  <c r="B3419" i="1"/>
  <c r="C3419" i="1"/>
  <c r="K3419" i="1"/>
  <c r="A3420" i="1"/>
  <c r="B3420" i="1"/>
  <c r="C3420" i="1"/>
  <c r="K3420" i="1"/>
  <c r="A3421" i="1"/>
  <c r="B3421" i="1"/>
  <c r="C3421" i="1"/>
  <c r="K3421" i="1"/>
  <c r="A3422" i="1"/>
  <c r="B3422" i="1"/>
  <c r="C3422" i="1"/>
  <c r="K3422" i="1"/>
  <c r="A3423" i="1"/>
  <c r="B3423" i="1"/>
  <c r="C3423" i="1"/>
  <c r="K3423" i="1"/>
  <c r="A3424" i="1"/>
  <c r="B3424" i="1"/>
  <c r="C3424" i="1"/>
  <c r="K3424" i="1"/>
  <c r="A3425" i="1"/>
  <c r="B3425" i="1"/>
  <c r="C3425" i="1"/>
  <c r="K3425" i="1"/>
  <c r="A3426" i="1"/>
  <c r="B3426" i="1"/>
  <c r="C3426" i="1"/>
  <c r="K3426" i="1"/>
  <c r="A3427" i="1"/>
  <c r="B3427" i="1"/>
  <c r="C3427" i="1"/>
  <c r="K3427" i="1"/>
  <c r="A3428" i="1"/>
  <c r="B3428" i="1"/>
  <c r="C3428" i="1"/>
  <c r="K3428" i="1"/>
  <c r="A3429" i="1"/>
  <c r="B3429" i="1"/>
  <c r="C3429" i="1"/>
  <c r="K3429" i="1"/>
  <c r="A3430" i="1"/>
  <c r="B3430" i="1"/>
  <c r="C3430" i="1"/>
  <c r="K3430" i="1"/>
  <c r="A3431" i="1"/>
  <c r="B3431" i="1"/>
  <c r="C3431" i="1"/>
  <c r="K3431" i="1"/>
  <c r="A3432" i="1"/>
  <c r="B3432" i="1"/>
  <c r="C3432" i="1"/>
  <c r="A3433" i="1"/>
  <c r="B3433" i="1"/>
  <c r="C3433" i="1"/>
  <c r="A3434" i="1"/>
  <c r="B3434" i="1"/>
  <c r="C3434" i="1"/>
  <c r="A3435" i="1"/>
  <c r="B3435" i="1"/>
  <c r="C3435" i="1"/>
  <c r="K3435" i="1"/>
  <c r="A3436" i="1"/>
  <c r="B3436" i="1"/>
  <c r="C3436" i="1"/>
  <c r="K3436" i="1"/>
  <c r="A3437" i="1"/>
  <c r="B3437" i="1"/>
  <c r="C3437" i="1"/>
  <c r="K3437" i="1"/>
  <c r="A3438" i="1"/>
  <c r="B3438" i="1"/>
  <c r="C3438" i="1"/>
  <c r="K3438" i="1"/>
  <c r="A3439" i="1"/>
  <c r="B3439" i="1"/>
  <c r="C3439" i="1"/>
  <c r="K3439" i="1"/>
  <c r="A3440" i="1"/>
  <c r="B3440" i="1"/>
  <c r="C3440" i="1"/>
  <c r="K3440" i="1"/>
  <c r="A3441" i="1"/>
  <c r="B3441" i="1"/>
  <c r="C3441" i="1"/>
  <c r="K3441" i="1"/>
  <c r="A3442" i="1"/>
  <c r="B3442" i="1"/>
  <c r="C3442" i="1"/>
  <c r="K3442" i="1"/>
  <c r="A3443" i="1"/>
  <c r="B3443" i="1"/>
  <c r="C3443" i="1"/>
  <c r="A3444" i="1"/>
  <c r="B3444" i="1"/>
  <c r="C3444" i="1"/>
  <c r="A3445" i="1"/>
  <c r="A3446" i="1"/>
  <c r="A3447" i="1"/>
  <c r="B3447" i="1"/>
  <c r="C3447" i="1"/>
  <c r="A3448" i="1"/>
  <c r="B3448" i="1"/>
  <c r="C3448" i="1"/>
  <c r="A3449" i="1"/>
  <c r="B3449" i="1"/>
  <c r="C3449" i="1"/>
  <c r="A3450" i="1"/>
  <c r="B3450" i="1"/>
  <c r="C3450" i="1"/>
  <c r="A3451" i="1"/>
  <c r="B3451" i="1"/>
  <c r="C3451" i="1"/>
  <c r="A3452" i="1"/>
  <c r="B3452" i="1"/>
  <c r="C3452" i="1"/>
  <c r="K3452" i="1"/>
  <c r="A3453" i="1"/>
  <c r="B3453" i="1"/>
  <c r="C3453" i="1"/>
  <c r="K3453" i="1"/>
  <c r="A3454" i="1"/>
  <c r="B3454" i="1"/>
  <c r="C3454" i="1"/>
  <c r="A3455" i="1"/>
  <c r="B3455" i="1"/>
  <c r="C3455" i="1"/>
  <c r="A3456" i="1"/>
  <c r="B3456" i="1"/>
  <c r="C3456" i="1"/>
  <c r="K3456" i="1"/>
  <c r="A3457" i="1"/>
  <c r="B3457" i="1"/>
  <c r="C3457" i="1"/>
  <c r="A3458" i="1"/>
  <c r="B3458" i="1"/>
  <c r="C3458" i="1"/>
  <c r="K3458" i="1"/>
  <c r="A3459" i="1"/>
  <c r="B3459" i="1"/>
  <c r="C3459" i="1"/>
  <c r="K3459" i="1"/>
  <c r="A3460" i="1"/>
  <c r="B3460" i="1"/>
  <c r="C3460" i="1"/>
  <c r="A3461" i="1"/>
  <c r="B3461" i="1"/>
  <c r="C3461" i="1"/>
  <c r="K3461" i="1"/>
  <c r="A3462" i="1"/>
  <c r="B3462" i="1"/>
  <c r="C3462" i="1"/>
  <c r="K3462" i="1"/>
  <c r="A3463" i="1"/>
  <c r="B3463" i="1"/>
  <c r="C3463" i="1"/>
  <c r="K3463" i="1"/>
  <c r="A3464" i="1"/>
  <c r="B3464" i="1"/>
  <c r="C3464" i="1"/>
  <c r="K3464" i="1"/>
  <c r="A3465" i="1"/>
  <c r="B3465" i="1"/>
  <c r="C3465" i="1"/>
  <c r="K3465" i="1"/>
  <c r="A3466" i="1"/>
  <c r="B3466" i="1"/>
  <c r="C3466" i="1"/>
  <c r="K3466" i="1"/>
  <c r="A3467" i="1"/>
  <c r="B3467" i="1"/>
  <c r="C3467" i="1"/>
  <c r="A3468" i="1"/>
  <c r="B3468" i="1"/>
  <c r="C3468" i="1"/>
  <c r="A3469" i="1"/>
  <c r="B3469" i="1"/>
  <c r="C3469" i="1"/>
  <c r="A3470" i="1"/>
  <c r="B3470" i="1"/>
  <c r="C3470" i="1"/>
  <c r="A3471" i="1"/>
  <c r="B3471" i="1"/>
  <c r="C3471" i="1"/>
  <c r="A3472" i="1"/>
  <c r="B3472" i="1"/>
  <c r="C3472" i="1"/>
  <c r="A3473" i="1"/>
  <c r="B3473" i="1"/>
  <c r="C3473" i="1"/>
  <c r="A3474" i="1"/>
  <c r="B3474" i="1"/>
  <c r="C3474" i="1"/>
  <c r="A3475" i="1"/>
  <c r="B3475" i="1"/>
  <c r="C3475" i="1"/>
  <c r="A3476" i="1"/>
  <c r="B3476" i="1"/>
  <c r="C3476" i="1"/>
  <c r="A3477" i="1"/>
  <c r="B3477" i="1"/>
  <c r="C3477" i="1"/>
  <c r="A3478" i="1"/>
  <c r="B3478" i="1"/>
  <c r="C3478" i="1"/>
  <c r="A3479" i="1"/>
  <c r="B3479" i="1"/>
  <c r="C3479" i="1"/>
  <c r="A3480" i="1"/>
  <c r="B3480" i="1"/>
  <c r="C3480" i="1"/>
  <c r="A3481" i="1"/>
  <c r="B3481" i="1"/>
  <c r="C3481" i="1"/>
  <c r="A3482" i="1"/>
  <c r="B3482" i="1"/>
  <c r="C3482" i="1"/>
  <c r="A3483" i="1"/>
  <c r="B3483" i="1"/>
  <c r="C3483" i="1"/>
  <c r="A3484" i="1"/>
  <c r="B3484" i="1"/>
  <c r="C3484" i="1"/>
  <c r="A3485" i="1"/>
  <c r="B3485" i="1"/>
  <c r="C3485" i="1"/>
  <c r="A3486" i="1"/>
  <c r="B3486" i="1"/>
  <c r="C3486" i="1"/>
  <c r="A3487" i="1"/>
  <c r="B3487" i="1"/>
  <c r="C3487" i="1"/>
  <c r="A3488" i="1"/>
  <c r="B3488" i="1"/>
  <c r="C3488" i="1"/>
  <c r="A3489" i="1"/>
  <c r="B3489" i="1"/>
  <c r="C3489" i="1"/>
  <c r="A3490" i="1"/>
  <c r="B3490" i="1"/>
  <c r="C3490" i="1"/>
  <c r="A3491" i="1"/>
  <c r="B3491" i="1"/>
  <c r="C3491" i="1"/>
  <c r="A3492" i="1"/>
  <c r="B3492" i="1"/>
  <c r="C3492" i="1"/>
  <c r="A3493" i="1"/>
  <c r="B3493" i="1"/>
  <c r="C3493" i="1"/>
  <c r="A3494" i="1"/>
  <c r="B3494" i="1"/>
  <c r="C3494" i="1"/>
  <c r="A3495" i="1"/>
  <c r="B3495" i="1"/>
  <c r="C3495" i="1"/>
  <c r="A3496" i="1"/>
  <c r="B3496" i="1"/>
  <c r="C3496" i="1"/>
  <c r="A3497" i="1"/>
  <c r="B3497" i="1"/>
  <c r="C3497" i="1"/>
  <c r="A3498" i="1"/>
  <c r="B3498" i="1"/>
  <c r="C3498" i="1"/>
  <c r="A3499" i="1"/>
  <c r="B3499" i="1"/>
  <c r="C3499" i="1"/>
  <c r="A3500" i="1"/>
  <c r="B3500" i="1"/>
  <c r="C3500" i="1"/>
  <c r="A3501" i="1"/>
  <c r="B3501" i="1"/>
  <c r="C3501" i="1"/>
  <c r="A3502" i="1"/>
  <c r="B3502" i="1"/>
  <c r="C3502" i="1"/>
  <c r="K3502" i="1"/>
  <c r="A3503" i="1"/>
  <c r="B3503" i="1"/>
  <c r="C3503" i="1"/>
  <c r="A3504" i="1"/>
  <c r="B3504" i="1"/>
  <c r="C3504" i="1"/>
  <c r="K3504" i="1"/>
  <c r="A3505" i="1"/>
  <c r="B3505" i="1"/>
  <c r="C3505" i="1"/>
  <c r="K3505" i="1"/>
  <c r="A3506" i="1"/>
  <c r="B3506" i="1"/>
  <c r="C3506" i="1"/>
  <c r="A3507" i="1"/>
  <c r="B3507" i="1"/>
  <c r="C3507" i="1"/>
  <c r="A3508" i="1"/>
  <c r="B3508" i="1"/>
  <c r="C3508" i="1"/>
  <c r="K3508" i="1"/>
  <c r="A3509" i="1"/>
  <c r="B3509" i="1"/>
  <c r="C3509" i="1"/>
  <c r="K3509" i="1"/>
  <c r="A3510" i="1"/>
  <c r="B3510" i="1"/>
  <c r="C3510" i="1"/>
  <c r="K3510" i="1"/>
  <c r="A3511" i="1"/>
  <c r="B3511" i="1"/>
  <c r="C3511" i="1"/>
  <c r="A3512" i="1"/>
  <c r="K3512" i="1"/>
  <c r="A3513" i="1"/>
  <c r="A3514" i="1"/>
  <c r="A3515" i="1"/>
  <c r="B3515" i="1"/>
  <c r="C3515" i="1"/>
  <c r="K3515" i="1"/>
  <c r="A3516" i="1"/>
  <c r="B3516" i="1"/>
  <c r="C3516" i="1"/>
  <c r="A3517" i="1"/>
  <c r="B3517" i="1"/>
  <c r="C3517" i="1"/>
  <c r="A3518" i="1"/>
  <c r="B3518" i="1"/>
  <c r="C3518" i="1"/>
  <c r="A3519" i="1"/>
  <c r="B3519" i="1"/>
  <c r="C3519" i="1"/>
  <c r="K3519" i="1"/>
  <c r="A3520" i="1"/>
  <c r="K3520" i="1"/>
  <c r="A3521" i="1"/>
  <c r="K3521" i="1"/>
  <c r="A3522" i="1"/>
  <c r="B3522" i="1"/>
  <c r="C3522" i="1"/>
  <c r="K3522" i="1"/>
  <c r="A3523" i="1"/>
  <c r="B3523" i="1"/>
  <c r="C3523" i="1"/>
  <c r="K3523" i="1"/>
  <c r="A3524" i="1"/>
  <c r="B3524" i="1"/>
  <c r="C3524" i="1"/>
  <c r="K3524" i="1"/>
  <c r="A3525" i="1"/>
  <c r="B3525" i="1"/>
  <c r="C3525" i="1"/>
  <c r="K3525" i="1"/>
  <c r="A3526" i="1"/>
  <c r="B3526" i="1"/>
  <c r="C3526" i="1"/>
  <c r="A3527" i="1"/>
  <c r="B3527" i="1"/>
  <c r="C3527" i="1"/>
  <c r="A3528" i="1"/>
  <c r="B3528" i="1"/>
  <c r="C3528" i="1"/>
  <c r="A3529" i="1"/>
  <c r="B3529" i="1"/>
  <c r="C3529" i="1"/>
  <c r="A3530" i="1"/>
  <c r="B3530" i="1"/>
  <c r="C3530" i="1"/>
  <c r="A3531" i="1"/>
  <c r="B3531" i="1"/>
  <c r="C3531" i="1"/>
  <c r="A3532" i="1"/>
  <c r="B3532" i="1"/>
  <c r="C3532" i="1"/>
  <c r="A3533" i="1"/>
  <c r="B3533" i="1"/>
  <c r="C3533" i="1"/>
  <c r="K3533" i="1"/>
  <c r="A3534" i="1"/>
  <c r="B3534" i="1"/>
  <c r="C3534" i="1"/>
  <c r="K3534" i="1"/>
  <c r="A3535" i="1"/>
  <c r="B3535" i="1"/>
  <c r="C3535" i="1"/>
  <c r="K3535" i="1"/>
  <c r="A3536" i="1"/>
  <c r="B3536" i="1"/>
  <c r="C3536" i="1"/>
  <c r="A3537" i="1"/>
  <c r="B3537" i="1"/>
  <c r="C3537" i="1"/>
  <c r="A3538" i="1"/>
  <c r="B3538" i="1"/>
  <c r="C3538" i="1"/>
  <c r="A3539" i="1"/>
  <c r="B3539" i="1"/>
  <c r="C3539" i="1"/>
  <c r="A3540" i="1"/>
  <c r="B3540" i="1"/>
  <c r="C3540" i="1"/>
  <c r="A3541" i="1"/>
  <c r="B3541" i="1"/>
  <c r="C3541" i="1"/>
  <c r="K3541" i="1"/>
  <c r="A3542" i="1"/>
  <c r="B3542" i="1"/>
  <c r="C3542" i="1"/>
  <c r="K3542" i="1"/>
  <c r="A3543" i="1"/>
  <c r="B3543" i="1"/>
  <c r="C3543" i="1"/>
  <c r="K3543" i="1"/>
  <c r="A3544" i="1"/>
  <c r="B3544" i="1"/>
  <c r="C3544" i="1"/>
  <c r="A3545" i="1"/>
  <c r="B3545" i="1"/>
  <c r="C3545" i="1"/>
  <c r="A3546" i="1"/>
  <c r="B3546" i="1"/>
  <c r="C3546" i="1"/>
  <c r="K3546" i="1"/>
  <c r="A3547" i="1"/>
  <c r="B3547" i="1"/>
  <c r="C3547" i="1"/>
  <c r="K3547" i="1"/>
  <c r="A3548" i="1"/>
  <c r="B3548" i="1"/>
  <c r="C3548" i="1"/>
  <c r="K3548" i="1"/>
  <c r="A3549" i="1"/>
  <c r="B3549" i="1"/>
  <c r="C3549" i="1"/>
  <c r="A3550" i="1"/>
  <c r="B3550" i="1"/>
  <c r="C3550" i="1"/>
  <c r="A3551" i="1"/>
  <c r="B3551" i="1"/>
  <c r="C3551" i="1"/>
  <c r="A3552" i="1"/>
  <c r="B3552" i="1"/>
  <c r="C3552" i="1"/>
  <c r="A3553" i="1"/>
  <c r="B3553" i="1"/>
  <c r="C3553" i="1"/>
  <c r="A3554" i="1"/>
  <c r="B3554" i="1"/>
  <c r="C3554" i="1"/>
  <c r="A3555" i="1"/>
  <c r="B3555" i="1"/>
  <c r="C3555" i="1"/>
  <c r="A3556" i="1"/>
  <c r="B3556" i="1"/>
  <c r="C3556" i="1"/>
  <c r="A3557" i="1"/>
  <c r="B3557" i="1"/>
  <c r="C3557" i="1"/>
  <c r="A3558" i="1"/>
  <c r="B3558" i="1"/>
  <c r="C3558" i="1"/>
  <c r="A3559" i="1"/>
  <c r="B3559" i="1"/>
  <c r="C3559" i="1"/>
  <c r="K3559" i="1"/>
  <c r="A3560" i="1"/>
  <c r="A3561" i="1"/>
  <c r="A3562" i="1"/>
  <c r="B3562" i="1"/>
  <c r="C3562" i="1"/>
  <c r="A3563" i="1"/>
  <c r="B3563" i="1"/>
  <c r="C3563" i="1"/>
  <c r="A3564" i="1"/>
  <c r="B3564" i="1"/>
  <c r="C3564" i="1"/>
  <c r="A3565" i="1"/>
  <c r="B3565" i="1"/>
  <c r="C3565" i="1"/>
  <c r="A3566" i="1"/>
  <c r="B3566" i="1"/>
  <c r="C3566" i="1"/>
  <c r="A3567" i="1"/>
  <c r="B3567" i="1"/>
  <c r="C3567" i="1"/>
  <c r="A3568" i="1"/>
  <c r="B3568" i="1"/>
  <c r="C3568" i="1"/>
  <c r="A3569" i="1"/>
  <c r="B3569" i="1"/>
  <c r="C3569" i="1"/>
  <c r="K3569" i="1"/>
  <c r="A3570" i="1"/>
  <c r="B3570" i="1"/>
  <c r="C3570" i="1"/>
  <c r="A3571" i="1"/>
  <c r="B3571" i="1"/>
  <c r="C3571" i="1"/>
  <c r="K3571" i="1"/>
  <c r="A3572" i="1"/>
  <c r="B3572" i="1"/>
  <c r="C3572" i="1"/>
  <c r="K3572" i="1"/>
  <c r="A3573" i="1"/>
  <c r="B3573" i="1"/>
  <c r="C3573" i="1"/>
  <c r="K3573" i="1"/>
  <c r="A3574" i="1"/>
  <c r="B3574" i="1"/>
  <c r="C3574" i="1"/>
  <c r="K3574" i="1"/>
  <c r="A3575" i="1"/>
  <c r="B3575" i="1"/>
  <c r="C3575" i="1"/>
  <c r="K3575" i="1"/>
  <c r="A3576" i="1"/>
  <c r="B3576" i="1"/>
  <c r="C3576" i="1"/>
  <c r="K3576" i="1"/>
  <c r="A3577" i="1"/>
  <c r="B3577" i="1"/>
  <c r="C3577" i="1"/>
  <c r="K3577" i="1"/>
  <c r="A3578" i="1"/>
  <c r="B3578" i="1"/>
  <c r="C3578" i="1"/>
  <c r="A3579" i="1"/>
  <c r="B3579" i="1"/>
  <c r="C3579" i="1"/>
  <c r="A3580" i="1"/>
  <c r="B3580" i="1"/>
  <c r="C3580" i="1"/>
  <c r="A3581" i="1"/>
  <c r="A3582" i="1"/>
  <c r="A3583" i="1"/>
  <c r="B3583" i="1"/>
  <c r="C3583" i="1"/>
  <c r="A3584" i="1"/>
  <c r="B3584" i="1"/>
  <c r="C3584" i="1"/>
  <c r="K3584" i="1"/>
  <c r="A3585" i="1"/>
  <c r="B3585" i="1"/>
  <c r="C3585" i="1"/>
  <c r="K3585" i="1"/>
  <c r="A3586" i="1"/>
  <c r="B3586" i="1"/>
  <c r="C3586" i="1"/>
  <c r="A3587" i="1"/>
  <c r="B3587" i="1"/>
  <c r="C3587" i="1"/>
  <c r="K3587" i="1"/>
  <c r="A3588" i="1"/>
  <c r="B3588" i="1"/>
  <c r="C3588" i="1"/>
  <c r="K3588" i="1"/>
  <c r="A3589" i="1"/>
  <c r="B3589" i="1"/>
  <c r="C3589" i="1"/>
  <c r="K3589" i="1"/>
  <c r="A3590" i="1"/>
  <c r="B3590" i="1"/>
  <c r="C3590" i="1"/>
  <c r="K3590" i="1"/>
  <c r="A3591" i="1"/>
  <c r="B3591" i="1"/>
  <c r="C3591" i="1"/>
  <c r="K3591" i="1"/>
  <c r="A3592" i="1"/>
  <c r="B3592" i="1"/>
  <c r="C3592" i="1"/>
  <c r="K3592" i="1"/>
  <c r="A3593" i="1"/>
  <c r="B3593" i="1"/>
  <c r="C3593" i="1"/>
  <c r="K3593" i="1"/>
  <c r="A3594" i="1"/>
  <c r="K3594" i="1"/>
  <c r="A3595" i="1"/>
  <c r="B3595" i="1"/>
  <c r="C3595" i="1"/>
  <c r="A3596" i="1"/>
  <c r="K3596" i="1"/>
  <c r="A3597" i="1"/>
  <c r="B3597" i="1"/>
  <c r="C3597" i="1"/>
  <c r="A3598" i="1"/>
  <c r="K3598" i="1"/>
  <c r="A3599" i="1"/>
  <c r="B3599" i="1"/>
  <c r="C3599" i="1"/>
  <c r="K3599" i="1"/>
  <c r="A3600" i="1"/>
  <c r="B3600" i="1"/>
  <c r="C3600" i="1"/>
  <c r="A3601" i="1"/>
  <c r="B3601" i="1"/>
  <c r="C3601" i="1"/>
  <c r="A3602" i="1"/>
  <c r="B3602" i="1"/>
  <c r="C3602" i="1"/>
  <c r="K3602" i="1"/>
  <c r="A3603" i="1"/>
  <c r="B3603" i="1"/>
  <c r="C3603" i="1"/>
  <c r="K3603" i="1"/>
  <c r="A3604" i="1"/>
  <c r="B3604" i="1"/>
  <c r="C3604" i="1"/>
  <c r="K3604" i="1"/>
  <c r="A3605" i="1"/>
  <c r="B3605" i="1"/>
  <c r="C3605" i="1"/>
  <c r="A3606" i="1"/>
  <c r="B3606" i="1"/>
  <c r="C3606" i="1"/>
  <c r="K3606" i="1"/>
  <c r="A3607" i="1"/>
  <c r="B3607" i="1"/>
  <c r="C3607" i="1"/>
  <c r="A3608" i="1"/>
  <c r="B3608" i="1"/>
  <c r="C3608" i="1"/>
  <c r="K3608" i="1"/>
  <c r="A3609" i="1"/>
  <c r="B3609" i="1"/>
  <c r="C3609" i="1"/>
  <c r="A3610" i="1"/>
  <c r="B3610" i="1"/>
  <c r="C3610" i="1"/>
  <c r="A3611" i="1"/>
  <c r="B3611" i="1"/>
  <c r="C3611" i="1"/>
  <c r="K3611" i="1"/>
  <c r="A3612" i="1"/>
  <c r="K3612" i="1"/>
  <c r="A3613" i="1"/>
  <c r="B3613" i="1"/>
  <c r="C3613" i="1"/>
  <c r="A3614" i="1"/>
  <c r="B3614" i="1"/>
  <c r="C3614" i="1"/>
  <c r="K3614" i="1"/>
  <c r="A3615" i="1"/>
  <c r="B3615" i="1"/>
  <c r="C3615" i="1"/>
  <c r="A3616" i="1"/>
  <c r="B3616" i="1"/>
  <c r="C3616" i="1"/>
  <c r="A3617" i="1"/>
  <c r="B3617" i="1"/>
  <c r="C3617" i="1"/>
  <c r="K3617" i="1"/>
  <c r="A3618" i="1"/>
  <c r="B3618" i="1"/>
  <c r="C3618" i="1"/>
  <c r="A3619" i="1"/>
  <c r="B3619" i="1"/>
  <c r="C3619" i="1"/>
  <c r="K3619" i="1"/>
  <c r="A3620" i="1"/>
  <c r="B3620" i="1"/>
  <c r="C3620" i="1"/>
  <c r="K3620" i="1"/>
  <c r="A3621" i="1"/>
  <c r="B3621" i="1"/>
  <c r="C3621" i="1"/>
  <c r="K3621" i="1"/>
  <c r="A3622" i="1"/>
  <c r="B3622" i="1"/>
  <c r="C3622" i="1"/>
  <c r="K3622" i="1"/>
  <c r="A3623" i="1"/>
  <c r="K3623" i="1"/>
  <c r="A3624" i="1"/>
  <c r="K3624" i="1"/>
  <c r="A3625" i="1"/>
  <c r="B3625" i="1"/>
  <c r="C3625" i="1"/>
  <c r="K3625" i="1"/>
  <c r="A3626" i="1"/>
  <c r="B3626" i="1"/>
  <c r="C3626" i="1"/>
  <c r="K3626" i="1"/>
  <c r="A3627" i="1"/>
  <c r="B3627" i="1"/>
  <c r="C3627" i="1"/>
  <c r="K3627" i="1"/>
  <c r="A3628" i="1"/>
  <c r="B3628" i="1"/>
  <c r="C3628" i="1"/>
  <c r="A3629" i="1"/>
  <c r="B3629" i="1"/>
  <c r="C3629" i="1"/>
  <c r="K3629" i="1"/>
  <c r="A3630" i="1"/>
  <c r="B3630" i="1"/>
  <c r="C3630" i="1"/>
  <c r="A3631" i="1"/>
  <c r="B3631" i="1"/>
  <c r="C3631" i="1"/>
  <c r="A3632" i="1"/>
  <c r="B3632" i="1"/>
  <c r="C3632" i="1"/>
  <c r="K3632" i="1"/>
  <c r="A3633" i="1"/>
  <c r="B3633" i="1"/>
  <c r="C3633" i="1"/>
  <c r="A3634" i="1"/>
  <c r="B3634" i="1"/>
  <c r="C3634" i="1"/>
  <c r="K3634" i="1"/>
  <c r="A3635" i="1"/>
  <c r="B3635" i="1"/>
  <c r="C3635" i="1"/>
  <c r="A3636" i="1"/>
  <c r="B3636" i="1"/>
  <c r="C3636" i="1"/>
  <c r="K3636" i="1"/>
  <c r="A3637" i="1"/>
  <c r="B3637" i="1"/>
  <c r="C3637" i="1"/>
  <c r="K3637" i="1"/>
  <c r="A3638" i="1"/>
  <c r="B3638" i="1"/>
  <c r="C3638" i="1"/>
  <c r="A3639" i="1"/>
  <c r="B3639" i="1"/>
  <c r="C3639" i="1"/>
  <c r="K3639" i="1"/>
  <c r="A3640" i="1"/>
  <c r="B3640" i="1"/>
  <c r="C3640" i="1"/>
  <c r="K3640" i="1"/>
  <c r="A3641" i="1"/>
  <c r="K3641" i="1"/>
  <c r="A3642" i="1"/>
  <c r="B3642" i="1"/>
  <c r="C3642" i="1"/>
  <c r="K3642" i="1"/>
  <c r="A3643" i="1"/>
  <c r="B3643" i="1"/>
  <c r="C3643" i="1"/>
  <c r="K3643" i="1"/>
  <c r="A3644" i="1"/>
  <c r="B3644" i="1"/>
  <c r="C3644" i="1"/>
  <c r="A3645" i="1"/>
  <c r="B3645" i="1"/>
  <c r="C3645" i="1"/>
  <c r="A3646" i="1"/>
  <c r="B3646" i="1"/>
  <c r="C3646" i="1"/>
  <c r="K3646" i="1"/>
  <c r="A3647" i="1"/>
  <c r="B3647" i="1"/>
  <c r="C3647" i="1"/>
  <c r="K3647" i="1"/>
  <c r="A3648" i="1"/>
  <c r="B3648" i="1"/>
  <c r="C3648" i="1"/>
  <c r="K3648" i="1"/>
  <c r="A3649" i="1"/>
  <c r="B3649" i="1"/>
  <c r="C3649" i="1"/>
  <c r="K3649" i="1"/>
  <c r="A3650" i="1"/>
  <c r="B3650" i="1"/>
  <c r="C3650" i="1"/>
  <c r="A3651" i="1"/>
  <c r="B3651" i="1"/>
  <c r="C3651" i="1"/>
  <c r="K3651" i="1"/>
  <c r="A3652" i="1"/>
  <c r="B3652" i="1"/>
  <c r="C3652" i="1"/>
  <c r="K3652" i="1"/>
  <c r="A3653" i="1"/>
  <c r="B3653" i="1"/>
  <c r="C3653" i="1"/>
  <c r="A3654" i="1"/>
  <c r="B3654" i="1"/>
  <c r="C3654" i="1"/>
  <c r="A3655" i="1"/>
  <c r="B3655" i="1"/>
  <c r="C3655" i="1"/>
  <c r="K3655" i="1"/>
  <c r="A3656" i="1"/>
  <c r="B3656" i="1"/>
  <c r="C3656" i="1"/>
  <c r="K3656" i="1"/>
  <c r="A3657" i="1"/>
  <c r="B3657" i="1"/>
  <c r="C3657" i="1"/>
  <c r="A3658" i="1"/>
  <c r="B3658" i="1"/>
  <c r="C3658" i="1"/>
  <c r="A3659" i="1"/>
  <c r="B3659" i="1"/>
  <c r="C3659" i="1"/>
  <c r="K3659" i="1"/>
  <c r="A3660" i="1"/>
  <c r="B3660" i="1"/>
  <c r="C3660" i="1"/>
  <c r="K3660" i="1"/>
  <c r="A3661" i="1"/>
  <c r="B3661" i="1"/>
  <c r="C3661" i="1"/>
  <c r="K3661" i="1"/>
  <c r="A3662" i="1"/>
  <c r="B3662" i="1"/>
  <c r="C3662" i="1"/>
  <c r="A3663" i="1"/>
  <c r="B3663" i="1"/>
  <c r="C3663" i="1"/>
  <c r="A3664" i="1"/>
  <c r="K3664" i="1"/>
  <c r="A3665" i="1"/>
  <c r="B3665" i="1"/>
  <c r="C3665" i="1"/>
  <c r="K3665" i="1"/>
  <c r="A3666" i="1"/>
  <c r="B3666" i="1"/>
  <c r="C3666" i="1"/>
  <c r="K3666" i="1"/>
  <c r="A3667" i="1"/>
  <c r="B3667" i="1"/>
  <c r="C3667" i="1"/>
  <c r="K3667" i="1"/>
  <c r="A3668" i="1"/>
  <c r="K3668" i="1"/>
  <c r="A3669" i="1"/>
  <c r="B3669" i="1"/>
  <c r="C3669" i="1"/>
  <c r="K3669" i="1"/>
  <c r="A3670" i="1"/>
  <c r="B3670" i="1"/>
  <c r="C3670" i="1"/>
  <c r="K3670" i="1"/>
  <c r="A3671" i="1"/>
  <c r="B3671" i="1"/>
  <c r="C3671" i="1"/>
  <c r="K3671" i="1"/>
  <c r="A3672" i="1"/>
  <c r="B3672" i="1"/>
  <c r="C3672" i="1"/>
  <c r="K3672" i="1"/>
  <c r="A3673" i="1"/>
  <c r="B3673" i="1"/>
  <c r="C3673" i="1"/>
  <c r="K3673" i="1"/>
  <c r="A3674" i="1"/>
  <c r="B3674" i="1"/>
  <c r="C3674" i="1"/>
  <c r="K3674" i="1"/>
  <c r="A3675" i="1"/>
  <c r="B3675" i="1"/>
  <c r="C3675" i="1"/>
  <c r="A3676" i="1"/>
  <c r="K3676" i="1"/>
  <c r="A3677" i="1"/>
  <c r="K3677" i="1"/>
  <c r="A3678" i="1"/>
  <c r="K3678" i="1"/>
  <c r="A3679" i="1"/>
  <c r="B3679" i="1"/>
  <c r="C3679" i="1"/>
  <c r="K3679" i="1"/>
  <c r="A3680" i="1"/>
  <c r="B3680" i="1"/>
  <c r="C3680" i="1"/>
  <c r="A3681" i="1"/>
  <c r="K3681" i="1"/>
  <c r="A3682" i="1"/>
  <c r="B3682" i="1"/>
  <c r="C3682" i="1"/>
  <c r="K3682" i="1"/>
  <c r="A3683" i="1"/>
  <c r="B3683" i="1"/>
  <c r="C3683" i="1"/>
  <c r="K3683" i="1"/>
  <c r="A3684" i="1"/>
  <c r="B3684" i="1"/>
  <c r="C3684" i="1"/>
  <c r="K3684" i="1"/>
  <c r="A3685" i="1"/>
  <c r="B3685" i="1"/>
  <c r="C3685" i="1"/>
  <c r="K3685" i="1"/>
  <c r="A3686" i="1"/>
  <c r="B3686" i="1"/>
  <c r="C3686" i="1"/>
  <c r="A3687" i="1"/>
  <c r="B3687" i="1"/>
  <c r="C3687" i="1"/>
  <c r="A3688" i="1"/>
  <c r="K3688" i="1"/>
  <c r="A3689" i="1"/>
  <c r="B3689" i="1"/>
  <c r="C3689" i="1"/>
  <c r="A3690" i="1"/>
  <c r="B3690" i="1"/>
  <c r="C3690" i="1"/>
  <c r="K3690" i="1"/>
  <c r="A3691" i="1"/>
  <c r="B3691" i="1"/>
  <c r="C3691" i="1"/>
  <c r="A3692" i="1"/>
  <c r="K3692" i="1"/>
  <c r="A3693" i="1"/>
  <c r="B3693" i="1"/>
  <c r="C3693" i="1"/>
  <c r="K3693" i="1"/>
  <c r="A3694" i="1"/>
  <c r="B3694" i="1"/>
  <c r="C3694" i="1"/>
  <c r="K3694" i="1"/>
  <c r="A3695" i="1"/>
  <c r="B3695" i="1"/>
  <c r="C3695" i="1"/>
  <c r="K3695" i="1"/>
  <c r="A3696" i="1"/>
  <c r="B3696" i="1"/>
  <c r="C3696" i="1"/>
  <c r="K3696" i="1"/>
  <c r="A3697" i="1"/>
  <c r="B3697" i="1"/>
  <c r="C3697" i="1"/>
  <c r="K3697" i="1"/>
  <c r="A3698" i="1"/>
  <c r="B3698" i="1"/>
  <c r="C3698" i="1"/>
  <c r="K3698" i="1"/>
  <c r="A3699" i="1"/>
  <c r="B3699" i="1"/>
  <c r="C3699" i="1"/>
  <c r="A3700" i="1"/>
  <c r="B3700" i="1"/>
  <c r="C3700" i="1"/>
  <c r="K3700" i="1"/>
  <c r="A3701" i="1"/>
  <c r="B3701" i="1"/>
  <c r="C3701" i="1"/>
  <c r="K3701" i="1"/>
  <c r="A3702" i="1"/>
  <c r="K3702" i="1"/>
  <c r="A3703" i="1"/>
  <c r="K3703" i="1"/>
  <c r="A3704" i="1"/>
  <c r="K3704" i="1"/>
  <c r="A3705" i="1"/>
  <c r="K3705" i="1"/>
  <c r="A3706" i="1"/>
  <c r="K3706" i="1"/>
  <c r="A3707" i="1"/>
  <c r="K3707" i="1"/>
  <c r="A3708" i="1"/>
  <c r="A3709" i="1"/>
  <c r="K3709" i="1"/>
  <c r="A3710" i="1"/>
  <c r="K3710" i="1"/>
  <c r="A3711" i="1"/>
  <c r="B3711" i="1"/>
  <c r="C3711" i="1"/>
  <c r="A3712" i="1"/>
  <c r="B3712" i="1"/>
  <c r="C3712" i="1"/>
  <c r="K3712" i="1"/>
  <c r="A3713" i="1"/>
  <c r="B3713" i="1"/>
  <c r="C3713" i="1"/>
  <c r="K3713" i="1"/>
  <c r="A3714" i="1"/>
  <c r="K3714" i="1"/>
  <c r="A3715" i="1"/>
  <c r="K3715" i="1"/>
  <c r="A3716" i="1"/>
  <c r="K3716" i="1"/>
  <c r="A3717" i="1"/>
  <c r="K3717" i="1"/>
  <c r="A3718" i="1"/>
  <c r="K3718" i="1"/>
  <c r="A3719" i="1"/>
  <c r="K3719" i="1"/>
  <c r="A3720" i="1"/>
  <c r="K3720" i="1"/>
  <c r="A3721" i="1"/>
  <c r="K3721" i="1"/>
  <c r="A3722" i="1"/>
  <c r="K3722" i="1"/>
  <c r="A3723" i="1"/>
  <c r="K3723" i="1"/>
  <c r="A3724" i="1"/>
  <c r="K3724" i="1"/>
  <c r="A3725" i="1"/>
  <c r="K3725" i="1"/>
  <c r="A3726" i="1"/>
  <c r="K3726" i="1"/>
  <c r="A3727" i="1"/>
  <c r="K3727" i="1"/>
  <c r="A3728" i="1"/>
  <c r="B3728" i="1"/>
  <c r="C3728" i="1"/>
  <c r="A3729" i="1"/>
  <c r="B3729" i="1"/>
  <c r="C3729" i="1"/>
  <c r="A3730" i="1"/>
  <c r="B3730" i="1"/>
  <c r="C3730" i="1"/>
  <c r="A3731" i="1"/>
  <c r="B3731" i="1"/>
  <c r="C3731" i="1"/>
  <c r="A3732" i="1"/>
  <c r="B3732" i="1"/>
  <c r="C3732" i="1"/>
  <c r="K3732" i="1"/>
  <c r="A3733" i="1"/>
  <c r="B3733" i="1"/>
  <c r="C3733" i="1"/>
  <c r="K3733" i="1"/>
  <c r="A3734" i="1"/>
  <c r="B3734" i="1"/>
  <c r="C3734" i="1"/>
  <c r="A3735" i="1"/>
  <c r="B3735" i="1"/>
  <c r="C3735" i="1"/>
  <c r="A3736" i="1"/>
  <c r="B3736" i="1"/>
  <c r="C3736" i="1"/>
  <c r="A3737" i="1"/>
  <c r="B3737" i="1"/>
  <c r="C3737" i="1"/>
  <c r="A3738" i="1"/>
  <c r="B3738" i="1"/>
  <c r="C3738" i="1"/>
  <c r="K3738" i="1"/>
  <c r="A3739" i="1"/>
  <c r="B3739" i="1"/>
  <c r="C3739" i="1"/>
  <c r="A3740" i="1"/>
  <c r="B3740" i="1"/>
  <c r="C3740" i="1"/>
  <c r="A3741" i="1"/>
  <c r="B3741" i="1"/>
  <c r="C3741" i="1"/>
  <c r="A3742" i="1"/>
  <c r="K3742" i="1"/>
  <c r="A3743" i="1"/>
  <c r="K3743" i="1"/>
  <c r="A3744" i="1"/>
  <c r="K3744" i="1"/>
  <c r="A3745" i="1"/>
  <c r="B3745" i="1"/>
  <c r="C3745" i="1"/>
  <c r="A3746" i="1"/>
  <c r="B3746" i="1"/>
  <c r="C3746" i="1"/>
  <c r="A3747" i="1"/>
  <c r="B3747" i="1"/>
  <c r="C3747" i="1"/>
  <c r="A3748" i="1"/>
  <c r="B3748" i="1"/>
  <c r="C3748" i="1"/>
  <c r="A3749" i="1"/>
  <c r="B3749" i="1"/>
  <c r="C3749" i="1"/>
  <c r="A3750" i="1"/>
  <c r="K3750" i="1"/>
  <c r="A3751" i="1"/>
  <c r="B3751" i="1"/>
  <c r="C3751" i="1"/>
  <c r="K3751" i="1"/>
  <c r="A3752" i="1"/>
  <c r="K3752" i="1"/>
  <c r="A3753" i="1"/>
  <c r="B3753" i="1"/>
  <c r="C3753" i="1"/>
  <c r="A3754" i="1"/>
  <c r="B3754" i="1"/>
  <c r="C3754" i="1"/>
  <c r="A3755" i="1"/>
  <c r="B3755" i="1"/>
  <c r="C3755" i="1"/>
  <c r="A3756" i="1"/>
  <c r="K3756" i="1"/>
  <c r="A3757" i="1"/>
  <c r="B3757" i="1"/>
  <c r="C3757" i="1"/>
  <c r="K3757" i="1"/>
  <c r="A3758" i="1"/>
  <c r="B3758" i="1"/>
  <c r="C3758" i="1"/>
  <c r="K3758" i="1"/>
  <c r="A3759" i="1"/>
  <c r="B3759" i="1"/>
  <c r="C3759" i="1"/>
  <c r="K3759" i="1"/>
  <c r="A3760" i="1"/>
  <c r="K3760" i="1"/>
  <c r="A3761" i="1"/>
  <c r="K3761" i="1"/>
  <c r="A3762" i="1"/>
  <c r="K3762" i="1"/>
  <c r="A3763" i="1"/>
  <c r="K3763" i="1"/>
  <c r="A3764" i="1"/>
  <c r="B3764" i="1"/>
  <c r="C3764" i="1"/>
  <c r="A3765" i="1"/>
  <c r="B3765" i="1"/>
  <c r="C3765" i="1"/>
  <c r="K3765" i="1"/>
  <c r="A3766" i="1"/>
  <c r="B3766" i="1"/>
  <c r="C3766" i="1"/>
  <c r="K3766" i="1"/>
  <c r="A3767" i="1"/>
  <c r="B3767" i="1"/>
  <c r="C3767" i="1"/>
  <c r="K3767" i="1"/>
  <c r="A3768" i="1"/>
  <c r="K3768" i="1"/>
  <c r="A3769" i="1"/>
  <c r="K3769" i="1"/>
  <c r="A3770" i="1"/>
  <c r="K3770" i="1"/>
  <c r="A3771" i="1"/>
  <c r="B3771" i="1"/>
  <c r="C3771" i="1"/>
  <c r="K3771" i="1"/>
  <c r="A3772" i="1"/>
  <c r="B3772" i="1"/>
  <c r="C3772" i="1"/>
  <c r="A3773" i="1"/>
  <c r="B3773" i="1"/>
  <c r="C3773" i="1"/>
  <c r="A3774" i="1"/>
  <c r="B3774" i="1"/>
  <c r="C3774" i="1"/>
  <c r="A3775" i="1"/>
  <c r="K3775" i="1"/>
  <c r="A3776" i="1"/>
  <c r="B3776" i="1"/>
  <c r="C3776" i="1"/>
  <c r="A3777" i="1"/>
  <c r="B3777" i="1"/>
  <c r="C3777" i="1"/>
  <c r="K3777" i="1"/>
  <c r="A3778" i="1"/>
  <c r="B3778" i="1"/>
  <c r="C3778" i="1"/>
  <c r="K3778" i="1"/>
  <c r="A3779" i="1"/>
  <c r="B3779" i="1"/>
  <c r="C3779" i="1"/>
  <c r="K3779" i="1"/>
  <c r="A3780" i="1"/>
  <c r="B3780" i="1"/>
  <c r="C3780" i="1"/>
  <c r="K3780" i="1"/>
  <c r="A3781" i="1"/>
  <c r="B3781" i="1"/>
  <c r="C3781" i="1"/>
  <c r="K3781" i="1"/>
  <c r="A3782" i="1"/>
  <c r="K3782" i="1"/>
  <c r="A3783" i="1"/>
  <c r="A3784" i="1"/>
  <c r="K3784" i="1"/>
  <c r="A3785" i="1"/>
  <c r="K3785" i="1"/>
  <c r="A3786" i="1"/>
  <c r="K3786" i="1"/>
  <c r="A3787" i="1"/>
  <c r="K3787" i="1"/>
  <c r="A3788" i="1"/>
  <c r="K3788" i="1"/>
  <c r="A3789" i="1"/>
  <c r="K3789" i="1"/>
  <c r="A3790" i="1"/>
  <c r="K3790" i="1"/>
  <c r="A3791" i="1"/>
  <c r="B3791" i="1"/>
  <c r="C3791" i="1"/>
  <c r="K3791" i="1"/>
  <c r="A3792" i="1"/>
  <c r="K3792" i="1"/>
  <c r="A3793" i="1"/>
  <c r="B3793" i="1"/>
  <c r="C3793" i="1"/>
  <c r="K3793" i="1"/>
  <c r="A3794" i="1"/>
  <c r="K3794" i="1"/>
  <c r="A3795" i="1"/>
  <c r="B3795" i="1"/>
  <c r="C3795" i="1"/>
  <c r="K3795" i="1"/>
  <c r="A3796" i="1"/>
  <c r="B3796" i="1"/>
  <c r="C3796" i="1"/>
  <c r="K3796" i="1"/>
  <c r="A3797" i="1"/>
  <c r="B3797" i="1"/>
  <c r="C3797" i="1"/>
  <c r="K3797" i="1"/>
  <c r="A3798" i="1"/>
  <c r="B3798" i="1"/>
  <c r="C3798" i="1"/>
  <c r="K3798" i="1"/>
  <c r="A3799" i="1"/>
  <c r="B3799" i="1"/>
  <c r="C3799" i="1"/>
  <c r="K3799" i="1"/>
  <c r="A3800" i="1"/>
  <c r="K3800" i="1"/>
  <c r="A3801" i="1"/>
  <c r="B3801" i="1"/>
  <c r="C3801" i="1"/>
  <c r="K3801" i="1"/>
  <c r="A3802" i="1"/>
  <c r="B3802" i="1"/>
  <c r="C3802" i="1"/>
  <c r="K3802" i="1"/>
  <c r="A3803" i="1"/>
  <c r="B3803" i="1"/>
  <c r="C3803" i="1"/>
  <c r="K3803" i="1"/>
  <c r="A3804" i="1"/>
  <c r="B3804" i="1"/>
  <c r="C3804" i="1"/>
  <c r="K3804" i="1"/>
  <c r="A3805" i="1"/>
  <c r="B3805" i="1"/>
  <c r="C3805" i="1"/>
  <c r="K3805" i="1"/>
  <c r="A3806" i="1"/>
  <c r="B3806" i="1"/>
  <c r="C3806" i="1"/>
  <c r="K3806" i="1"/>
  <c r="A3807" i="1"/>
  <c r="B3807" i="1"/>
  <c r="C3807" i="1"/>
  <c r="K3807" i="1"/>
  <c r="A3808" i="1"/>
  <c r="B3808" i="1"/>
  <c r="C3808" i="1"/>
  <c r="A3809" i="1"/>
  <c r="B3809" i="1"/>
  <c r="C3809" i="1"/>
  <c r="K3809" i="1"/>
  <c r="A3810" i="1"/>
  <c r="B3810" i="1"/>
  <c r="C3810" i="1"/>
  <c r="K3810" i="1"/>
  <c r="A3811" i="1"/>
  <c r="B3811" i="1"/>
  <c r="C3811" i="1"/>
  <c r="K3811" i="1"/>
  <c r="A3812" i="1"/>
  <c r="B3812" i="1"/>
  <c r="C3812" i="1"/>
  <c r="K3812" i="1"/>
  <c r="A3813" i="1"/>
  <c r="B3813" i="1"/>
  <c r="C3813" i="1"/>
  <c r="K3813" i="1"/>
  <c r="A3814" i="1"/>
  <c r="B3814" i="1"/>
  <c r="C3814" i="1"/>
  <c r="K3814" i="1"/>
  <c r="A3815" i="1"/>
  <c r="B3815" i="1"/>
  <c r="C3815" i="1"/>
  <c r="K3815" i="1"/>
  <c r="A3816" i="1"/>
  <c r="B3816" i="1"/>
  <c r="C3816" i="1"/>
  <c r="A3817" i="1"/>
  <c r="B3817" i="1"/>
  <c r="C3817" i="1"/>
  <c r="K3817" i="1"/>
  <c r="A3818" i="1"/>
  <c r="B3818" i="1"/>
  <c r="C3818" i="1"/>
  <c r="K3818" i="1"/>
  <c r="A3819" i="1"/>
  <c r="B3819" i="1"/>
  <c r="C3819" i="1"/>
  <c r="K3819" i="1"/>
  <c r="A3820" i="1"/>
  <c r="B3820" i="1"/>
  <c r="C3820" i="1"/>
  <c r="K3820" i="1"/>
  <c r="A3821" i="1"/>
  <c r="B3821" i="1"/>
  <c r="C3821" i="1"/>
  <c r="K3821" i="1"/>
  <c r="A3822" i="1"/>
  <c r="B3822" i="1"/>
  <c r="C3822" i="1"/>
  <c r="K3822" i="1"/>
  <c r="A3823" i="1"/>
  <c r="B3823" i="1"/>
  <c r="C3823" i="1"/>
  <c r="K3823" i="1"/>
  <c r="A3824" i="1"/>
  <c r="B3824" i="1"/>
  <c r="C3824" i="1"/>
  <c r="K3824" i="1"/>
  <c r="A3825" i="1"/>
  <c r="B3825" i="1"/>
  <c r="C3825" i="1"/>
  <c r="K3825" i="1"/>
  <c r="A3826" i="1"/>
  <c r="B3826" i="1"/>
  <c r="C3826" i="1"/>
  <c r="K3826" i="1"/>
  <c r="A3827" i="1"/>
  <c r="B3827" i="1"/>
  <c r="C3827" i="1"/>
  <c r="K3827" i="1"/>
  <c r="A3828" i="1"/>
  <c r="B3828" i="1"/>
  <c r="C3828" i="1"/>
  <c r="K3828" i="1"/>
  <c r="A3829" i="1"/>
  <c r="B3829" i="1"/>
  <c r="C3829" i="1"/>
  <c r="K3829" i="1"/>
  <c r="A3830" i="1"/>
  <c r="B3830" i="1"/>
  <c r="C3830" i="1"/>
  <c r="K3830" i="1"/>
  <c r="A3831" i="1"/>
  <c r="B3831" i="1"/>
  <c r="C3831" i="1"/>
  <c r="K3831" i="1"/>
  <c r="A3832" i="1"/>
  <c r="B3832" i="1"/>
  <c r="C3832" i="1"/>
  <c r="K3832" i="1"/>
  <c r="A3833" i="1"/>
  <c r="B3833" i="1"/>
  <c r="C3833" i="1"/>
  <c r="K3833" i="1"/>
  <c r="A3834" i="1"/>
  <c r="B3834" i="1"/>
  <c r="C3834" i="1"/>
  <c r="K3834" i="1"/>
  <c r="A3835" i="1"/>
  <c r="B3835" i="1"/>
  <c r="C3835" i="1"/>
  <c r="K3835" i="1"/>
  <c r="A3836" i="1"/>
  <c r="B3836" i="1"/>
  <c r="C3836" i="1"/>
  <c r="K3836" i="1"/>
  <c r="A3837" i="1"/>
  <c r="B3837" i="1"/>
  <c r="C3837" i="1"/>
  <c r="K3837" i="1"/>
  <c r="A3838" i="1"/>
  <c r="B3838" i="1"/>
  <c r="C3838" i="1"/>
  <c r="K3838" i="1"/>
  <c r="A3839" i="1"/>
  <c r="B3839" i="1"/>
  <c r="C3839" i="1"/>
  <c r="K3839" i="1"/>
  <c r="A3840" i="1"/>
  <c r="B3840" i="1"/>
  <c r="C3840" i="1"/>
  <c r="K3840" i="1"/>
  <c r="A3841" i="1"/>
  <c r="B3841" i="1"/>
  <c r="C3841" i="1"/>
  <c r="K3841" i="1"/>
  <c r="A3842" i="1"/>
  <c r="B3842" i="1"/>
  <c r="C3842" i="1"/>
  <c r="K3842" i="1"/>
  <c r="A3843" i="1"/>
  <c r="B3843" i="1"/>
  <c r="C3843" i="1"/>
  <c r="K3843" i="1"/>
  <c r="A3844" i="1"/>
  <c r="B3844" i="1"/>
  <c r="C3844" i="1"/>
  <c r="K3844" i="1"/>
  <c r="A3845" i="1"/>
  <c r="B3845" i="1"/>
  <c r="C3845" i="1"/>
  <c r="K3845" i="1"/>
  <c r="A3846" i="1"/>
  <c r="B3846" i="1"/>
  <c r="C3846" i="1"/>
  <c r="A3847" i="1"/>
  <c r="B3847" i="1"/>
  <c r="C3847" i="1"/>
  <c r="A3848" i="1"/>
  <c r="B3848" i="1"/>
  <c r="C3848" i="1"/>
  <c r="A3849" i="1"/>
  <c r="B3849" i="1"/>
  <c r="C3849" i="1"/>
  <c r="K3849" i="1"/>
  <c r="A3850" i="1"/>
  <c r="B3850" i="1"/>
  <c r="C3850" i="1"/>
  <c r="A3851" i="1"/>
  <c r="B3851" i="1"/>
  <c r="C3851" i="1"/>
  <c r="K3851" i="1"/>
  <c r="A3852" i="1"/>
  <c r="B3852" i="1"/>
  <c r="C3852" i="1"/>
  <c r="K3852" i="1"/>
  <c r="A3853" i="1"/>
  <c r="B3853" i="1"/>
  <c r="C3853" i="1"/>
  <c r="A3854" i="1"/>
  <c r="B3854" i="1"/>
  <c r="C3854" i="1"/>
  <c r="A3855" i="1"/>
  <c r="B3855" i="1"/>
  <c r="C3855" i="1"/>
  <c r="A3856" i="1"/>
  <c r="B3856" i="1"/>
  <c r="C3856" i="1"/>
  <c r="K3856" i="1"/>
  <c r="A3857" i="1"/>
  <c r="B3857" i="1"/>
  <c r="C3857" i="1"/>
  <c r="A3858" i="1"/>
  <c r="B3858" i="1"/>
  <c r="C3858" i="1"/>
  <c r="K3858" i="1"/>
  <c r="A3859" i="1"/>
  <c r="B3859" i="1"/>
  <c r="C3859" i="1"/>
  <c r="A3860" i="1"/>
  <c r="B3860" i="1"/>
  <c r="C3860" i="1"/>
  <c r="K3860" i="1"/>
  <c r="A3861" i="1"/>
  <c r="B3861" i="1"/>
  <c r="C3861" i="1"/>
  <c r="A3862" i="1"/>
  <c r="B3862" i="1"/>
  <c r="C3862" i="1"/>
  <c r="K3862" i="1"/>
  <c r="A3863" i="1"/>
  <c r="B3863" i="1"/>
  <c r="C3863" i="1"/>
  <c r="K3863" i="1"/>
  <c r="A3864" i="1"/>
  <c r="B3864" i="1"/>
  <c r="C3864" i="1"/>
  <c r="K3864" i="1"/>
  <c r="A3865" i="1"/>
  <c r="B3865" i="1"/>
  <c r="C3865" i="1"/>
  <c r="A3866" i="1"/>
  <c r="B3866" i="1"/>
  <c r="C3866" i="1"/>
  <c r="K3866" i="1"/>
  <c r="A3867" i="1"/>
  <c r="B3867" i="1"/>
  <c r="C3867" i="1"/>
  <c r="A3868" i="1"/>
  <c r="B3868" i="1"/>
  <c r="C3868" i="1"/>
  <c r="K3868" i="1"/>
  <c r="A3869" i="1"/>
  <c r="B3869" i="1"/>
  <c r="C3869" i="1"/>
  <c r="K3869" i="1"/>
  <c r="A3870" i="1"/>
  <c r="B3870" i="1"/>
  <c r="C3870" i="1"/>
  <c r="A3871" i="1"/>
  <c r="B3871" i="1"/>
  <c r="C3871" i="1"/>
  <c r="A3872" i="1"/>
  <c r="B3872" i="1"/>
  <c r="C3872" i="1"/>
  <c r="A3873" i="1"/>
  <c r="B3873" i="1"/>
  <c r="C3873" i="1"/>
  <c r="K3873" i="1"/>
  <c r="A3874" i="1"/>
  <c r="B3874" i="1"/>
  <c r="C3874" i="1"/>
  <c r="K3874" i="1"/>
  <c r="A3875" i="1"/>
  <c r="B3875" i="1"/>
  <c r="C3875" i="1"/>
  <c r="K3875" i="1"/>
  <c r="A3876" i="1"/>
  <c r="B3876" i="1"/>
  <c r="C3876" i="1"/>
  <c r="K3876" i="1"/>
  <c r="A3877" i="1"/>
  <c r="B3877" i="1"/>
  <c r="C3877" i="1"/>
  <c r="K3877" i="1"/>
  <c r="A3878" i="1"/>
  <c r="B3878" i="1"/>
  <c r="C3878" i="1"/>
  <c r="K3878" i="1"/>
  <c r="A3879" i="1"/>
  <c r="B3879" i="1"/>
  <c r="C3879" i="1"/>
  <c r="K3879" i="1"/>
  <c r="A3880" i="1"/>
  <c r="B3880" i="1"/>
  <c r="C3880" i="1"/>
  <c r="K3880" i="1"/>
  <c r="A3881" i="1"/>
  <c r="B3881" i="1"/>
  <c r="C3881" i="1"/>
  <c r="K3881" i="1"/>
  <c r="A3882" i="1"/>
  <c r="B3882" i="1"/>
  <c r="C3882" i="1"/>
  <c r="K3882" i="1"/>
  <c r="A3883" i="1"/>
  <c r="B3883" i="1"/>
  <c r="C3883" i="1"/>
  <c r="K3883" i="1"/>
  <c r="A3884" i="1"/>
  <c r="B3884" i="1"/>
  <c r="C3884" i="1"/>
  <c r="K3884" i="1"/>
  <c r="A3885" i="1"/>
  <c r="B3885" i="1"/>
  <c r="C3885" i="1"/>
  <c r="K3885" i="1"/>
  <c r="A3886" i="1"/>
  <c r="B3886" i="1"/>
  <c r="C3886" i="1"/>
  <c r="K3886" i="1"/>
  <c r="A3887" i="1"/>
  <c r="B3887" i="1"/>
  <c r="C3887" i="1"/>
  <c r="K3887" i="1"/>
  <c r="A3888" i="1"/>
  <c r="B3888" i="1"/>
  <c r="C3888" i="1"/>
  <c r="K3888" i="1"/>
  <c r="A3889" i="1"/>
  <c r="B3889" i="1"/>
  <c r="C3889" i="1"/>
  <c r="K3889" i="1"/>
  <c r="A3890" i="1"/>
  <c r="B3890" i="1"/>
  <c r="C3890" i="1"/>
  <c r="K3890" i="1"/>
  <c r="A3891" i="1"/>
  <c r="B3891" i="1"/>
  <c r="C3891" i="1"/>
  <c r="K3891" i="1"/>
  <c r="A3892" i="1"/>
  <c r="B3892" i="1"/>
  <c r="C3892" i="1"/>
  <c r="K3892" i="1"/>
  <c r="A3893" i="1"/>
  <c r="B3893" i="1"/>
  <c r="C3893" i="1"/>
  <c r="K3893" i="1"/>
  <c r="A3894" i="1"/>
  <c r="B3894" i="1"/>
  <c r="C3894" i="1"/>
  <c r="K3894" i="1"/>
  <c r="A3895" i="1"/>
  <c r="B3895" i="1"/>
  <c r="C3895" i="1"/>
  <c r="K3895" i="1"/>
  <c r="A3896" i="1"/>
  <c r="B3896" i="1"/>
  <c r="C3896" i="1"/>
  <c r="K3896" i="1"/>
  <c r="A3897" i="1"/>
  <c r="B3897" i="1"/>
  <c r="C3897" i="1"/>
  <c r="K3897" i="1"/>
  <c r="A3898" i="1"/>
  <c r="B3898" i="1"/>
  <c r="C3898" i="1"/>
  <c r="K3898" i="1"/>
  <c r="A3899" i="1"/>
  <c r="B3899" i="1"/>
  <c r="C3899" i="1"/>
  <c r="K3899" i="1"/>
  <c r="A3900" i="1"/>
  <c r="B3900" i="1"/>
  <c r="C3900" i="1"/>
  <c r="K3900" i="1"/>
  <c r="A3901" i="1"/>
  <c r="B3901" i="1"/>
  <c r="C3901" i="1"/>
  <c r="K3901" i="1"/>
  <c r="A3902" i="1"/>
  <c r="B3902" i="1"/>
  <c r="C3902" i="1"/>
  <c r="K3902" i="1"/>
  <c r="A3903" i="1"/>
  <c r="B3903" i="1"/>
  <c r="C3903" i="1"/>
  <c r="A3904" i="1"/>
  <c r="B3904" i="1"/>
  <c r="C3904" i="1"/>
  <c r="K3904" i="1"/>
  <c r="A3905" i="1"/>
  <c r="B3905" i="1"/>
  <c r="C3905" i="1"/>
  <c r="K3905" i="1"/>
  <c r="A3906" i="1"/>
  <c r="B3906" i="1"/>
  <c r="C3906" i="1"/>
  <c r="K3906" i="1"/>
  <c r="A3907" i="1"/>
  <c r="B3907" i="1"/>
  <c r="C3907" i="1"/>
  <c r="K3907" i="1"/>
  <c r="A3908" i="1"/>
  <c r="B3908" i="1"/>
  <c r="C3908" i="1"/>
  <c r="K3908" i="1"/>
  <c r="A3909" i="1"/>
  <c r="B3909" i="1"/>
  <c r="C3909" i="1"/>
  <c r="A3910" i="1"/>
  <c r="B3910" i="1"/>
  <c r="C3910" i="1"/>
  <c r="K3910" i="1"/>
  <c r="A3911" i="1"/>
  <c r="B3911" i="1"/>
  <c r="C3911" i="1"/>
  <c r="K3911" i="1"/>
  <c r="A3912" i="1"/>
  <c r="B3912" i="1"/>
  <c r="C3912" i="1"/>
  <c r="K3912" i="1"/>
  <c r="A3913" i="1"/>
  <c r="B3913" i="1"/>
  <c r="C3913" i="1"/>
  <c r="A3914" i="1"/>
  <c r="B3914" i="1"/>
  <c r="C3914" i="1"/>
  <c r="K3914" i="1"/>
  <c r="A3915" i="1"/>
  <c r="B3915" i="1"/>
  <c r="C3915" i="1"/>
  <c r="K3915" i="1"/>
  <c r="A3916" i="1"/>
  <c r="B3916" i="1"/>
  <c r="C3916" i="1"/>
  <c r="K3916" i="1"/>
  <c r="A3917" i="1"/>
  <c r="B3917" i="1"/>
  <c r="C3917" i="1"/>
  <c r="K3917" i="1"/>
  <c r="A3918" i="1"/>
  <c r="B3918" i="1"/>
  <c r="C3918" i="1"/>
  <c r="K3918" i="1"/>
  <c r="A3919" i="1"/>
  <c r="B3919" i="1"/>
  <c r="C3919" i="1"/>
  <c r="A3920" i="1"/>
  <c r="B3920" i="1"/>
  <c r="C3920" i="1"/>
  <c r="A3921" i="1"/>
  <c r="B3921" i="1"/>
  <c r="C3921" i="1"/>
  <c r="A3922" i="1"/>
  <c r="B3922" i="1"/>
  <c r="C3922" i="1"/>
  <c r="A3923" i="1"/>
  <c r="B3923" i="1"/>
  <c r="C3923" i="1"/>
  <c r="K3923" i="1"/>
  <c r="A3924" i="1"/>
  <c r="B3924" i="1"/>
  <c r="C3924" i="1"/>
  <c r="K3924" i="1"/>
  <c r="A3925" i="1"/>
  <c r="B3925" i="1"/>
  <c r="C3925" i="1"/>
  <c r="K3925" i="1"/>
  <c r="A3926" i="1"/>
  <c r="B3926" i="1"/>
  <c r="C3926" i="1"/>
  <c r="K3926" i="1"/>
  <c r="A3927" i="1"/>
  <c r="B3927" i="1"/>
  <c r="C3927" i="1"/>
  <c r="K3927" i="1"/>
  <c r="A3928" i="1"/>
  <c r="B3928" i="1"/>
  <c r="C3928" i="1"/>
  <c r="K3928" i="1"/>
  <c r="A3929" i="1"/>
  <c r="B3929" i="1"/>
  <c r="C3929" i="1"/>
  <c r="K3929" i="1"/>
  <c r="A3930" i="1"/>
  <c r="B3930" i="1"/>
  <c r="C3930" i="1"/>
  <c r="K3930" i="1"/>
  <c r="A3931" i="1"/>
  <c r="B3931" i="1"/>
  <c r="C3931" i="1"/>
  <c r="K3931" i="1"/>
  <c r="A3932" i="1"/>
  <c r="B3932" i="1"/>
  <c r="C3932" i="1"/>
  <c r="A3933" i="1"/>
  <c r="B3933" i="1"/>
  <c r="C3933" i="1"/>
  <c r="A3934" i="1"/>
  <c r="B3934" i="1"/>
  <c r="C3934" i="1"/>
  <c r="K3934" i="1"/>
  <c r="A3935" i="1"/>
  <c r="B3935" i="1"/>
  <c r="C3935" i="1"/>
  <c r="K3935" i="1"/>
  <c r="A3936" i="1"/>
  <c r="B3936" i="1"/>
  <c r="C3936" i="1"/>
  <c r="A3937" i="1"/>
  <c r="B3937" i="1"/>
  <c r="C3937" i="1"/>
  <c r="K3937" i="1"/>
  <c r="A3938" i="1"/>
  <c r="B3938" i="1"/>
  <c r="C3938" i="1"/>
  <c r="K3938" i="1"/>
  <c r="A3939" i="1"/>
  <c r="B3939" i="1"/>
  <c r="C3939" i="1"/>
  <c r="K3939" i="1"/>
  <c r="A3940" i="1"/>
  <c r="B3940" i="1"/>
  <c r="C3940" i="1"/>
  <c r="A3941" i="1"/>
  <c r="B3941" i="1"/>
  <c r="C3941" i="1"/>
  <c r="A3942" i="1"/>
  <c r="B3942" i="1"/>
  <c r="C3942" i="1"/>
  <c r="A3943" i="1"/>
  <c r="B3943" i="1"/>
  <c r="C3943" i="1"/>
  <c r="A3944" i="1"/>
  <c r="B3944" i="1"/>
  <c r="C3944" i="1"/>
  <c r="A3945" i="1"/>
  <c r="B3945" i="1"/>
  <c r="C3945" i="1"/>
  <c r="A3946" i="1"/>
  <c r="B3946" i="1"/>
  <c r="C3946" i="1"/>
  <c r="A3947" i="1"/>
  <c r="B3947" i="1"/>
  <c r="C3947" i="1"/>
  <c r="A3948" i="1"/>
  <c r="B3948" i="1"/>
  <c r="C3948" i="1"/>
  <c r="A3949" i="1"/>
  <c r="B3949" i="1"/>
  <c r="C3949" i="1"/>
  <c r="A3950" i="1"/>
  <c r="B3950" i="1"/>
  <c r="C3950" i="1"/>
  <c r="A3951" i="1"/>
  <c r="B3951" i="1"/>
  <c r="C3951" i="1"/>
  <c r="A3952" i="1"/>
  <c r="B3952" i="1"/>
  <c r="C3952" i="1"/>
  <c r="A3953" i="1"/>
  <c r="B3953" i="1"/>
  <c r="C3953" i="1"/>
  <c r="A3954" i="1"/>
  <c r="B3954" i="1"/>
  <c r="C3954" i="1"/>
  <c r="A3955" i="1"/>
  <c r="B3955" i="1"/>
  <c r="C3955" i="1"/>
  <c r="A3956" i="1"/>
  <c r="B3956" i="1"/>
  <c r="C3956" i="1"/>
  <c r="A3957" i="1"/>
  <c r="B3957" i="1"/>
  <c r="C3957" i="1"/>
  <c r="A3958" i="1"/>
  <c r="B3958" i="1"/>
  <c r="C3958" i="1"/>
  <c r="A3959" i="1"/>
  <c r="B3959" i="1"/>
  <c r="C3959" i="1"/>
  <c r="A3960" i="1"/>
  <c r="B3960" i="1"/>
  <c r="C3960" i="1"/>
  <c r="A3961" i="1"/>
  <c r="B3961" i="1"/>
  <c r="C3961" i="1"/>
  <c r="A3962" i="1"/>
  <c r="B3962" i="1"/>
  <c r="C3962" i="1"/>
  <c r="A3963" i="1"/>
  <c r="B3963" i="1"/>
  <c r="C3963" i="1"/>
  <c r="A3964" i="1"/>
  <c r="B3964" i="1"/>
  <c r="C3964" i="1"/>
  <c r="A3965" i="1"/>
  <c r="B3965" i="1"/>
  <c r="C3965" i="1"/>
  <c r="A3966" i="1"/>
  <c r="B3966" i="1"/>
  <c r="C3966" i="1"/>
  <c r="A3967" i="1"/>
  <c r="B3967" i="1"/>
  <c r="C3967" i="1"/>
  <c r="A3968" i="1"/>
  <c r="B3968" i="1"/>
  <c r="C3968" i="1"/>
  <c r="A3969" i="1"/>
  <c r="B3969" i="1"/>
  <c r="C3969" i="1"/>
  <c r="A3970" i="1"/>
  <c r="B3970" i="1"/>
  <c r="C3970" i="1"/>
  <c r="A3971" i="1"/>
  <c r="B3971" i="1"/>
  <c r="C3971" i="1"/>
  <c r="A3972" i="1"/>
  <c r="B3972" i="1"/>
  <c r="C3972" i="1"/>
  <c r="A3973" i="1"/>
  <c r="B3973" i="1"/>
  <c r="C3973" i="1"/>
  <c r="A3974" i="1"/>
  <c r="B3974" i="1"/>
  <c r="C3974" i="1"/>
  <c r="A3975" i="1"/>
  <c r="B3975" i="1"/>
  <c r="C3975" i="1"/>
  <c r="A3976" i="1"/>
  <c r="B3976" i="1"/>
  <c r="C3976" i="1"/>
  <c r="A3977" i="1"/>
  <c r="B3977" i="1"/>
  <c r="C3977" i="1"/>
  <c r="A3978" i="1"/>
  <c r="B3978" i="1"/>
  <c r="C3978" i="1"/>
  <c r="A3979" i="1"/>
  <c r="B3979" i="1"/>
  <c r="C3979" i="1"/>
  <c r="A3980" i="1"/>
  <c r="B3980" i="1"/>
  <c r="C3980" i="1"/>
  <c r="A3981" i="1"/>
  <c r="B3981" i="1"/>
  <c r="C3981" i="1"/>
  <c r="A3982" i="1"/>
  <c r="B3982" i="1"/>
  <c r="C3982" i="1"/>
  <c r="A3983" i="1"/>
  <c r="B3983" i="1"/>
  <c r="C3983" i="1"/>
  <c r="A3984" i="1"/>
  <c r="B3984" i="1"/>
  <c r="C3984" i="1"/>
  <c r="A3985" i="1"/>
  <c r="B3985" i="1"/>
  <c r="C3985" i="1"/>
  <c r="A3986" i="1"/>
  <c r="B3986" i="1"/>
  <c r="C3986" i="1"/>
  <c r="A3987" i="1"/>
  <c r="B3987" i="1"/>
  <c r="C3987" i="1"/>
  <c r="A3988" i="1"/>
  <c r="B3988" i="1"/>
  <c r="C3988" i="1"/>
  <c r="A3989" i="1"/>
  <c r="B3989" i="1"/>
  <c r="C3989" i="1"/>
  <c r="A3990" i="1"/>
  <c r="B3990" i="1"/>
  <c r="C3990" i="1"/>
  <c r="A3991" i="1"/>
  <c r="B3991" i="1"/>
  <c r="C3991" i="1"/>
  <c r="A3992" i="1"/>
  <c r="B3992" i="1"/>
  <c r="C3992" i="1"/>
  <c r="A3993" i="1"/>
  <c r="B3993" i="1"/>
  <c r="C3993" i="1"/>
  <c r="A3994" i="1"/>
  <c r="B3994" i="1"/>
  <c r="C3994" i="1"/>
  <c r="A3995" i="1"/>
  <c r="B3995" i="1"/>
  <c r="C3995" i="1"/>
  <c r="A3996" i="1"/>
  <c r="B3996" i="1"/>
  <c r="C3996" i="1"/>
  <c r="A3997" i="1"/>
  <c r="B3997" i="1"/>
  <c r="C3997" i="1"/>
  <c r="A3998" i="1"/>
  <c r="B3998" i="1"/>
  <c r="C3998" i="1"/>
  <c r="A3999" i="1"/>
  <c r="B3999" i="1"/>
  <c r="C3999" i="1"/>
  <c r="A4000" i="1"/>
  <c r="B4000" i="1"/>
  <c r="C4000" i="1"/>
  <c r="K4000" i="1"/>
  <c r="A4001" i="1"/>
  <c r="B4001" i="1"/>
  <c r="C4001" i="1"/>
  <c r="A4002" i="1"/>
  <c r="B4002" i="1"/>
  <c r="C4002" i="1"/>
  <c r="A4003" i="1"/>
  <c r="B4003" i="1"/>
  <c r="C4003" i="1"/>
  <c r="K4003" i="1"/>
  <c r="A4004" i="1"/>
  <c r="B4004" i="1"/>
  <c r="C4004" i="1"/>
  <c r="K4004" i="1"/>
  <c r="A4005" i="1"/>
  <c r="B4005" i="1"/>
  <c r="C4005" i="1"/>
  <c r="K4005" i="1"/>
  <c r="A4006" i="1"/>
  <c r="B4006" i="1"/>
  <c r="C4006" i="1"/>
  <c r="K4006" i="1"/>
  <c r="A4007" i="1"/>
  <c r="B4007" i="1"/>
  <c r="C4007" i="1"/>
  <c r="K4007" i="1"/>
  <c r="A4008" i="1"/>
  <c r="B4008" i="1"/>
  <c r="C4008" i="1"/>
  <c r="A4009" i="1"/>
  <c r="K4009" i="1"/>
  <c r="A4010" i="1"/>
  <c r="K4010" i="1"/>
  <c r="A4011" i="1"/>
  <c r="K4011" i="1"/>
  <c r="A4012" i="1"/>
  <c r="K4012" i="1"/>
  <c r="A4013" i="1"/>
  <c r="B4013" i="1"/>
  <c r="C4013" i="1"/>
  <c r="K4013" i="1"/>
  <c r="A4014" i="1"/>
  <c r="K4014" i="1"/>
  <c r="A4015" i="1"/>
  <c r="B4015" i="1"/>
  <c r="C4015" i="1"/>
  <c r="K4015" i="1"/>
  <c r="A4016" i="1"/>
  <c r="K4016" i="1"/>
  <c r="A4017" i="1"/>
  <c r="K4017" i="1"/>
  <c r="A4018" i="1"/>
  <c r="K4018" i="1"/>
  <c r="A4019" i="1"/>
  <c r="K4019" i="1"/>
  <c r="A4020" i="1"/>
  <c r="K4020" i="1"/>
  <c r="A4021" i="1"/>
  <c r="K4021" i="1"/>
  <c r="A4022" i="1"/>
  <c r="K4022" i="1"/>
  <c r="A4023" i="1"/>
  <c r="B4023" i="1"/>
  <c r="C4023" i="1"/>
  <c r="F4023" i="1"/>
  <c r="K4023" i="1"/>
  <c r="A4024" i="1"/>
  <c r="B4024" i="1"/>
  <c r="C4024" i="1"/>
  <c r="F4024" i="1"/>
  <c r="K4024" i="1"/>
  <c r="A4025" i="1"/>
  <c r="B4025" i="1"/>
  <c r="C4025" i="1"/>
  <c r="F4025" i="1"/>
  <c r="K4025" i="1"/>
  <c r="A4026" i="1"/>
  <c r="B4026" i="1"/>
  <c r="C4026" i="1"/>
  <c r="F4026" i="1"/>
  <c r="K4026" i="1"/>
  <c r="A4027" i="1"/>
  <c r="B4027" i="1"/>
  <c r="C4027" i="1"/>
  <c r="F4027" i="1"/>
  <c r="K4027" i="1"/>
  <c r="A4028" i="1"/>
  <c r="B4028" i="1"/>
  <c r="C4028" i="1"/>
  <c r="F4028" i="1"/>
  <c r="K4028" i="1"/>
  <c r="A4029" i="1"/>
  <c r="B4029" i="1"/>
  <c r="C4029" i="1"/>
  <c r="F4029" i="1"/>
  <c r="K4029" i="1"/>
  <c r="A4030" i="1"/>
  <c r="B4030" i="1"/>
  <c r="C4030" i="1"/>
  <c r="F4030" i="1"/>
  <c r="K4030" i="1"/>
  <c r="A4031" i="1"/>
  <c r="B4031" i="1"/>
  <c r="C4031" i="1"/>
  <c r="F4031" i="1"/>
  <c r="K4031" i="1"/>
  <c r="A4032" i="1"/>
  <c r="B4032" i="1"/>
  <c r="C4032" i="1"/>
  <c r="F4032" i="1"/>
  <c r="K4032" i="1"/>
  <c r="A4033" i="1"/>
  <c r="B4033" i="1"/>
  <c r="C4033" i="1"/>
  <c r="F4033" i="1"/>
  <c r="K4033" i="1"/>
  <c r="A4034" i="1"/>
  <c r="B4034" i="1"/>
  <c r="C4034" i="1"/>
  <c r="F4034" i="1"/>
  <c r="K4034" i="1"/>
  <c r="A4035" i="1"/>
  <c r="B4035" i="1"/>
  <c r="C4035" i="1"/>
  <c r="F4035" i="1"/>
  <c r="K4035" i="1"/>
  <c r="A4036" i="1"/>
  <c r="B4036" i="1"/>
  <c r="C4036" i="1"/>
  <c r="F4036" i="1"/>
  <c r="K4036" i="1"/>
  <c r="A4037" i="1"/>
  <c r="B4037" i="1"/>
  <c r="C4037" i="1"/>
  <c r="F4037" i="1"/>
  <c r="K4037" i="1"/>
  <c r="A4038" i="1"/>
  <c r="B4038" i="1"/>
  <c r="C4038" i="1"/>
  <c r="F4038" i="1"/>
  <c r="K4038" i="1"/>
  <c r="A4039" i="1"/>
  <c r="B4039" i="1"/>
  <c r="C4039" i="1"/>
  <c r="F4039" i="1"/>
  <c r="K4039" i="1"/>
  <c r="A4040" i="1"/>
  <c r="F4040" i="1"/>
  <c r="K4040" i="1"/>
  <c r="A4041" i="1"/>
  <c r="F4041" i="1"/>
  <c r="K4041" i="1"/>
  <c r="A4042" i="1"/>
  <c r="F4042" i="1"/>
  <c r="K4042" i="1"/>
  <c r="A4043" i="1"/>
  <c r="F4043" i="1"/>
  <c r="K4043" i="1"/>
  <c r="A4044" i="1"/>
  <c r="F4044" i="1"/>
  <c r="K4044" i="1"/>
  <c r="A4045" i="1"/>
  <c r="F4045" i="1"/>
  <c r="K4045" i="1"/>
  <c r="A4046" i="1"/>
  <c r="B4046" i="1"/>
  <c r="C4046" i="1"/>
  <c r="F4046" i="1"/>
  <c r="K4046" i="1"/>
  <c r="A4047" i="1"/>
  <c r="B4047" i="1"/>
  <c r="C4047" i="1"/>
  <c r="F4047" i="1"/>
  <c r="K4047" i="1"/>
  <c r="A4048" i="1"/>
  <c r="B4048" i="1"/>
  <c r="C4048" i="1"/>
  <c r="F4048" i="1"/>
  <c r="K4048" i="1"/>
  <c r="A4049" i="1"/>
  <c r="B4049" i="1"/>
  <c r="C4049" i="1"/>
  <c r="F4049" i="1"/>
  <c r="K4049" i="1"/>
  <c r="A4050" i="1"/>
  <c r="B4050" i="1"/>
  <c r="C4050" i="1"/>
  <c r="F4050" i="1"/>
  <c r="A4051" i="1"/>
  <c r="B4051" i="1"/>
  <c r="C4051" i="1"/>
  <c r="F4051" i="1"/>
  <c r="K4051" i="1"/>
  <c r="A4052" i="1"/>
  <c r="B4052" i="1"/>
  <c r="C4052" i="1"/>
  <c r="F4052" i="1"/>
  <c r="K4052" i="1"/>
  <c r="A4053" i="1"/>
  <c r="B4053" i="1"/>
  <c r="C4053" i="1"/>
  <c r="F4053" i="1"/>
  <c r="K4053" i="1"/>
  <c r="A4054" i="1"/>
  <c r="B4054" i="1"/>
  <c r="C4054" i="1"/>
  <c r="F4054" i="1"/>
  <c r="K4054" i="1"/>
  <c r="A4055" i="1"/>
  <c r="B4055" i="1"/>
  <c r="C4055" i="1"/>
  <c r="F4055" i="1"/>
  <c r="K4055" i="1"/>
  <c r="A4056" i="1"/>
  <c r="B4056" i="1"/>
  <c r="C4056" i="1"/>
  <c r="F4056" i="1"/>
  <c r="K4056" i="1"/>
  <c r="A4057" i="1"/>
  <c r="B4057" i="1"/>
  <c r="C4057" i="1"/>
  <c r="F4057" i="1"/>
  <c r="A4058" i="1"/>
  <c r="B4058" i="1"/>
  <c r="C4058" i="1"/>
  <c r="F4058" i="1"/>
  <c r="A4059" i="1"/>
  <c r="B4059" i="1"/>
  <c r="C4059" i="1"/>
  <c r="F4059" i="1"/>
  <c r="K4059" i="1"/>
  <c r="A4060" i="1"/>
  <c r="B4060" i="1"/>
  <c r="C4060" i="1"/>
  <c r="F4060" i="1"/>
  <c r="K4060" i="1"/>
  <c r="A4061" i="1"/>
  <c r="B4061" i="1"/>
  <c r="C4061" i="1"/>
  <c r="F4061" i="1"/>
  <c r="K4061" i="1"/>
  <c r="A4062" i="1"/>
  <c r="B4062" i="1"/>
  <c r="C4062" i="1"/>
  <c r="F4062" i="1"/>
  <c r="K4062" i="1"/>
  <c r="A4063" i="1"/>
  <c r="B4063" i="1"/>
  <c r="C4063" i="1"/>
  <c r="F4063" i="1"/>
  <c r="K4063" i="1"/>
  <c r="A4064" i="1"/>
  <c r="B4064" i="1"/>
  <c r="C4064" i="1"/>
  <c r="F4064" i="1"/>
  <c r="K4064" i="1"/>
  <c r="A4065" i="1"/>
  <c r="B4065" i="1"/>
  <c r="C4065" i="1"/>
  <c r="F4065" i="1"/>
  <c r="K4065" i="1"/>
  <c r="A4066" i="1"/>
  <c r="B4066" i="1"/>
  <c r="C4066" i="1"/>
  <c r="F4066" i="1"/>
  <c r="K4066" i="1"/>
  <c r="A4067" i="1"/>
  <c r="B4067" i="1"/>
  <c r="C4067" i="1"/>
  <c r="F4067" i="1"/>
  <c r="K4067" i="1"/>
  <c r="A4068" i="1"/>
  <c r="B4068" i="1"/>
  <c r="C4068" i="1"/>
  <c r="F4068" i="1"/>
  <c r="K4068" i="1"/>
  <c r="A4069" i="1"/>
  <c r="B4069" i="1"/>
  <c r="C4069" i="1"/>
  <c r="F4069" i="1"/>
  <c r="K4069" i="1"/>
  <c r="A4070" i="1"/>
  <c r="B4070" i="1"/>
  <c r="C4070" i="1"/>
  <c r="F4070" i="1"/>
  <c r="K4070" i="1"/>
  <c r="A4071" i="1"/>
  <c r="B4071" i="1"/>
  <c r="C4071" i="1"/>
  <c r="F4071" i="1"/>
  <c r="K4071" i="1"/>
  <c r="A4072" i="1"/>
  <c r="B4072" i="1"/>
  <c r="C4072" i="1"/>
  <c r="F4072" i="1"/>
  <c r="K4072" i="1"/>
  <c r="A4073" i="1"/>
  <c r="B4073" i="1"/>
  <c r="C4073" i="1"/>
  <c r="F4073" i="1"/>
  <c r="K4073" i="1"/>
  <c r="A4074" i="1"/>
  <c r="B4074" i="1"/>
  <c r="C4074" i="1"/>
  <c r="F4074" i="1"/>
  <c r="K4074" i="1"/>
  <c r="A4075" i="1"/>
  <c r="B4075" i="1"/>
  <c r="C4075" i="1"/>
  <c r="F4075" i="1"/>
  <c r="K4075" i="1"/>
  <c r="A4076" i="1"/>
  <c r="B4076" i="1"/>
  <c r="C4076" i="1"/>
  <c r="F4076" i="1"/>
  <c r="K4076" i="1"/>
  <c r="A4077" i="1"/>
  <c r="B4077" i="1"/>
  <c r="C4077" i="1"/>
  <c r="F4077" i="1"/>
  <c r="K4077" i="1"/>
  <c r="A4078" i="1"/>
  <c r="B4078" i="1"/>
  <c r="C4078" i="1"/>
  <c r="F4078" i="1"/>
  <c r="K4078" i="1"/>
  <c r="A4079" i="1"/>
  <c r="B4079" i="1"/>
  <c r="C4079" i="1"/>
  <c r="F4079" i="1"/>
  <c r="K4079" i="1"/>
  <c r="A4080" i="1"/>
  <c r="B4080" i="1"/>
  <c r="C4080" i="1"/>
  <c r="F4080" i="1"/>
  <c r="K4080" i="1"/>
  <c r="A4081" i="1"/>
  <c r="F4081" i="1"/>
  <c r="K4081" i="1"/>
  <c r="A4082" i="1"/>
  <c r="B4082" i="1"/>
  <c r="C4082" i="1"/>
  <c r="F4082" i="1"/>
  <c r="K4082" i="1"/>
  <c r="A4083" i="1"/>
  <c r="B4083" i="1"/>
  <c r="C4083" i="1"/>
  <c r="F4083" i="1"/>
  <c r="K4083" i="1"/>
  <c r="A4084" i="1"/>
  <c r="B4084" i="1"/>
  <c r="C4084" i="1"/>
  <c r="F4084" i="1"/>
  <c r="K4084" i="1"/>
  <c r="A4085" i="1"/>
  <c r="B4085" i="1"/>
  <c r="C4085" i="1"/>
  <c r="F4085" i="1"/>
  <c r="K4085" i="1"/>
  <c r="A4086" i="1"/>
  <c r="B4086" i="1"/>
  <c r="C4086" i="1"/>
  <c r="F4086" i="1"/>
  <c r="K4086" i="1"/>
  <c r="A4087" i="1"/>
  <c r="B4087" i="1"/>
  <c r="C4087" i="1"/>
  <c r="F4087" i="1"/>
  <c r="K4087" i="1"/>
  <c r="A4088" i="1"/>
  <c r="B4088" i="1"/>
  <c r="C4088" i="1"/>
  <c r="F4088" i="1"/>
  <c r="K4088" i="1"/>
  <c r="A4089" i="1"/>
  <c r="B4089" i="1"/>
  <c r="C4089" i="1"/>
  <c r="F4089" i="1"/>
  <c r="K4089" i="1"/>
  <c r="A4090" i="1"/>
  <c r="B4090" i="1"/>
  <c r="C4090" i="1"/>
  <c r="F4090" i="1"/>
  <c r="K4090" i="1"/>
  <c r="A4091" i="1"/>
  <c r="B4091" i="1"/>
  <c r="C4091" i="1"/>
  <c r="F4091" i="1"/>
  <c r="K4091" i="1"/>
  <c r="A4092" i="1"/>
  <c r="B4092" i="1"/>
  <c r="C4092" i="1"/>
  <c r="F4092" i="1"/>
  <c r="K4092" i="1"/>
  <c r="A4093" i="1"/>
  <c r="B4093" i="1"/>
  <c r="C4093" i="1"/>
  <c r="F4093" i="1"/>
  <c r="K4093" i="1"/>
  <c r="A4094" i="1"/>
  <c r="B4094" i="1"/>
  <c r="C4094" i="1"/>
  <c r="F4094" i="1"/>
  <c r="K4094" i="1"/>
  <c r="A4095" i="1"/>
  <c r="B4095" i="1"/>
  <c r="C4095" i="1"/>
  <c r="F4095" i="1"/>
  <c r="K4095" i="1"/>
  <c r="A4096" i="1"/>
  <c r="B4096" i="1"/>
  <c r="C4096" i="1"/>
  <c r="F4096" i="1"/>
  <c r="K4096" i="1"/>
  <c r="A4097" i="1"/>
  <c r="B4097" i="1"/>
  <c r="C4097" i="1"/>
  <c r="F4097" i="1"/>
  <c r="K4097" i="1"/>
  <c r="A4098" i="1"/>
  <c r="B4098" i="1"/>
  <c r="C4098" i="1"/>
  <c r="F4098" i="1"/>
  <c r="K4098" i="1"/>
  <c r="A4099" i="1"/>
  <c r="B4099" i="1"/>
  <c r="C4099" i="1"/>
  <c r="F4099" i="1"/>
  <c r="K4099" i="1"/>
  <c r="A4100" i="1"/>
  <c r="B4100" i="1"/>
  <c r="C4100" i="1"/>
  <c r="F4100" i="1"/>
  <c r="K4100" i="1"/>
  <c r="A4101" i="1"/>
  <c r="B4101" i="1"/>
  <c r="C4101" i="1"/>
  <c r="F4101" i="1"/>
  <c r="K4101" i="1"/>
  <c r="A4102" i="1"/>
  <c r="B4102" i="1"/>
  <c r="C4102" i="1"/>
  <c r="F4102" i="1"/>
  <c r="K4102" i="1"/>
  <c r="A4103" i="1"/>
  <c r="B4103" i="1"/>
  <c r="C4103" i="1"/>
  <c r="F4103" i="1"/>
  <c r="K4103" i="1"/>
  <c r="A4104" i="1"/>
  <c r="B4104" i="1"/>
  <c r="C4104" i="1"/>
  <c r="F4104" i="1"/>
  <c r="A4105" i="1"/>
  <c r="B4105" i="1"/>
  <c r="C4105" i="1"/>
  <c r="F4105" i="1"/>
  <c r="K4105" i="1"/>
  <c r="A4106" i="1"/>
  <c r="B4106" i="1"/>
  <c r="C4106" i="1"/>
  <c r="F4106" i="1"/>
  <c r="K4106" i="1"/>
  <c r="A4107" i="1"/>
  <c r="B4107" i="1"/>
  <c r="C4107" i="1"/>
  <c r="F4107" i="1"/>
  <c r="K4107" i="1"/>
  <c r="A4108" i="1"/>
  <c r="B4108" i="1"/>
  <c r="C4108" i="1"/>
  <c r="F4108" i="1"/>
  <c r="K4108" i="1"/>
  <c r="A4109" i="1"/>
  <c r="B4109" i="1"/>
  <c r="C4109" i="1"/>
  <c r="F4109" i="1"/>
  <c r="K4109" i="1"/>
  <c r="A4110" i="1"/>
  <c r="B4110" i="1"/>
  <c r="C4110" i="1"/>
  <c r="F4110" i="1"/>
  <c r="K4110" i="1"/>
  <c r="A4111" i="1"/>
  <c r="B4111" i="1"/>
  <c r="C4111" i="1"/>
  <c r="F4111" i="1"/>
  <c r="K4111" i="1"/>
  <c r="A4112" i="1"/>
  <c r="B4112" i="1"/>
  <c r="C4112" i="1"/>
  <c r="F4112" i="1"/>
  <c r="K4112" i="1"/>
  <c r="A4113" i="1"/>
  <c r="B4113" i="1"/>
  <c r="C4113" i="1"/>
  <c r="F4113" i="1"/>
  <c r="K4113" i="1"/>
  <c r="A4114" i="1"/>
  <c r="B4114" i="1"/>
  <c r="C4114" i="1"/>
  <c r="F4114" i="1"/>
  <c r="K4114" i="1"/>
  <c r="A4115" i="1"/>
  <c r="B4115" i="1"/>
  <c r="C4115" i="1"/>
  <c r="F4115" i="1"/>
  <c r="K4115" i="1"/>
  <c r="A4116" i="1"/>
  <c r="B4116" i="1"/>
  <c r="C4116" i="1"/>
  <c r="F4116" i="1"/>
  <c r="A4117" i="1"/>
  <c r="B4117" i="1"/>
  <c r="C4117" i="1"/>
  <c r="F4117" i="1"/>
  <c r="K4117" i="1"/>
  <c r="A4118" i="1"/>
  <c r="B4118" i="1"/>
  <c r="C4118" i="1"/>
  <c r="F4118" i="1"/>
  <c r="K4118" i="1"/>
  <c r="A4119" i="1"/>
  <c r="B4119" i="1"/>
  <c r="C4119" i="1"/>
  <c r="F4119" i="1"/>
  <c r="K4119" i="1"/>
  <c r="A4120" i="1"/>
  <c r="B4120" i="1"/>
  <c r="C4120" i="1"/>
  <c r="F4120" i="1"/>
  <c r="K4120" i="1"/>
  <c r="A4121" i="1"/>
  <c r="B4121" i="1"/>
  <c r="C4121" i="1"/>
  <c r="F4121" i="1"/>
  <c r="K4121" i="1"/>
  <c r="A4122" i="1"/>
  <c r="B4122" i="1"/>
  <c r="C4122" i="1"/>
  <c r="F4122" i="1"/>
  <c r="K4122" i="1"/>
  <c r="A4123" i="1"/>
  <c r="B4123" i="1"/>
  <c r="C4123" i="1"/>
  <c r="F4123" i="1"/>
  <c r="K4123" i="1"/>
  <c r="A4124" i="1"/>
  <c r="B4124" i="1"/>
  <c r="C4124" i="1"/>
  <c r="F4124" i="1"/>
  <c r="K4124" i="1"/>
  <c r="A4125" i="1"/>
  <c r="B4125" i="1"/>
  <c r="C4125" i="1"/>
  <c r="F4125" i="1"/>
  <c r="A4126" i="1"/>
  <c r="B4126" i="1"/>
  <c r="C4126" i="1"/>
  <c r="F4126" i="1"/>
  <c r="A4127" i="1"/>
  <c r="B4127" i="1"/>
  <c r="C4127" i="1"/>
  <c r="F4127" i="1"/>
  <c r="A4128" i="1"/>
  <c r="F4128" i="1"/>
  <c r="K4128" i="1"/>
  <c r="A4129" i="1"/>
  <c r="F4129" i="1"/>
  <c r="K4129" i="1"/>
  <c r="A4130" i="1"/>
  <c r="B4130" i="1"/>
  <c r="C4130" i="1"/>
  <c r="F4130" i="1"/>
  <c r="K4130" i="1"/>
  <c r="A4131" i="1"/>
  <c r="B4131" i="1"/>
  <c r="C4131" i="1"/>
  <c r="F4131" i="1"/>
  <c r="K4131" i="1"/>
  <c r="A4132" i="1"/>
  <c r="B4132" i="1"/>
  <c r="C4132" i="1"/>
  <c r="F4132" i="1"/>
  <c r="K4132" i="1"/>
  <c r="A4133" i="1"/>
  <c r="B4133" i="1"/>
  <c r="C4133" i="1"/>
  <c r="F4133" i="1"/>
  <c r="K4133" i="1"/>
  <c r="A4134" i="1"/>
  <c r="B4134" i="1"/>
  <c r="C4134" i="1"/>
  <c r="F4134" i="1"/>
  <c r="K4134" i="1"/>
  <c r="A4135" i="1"/>
  <c r="B4135" i="1"/>
  <c r="C4135" i="1"/>
  <c r="F4135" i="1"/>
  <c r="K4135" i="1"/>
  <c r="A4136" i="1"/>
  <c r="F4136" i="1"/>
  <c r="K4136" i="1"/>
  <c r="A4137" i="1"/>
  <c r="F4137" i="1"/>
  <c r="K4137" i="1"/>
  <c r="A4138" i="1"/>
  <c r="F4138" i="1"/>
  <c r="K4138" i="1"/>
  <c r="A4139" i="1"/>
  <c r="F4139" i="1"/>
  <c r="K4139" i="1"/>
  <c r="A4140" i="1"/>
  <c r="F4140" i="1"/>
  <c r="K4140" i="1"/>
  <c r="A4141" i="1"/>
  <c r="B4141" i="1"/>
  <c r="C4141" i="1"/>
  <c r="F4141" i="1"/>
  <c r="K4141" i="1"/>
  <c r="A4142" i="1"/>
  <c r="B4142" i="1"/>
  <c r="C4142" i="1"/>
  <c r="F4142" i="1"/>
  <c r="K4142" i="1"/>
  <c r="A4143" i="1"/>
  <c r="B4143" i="1"/>
  <c r="C4143" i="1"/>
  <c r="F4143" i="1"/>
  <c r="K4143" i="1"/>
  <c r="A4144" i="1"/>
  <c r="B4144" i="1"/>
  <c r="C4144" i="1"/>
  <c r="F4144" i="1"/>
  <c r="K4144" i="1"/>
  <c r="A4145" i="1"/>
  <c r="B4145" i="1"/>
  <c r="C4145" i="1"/>
  <c r="F4145" i="1"/>
  <c r="K4145" i="1"/>
  <c r="A4146" i="1"/>
  <c r="B4146" i="1"/>
  <c r="C4146" i="1"/>
  <c r="F4146" i="1"/>
  <c r="K4146" i="1"/>
  <c r="A4147" i="1"/>
  <c r="B4147" i="1"/>
  <c r="C4147" i="1"/>
  <c r="F4147" i="1"/>
  <c r="K4147" i="1"/>
  <c r="A4148" i="1"/>
  <c r="B4148" i="1"/>
  <c r="C4148" i="1"/>
  <c r="F4148" i="1"/>
  <c r="K4148" i="1"/>
  <c r="A4149" i="1"/>
  <c r="B4149" i="1"/>
  <c r="C4149" i="1"/>
  <c r="F4149" i="1"/>
  <c r="K4149" i="1"/>
  <c r="A4150" i="1"/>
  <c r="B4150" i="1"/>
  <c r="C4150" i="1"/>
  <c r="F4150" i="1"/>
  <c r="K4150" i="1"/>
  <c r="A4151" i="1"/>
  <c r="B4151" i="1"/>
  <c r="C4151" i="1"/>
  <c r="F4151" i="1"/>
  <c r="K4151" i="1"/>
  <c r="A4152" i="1"/>
  <c r="B4152" i="1"/>
  <c r="C4152" i="1"/>
  <c r="F4152" i="1"/>
  <c r="K4152" i="1"/>
  <c r="A4153" i="1"/>
  <c r="B4153" i="1"/>
  <c r="C4153" i="1"/>
  <c r="F4153" i="1"/>
  <c r="K4153" i="1"/>
  <c r="A4154" i="1"/>
  <c r="B4154" i="1"/>
  <c r="C4154" i="1"/>
  <c r="F4154" i="1"/>
  <c r="K4154" i="1"/>
  <c r="A4155" i="1"/>
  <c r="F4155" i="1"/>
  <c r="K4155" i="1"/>
  <c r="A4156" i="1"/>
  <c r="B4156" i="1"/>
  <c r="C4156" i="1"/>
  <c r="F4156" i="1"/>
  <c r="K4156" i="1"/>
  <c r="A4157" i="1"/>
  <c r="B4157" i="1"/>
  <c r="C4157" i="1"/>
  <c r="F4157" i="1"/>
  <c r="K4157" i="1"/>
  <c r="A4158" i="1"/>
  <c r="B4158" i="1"/>
  <c r="C4158" i="1"/>
  <c r="F4158" i="1"/>
  <c r="K4158" i="1"/>
  <c r="A4159" i="1"/>
  <c r="B4159" i="1"/>
  <c r="C4159" i="1"/>
  <c r="F4159" i="1"/>
  <c r="K4159" i="1"/>
  <c r="A4160" i="1"/>
  <c r="B4160" i="1"/>
  <c r="C4160" i="1"/>
  <c r="F4160" i="1"/>
  <c r="K4160" i="1"/>
  <c r="A4161" i="1"/>
  <c r="F4161" i="1"/>
  <c r="K4161" i="1"/>
  <c r="A4162" i="1"/>
  <c r="B4162" i="1"/>
  <c r="C4162" i="1"/>
  <c r="F4162" i="1"/>
  <c r="A4163" i="1"/>
  <c r="B4163" i="1"/>
  <c r="C4163" i="1"/>
  <c r="F4163" i="1"/>
  <c r="A4164" i="1"/>
  <c r="B4164" i="1"/>
  <c r="C4164" i="1"/>
  <c r="F4164" i="1"/>
  <c r="K4164" i="1"/>
  <c r="A4165" i="1"/>
  <c r="B4165" i="1"/>
  <c r="C4165" i="1"/>
  <c r="F4165" i="1"/>
  <c r="K4165" i="1"/>
  <c r="A4166" i="1"/>
  <c r="B4166" i="1"/>
  <c r="C4166" i="1"/>
  <c r="F4166" i="1"/>
  <c r="A4167" i="1"/>
  <c r="B4167" i="1"/>
  <c r="C4167" i="1"/>
  <c r="F4167" i="1"/>
  <c r="A4168" i="1"/>
  <c r="B4168" i="1"/>
  <c r="C4168" i="1"/>
  <c r="F4168" i="1"/>
  <c r="A4169" i="1"/>
  <c r="B4169" i="1"/>
  <c r="C4169" i="1"/>
  <c r="F4169" i="1"/>
  <c r="A4170" i="1"/>
  <c r="B4170" i="1"/>
  <c r="C4170" i="1"/>
  <c r="F4170" i="1"/>
  <c r="K4170" i="1"/>
  <c r="A4171" i="1"/>
  <c r="B4171" i="1"/>
  <c r="C4171" i="1"/>
  <c r="F4171" i="1"/>
  <c r="K4171" i="1"/>
  <c r="A4172" i="1"/>
  <c r="B4172" i="1"/>
  <c r="C4172" i="1"/>
  <c r="F4172" i="1"/>
  <c r="K4172" i="1"/>
  <c r="A4173" i="1"/>
  <c r="B4173" i="1"/>
  <c r="C4173" i="1"/>
  <c r="F4173" i="1"/>
  <c r="A4174" i="1"/>
  <c r="B4174" i="1"/>
  <c r="C4174" i="1"/>
  <c r="F4174" i="1"/>
  <c r="K4174" i="1"/>
  <c r="A4175" i="1"/>
  <c r="B4175" i="1"/>
  <c r="C4175" i="1"/>
  <c r="F4175" i="1"/>
  <c r="K4175" i="1"/>
  <c r="A4176" i="1"/>
  <c r="B4176" i="1"/>
  <c r="C4176" i="1"/>
  <c r="F4176" i="1"/>
  <c r="K4176" i="1"/>
  <c r="A4177" i="1"/>
  <c r="B4177" i="1"/>
  <c r="C4177" i="1"/>
  <c r="F4177" i="1"/>
  <c r="K4177" i="1"/>
  <c r="A4178" i="1"/>
  <c r="B4178" i="1"/>
  <c r="C4178" i="1"/>
  <c r="F4178" i="1"/>
  <c r="K4178" i="1"/>
  <c r="A4179" i="1"/>
  <c r="B4179" i="1"/>
  <c r="C4179" i="1"/>
  <c r="F4179" i="1"/>
  <c r="A4180" i="1"/>
  <c r="B4180" i="1"/>
  <c r="C4180" i="1"/>
  <c r="F4180" i="1"/>
  <c r="K4180" i="1"/>
  <c r="A4181" i="1"/>
  <c r="B4181" i="1"/>
  <c r="C4181" i="1"/>
  <c r="F4181" i="1"/>
  <c r="A4182" i="1"/>
  <c r="B4182" i="1"/>
  <c r="C4182" i="1"/>
  <c r="F4182" i="1"/>
  <c r="K4182" i="1"/>
  <c r="A4183" i="1"/>
  <c r="F4183" i="1"/>
  <c r="K4183" i="1"/>
  <c r="A4184" i="1"/>
  <c r="F4184" i="1"/>
  <c r="K4184" i="1"/>
  <c r="A4185" i="1"/>
  <c r="F4185" i="1"/>
  <c r="K4185" i="1"/>
  <c r="A4186" i="1"/>
  <c r="B4186" i="1"/>
  <c r="C4186" i="1"/>
  <c r="F4186" i="1"/>
  <c r="K4186" i="1"/>
  <c r="A4187" i="1"/>
  <c r="B4187" i="1"/>
  <c r="C4187" i="1"/>
  <c r="F4187" i="1"/>
  <c r="A4188" i="1"/>
  <c r="B4188" i="1"/>
  <c r="C4188" i="1"/>
  <c r="F4188" i="1"/>
  <c r="K4188" i="1"/>
  <c r="A4189" i="1"/>
  <c r="B4189" i="1"/>
  <c r="C4189" i="1"/>
  <c r="F4189" i="1"/>
  <c r="K4189" i="1"/>
  <c r="A4190" i="1"/>
  <c r="B4190" i="1"/>
  <c r="C4190" i="1"/>
  <c r="F4190" i="1"/>
  <c r="A4191" i="1"/>
  <c r="B4191" i="1"/>
  <c r="C4191" i="1"/>
  <c r="F4191" i="1"/>
  <c r="K4191" i="1"/>
  <c r="A4192" i="1"/>
  <c r="B4192" i="1"/>
  <c r="C4192" i="1"/>
  <c r="F4192" i="1"/>
  <c r="K4192" i="1"/>
  <c r="A4193" i="1"/>
  <c r="B4193" i="1"/>
  <c r="C4193" i="1"/>
  <c r="F4193" i="1"/>
  <c r="K4193" i="1"/>
  <c r="A4194" i="1"/>
  <c r="B4194" i="1"/>
  <c r="C4194" i="1"/>
  <c r="F4194" i="1"/>
  <c r="K4194" i="1"/>
  <c r="A4195" i="1"/>
  <c r="B4195" i="1"/>
  <c r="C4195" i="1"/>
  <c r="F4195" i="1"/>
  <c r="K4195" i="1"/>
  <c r="A4196" i="1"/>
  <c r="B4196" i="1"/>
  <c r="C4196" i="1"/>
  <c r="F4196" i="1"/>
  <c r="K4196" i="1"/>
  <c r="A4197" i="1"/>
  <c r="B4197" i="1"/>
  <c r="C4197" i="1"/>
  <c r="F4197" i="1"/>
  <c r="K4197" i="1"/>
  <c r="A4198" i="1"/>
  <c r="B4198" i="1"/>
  <c r="C4198" i="1"/>
  <c r="F4198" i="1"/>
  <c r="K4198" i="1"/>
  <c r="A4199" i="1"/>
  <c r="B4199" i="1"/>
  <c r="C4199" i="1"/>
  <c r="F4199" i="1"/>
  <c r="K4199" i="1"/>
  <c r="A4200" i="1"/>
  <c r="B4200" i="1"/>
  <c r="C4200" i="1"/>
  <c r="F4200" i="1"/>
  <c r="K4200" i="1"/>
  <c r="A4201" i="1"/>
  <c r="B4201" i="1"/>
  <c r="C4201" i="1"/>
  <c r="F4201" i="1"/>
  <c r="K4201" i="1"/>
  <c r="A4202" i="1"/>
  <c r="B4202" i="1"/>
  <c r="C4202" i="1"/>
  <c r="F4202" i="1"/>
  <c r="K4202" i="1"/>
  <c r="A4203" i="1"/>
  <c r="B4203" i="1"/>
  <c r="C4203" i="1"/>
  <c r="F4203" i="1"/>
  <c r="K4203" i="1"/>
  <c r="A4204" i="1"/>
  <c r="B4204" i="1"/>
  <c r="C4204" i="1"/>
  <c r="F4204" i="1"/>
  <c r="K4204" i="1"/>
  <c r="A4205" i="1"/>
  <c r="B4205" i="1"/>
  <c r="C4205" i="1"/>
  <c r="F4205" i="1"/>
  <c r="K4205" i="1"/>
  <c r="A4206" i="1"/>
  <c r="B4206" i="1"/>
  <c r="C4206" i="1"/>
  <c r="F4206" i="1"/>
  <c r="K4206" i="1"/>
  <c r="A4207" i="1"/>
  <c r="B4207" i="1"/>
  <c r="C4207" i="1"/>
  <c r="F4207" i="1"/>
  <c r="K4207" i="1"/>
  <c r="A4208" i="1"/>
  <c r="B4208" i="1"/>
  <c r="C4208" i="1"/>
  <c r="F4208" i="1"/>
  <c r="K4208" i="1"/>
  <c r="A4209" i="1"/>
  <c r="B4209" i="1"/>
  <c r="C4209" i="1"/>
  <c r="F4209" i="1"/>
  <c r="K4209" i="1"/>
  <c r="A4210" i="1"/>
  <c r="F4210" i="1"/>
  <c r="K4210" i="1"/>
  <c r="A4211" i="1"/>
  <c r="B4211" i="1"/>
  <c r="C4211" i="1"/>
  <c r="F4211" i="1"/>
  <c r="K4211" i="1"/>
  <c r="A4212" i="1"/>
  <c r="B4212" i="1"/>
  <c r="C4212" i="1"/>
  <c r="F4212" i="1"/>
  <c r="K4212" i="1"/>
  <c r="A4213" i="1"/>
  <c r="B4213" i="1"/>
  <c r="C4213" i="1"/>
  <c r="F4213" i="1"/>
  <c r="K4213" i="1"/>
  <c r="A4214" i="1"/>
  <c r="B4214" i="1"/>
  <c r="C4214" i="1"/>
  <c r="F4214" i="1"/>
  <c r="K4214" i="1"/>
  <c r="A4215" i="1"/>
  <c r="B4215" i="1"/>
  <c r="C4215" i="1"/>
  <c r="F4215" i="1"/>
  <c r="K4215" i="1"/>
  <c r="A4216" i="1"/>
  <c r="F4216" i="1"/>
  <c r="K4216" i="1"/>
  <c r="A4217" i="1"/>
  <c r="B4217" i="1"/>
  <c r="C4217" i="1"/>
  <c r="F4217" i="1"/>
  <c r="K4217" i="1"/>
  <c r="A4218" i="1"/>
  <c r="B4218" i="1"/>
  <c r="C4218" i="1"/>
  <c r="F4218" i="1"/>
  <c r="K4218" i="1"/>
  <c r="A4219" i="1"/>
  <c r="B4219" i="1"/>
  <c r="C4219" i="1"/>
  <c r="F4219" i="1"/>
  <c r="K4219" i="1"/>
  <c r="A4220" i="1"/>
  <c r="B4220" i="1"/>
  <c r="C4220" i="1"/>
  <c r="F4220" i="1"/>
  <c r="K4220" i="1"/>
  <c r="A4221" i="1"/>
  <c r="B4221" i="1"/>
  <c r="C4221" i="1"/>
  <c r="F4221" i="1"/>
  <c r="K4221" i="1"/>
  <c r="A4222" i="1"/>
  <c r="B4222" i="1"/>
  <c r="C4222" i="1"/>
  <c r="F4222" i="1"/>
  <c r="K4222" i="1"/>
  <c r="A4223" i="1"/>
  <c r="B4223" i="1"/>
  <c r="C4223" i="1"/>
  <c r="F4223" i="1"/>
  <c r="K4223" i="1"/>
  <c r="A4224" i="1"/>
  <c r="B4224" i="1"/>
  <c r="C4224" i="1"/>
  <c r="F4224" i="1"/>
  <c r="K4224" i="1"/>
  <c r="A4225" i="1"/>
  <c r="B4225" i="1"/>
  <c r="C4225" i="1"/>
  <c r="F4225" i="1"/>
  <c r="K4225" i="1"/>
  <c r="A4226" i="1"/>
  <c r="B4226" i="1"/>
  <c r="C4226" i="1"/>
  <c r="F4226" i="1"/>
  <c r="K4226" i="1"/>
  <c r="A4227" i="1"/>
  <c r="B4227" i="1"/>
  <c r="C4227" i="1"/>
  <c r="F4227" i="1"/>
  <c r="K4227" i="1"/>
  <c r="A4228" i="1"/>
  <c r="B4228" i="1"/>
  <c r="C4228" i="1"/>
  <c r="F4228" i="1"/>
  <c r="K4228" i="1"/>
  <c r="A4229" i="1"/>
  <c r="B4229" i="1"/>
  <c r="C4229" i="1"/>
  <c r="F4229" i="1"/>
  <c r="K4229" i="1"/>
  <c r="A4230" i="1"/>
  <c r="B4230" i="1"/>
  <c r="C4230" i="1"/>
  <c r="F4230" i="1"/>
  <c r="K4230" i="1"/>
  <c r="A4231" i="1"/>
  <c r="F4231" i="1"/>
  <c r="K4231" i="1"/>
  <c r="A4232" i="1"/>
  <c r="F4232" i="1"/>
  <c r="K4232" i="1"/>
  <c r="A4233" i="1"/>
  <c r="F4233" i="1"/>
  <c r="K4233" i="1"/>
  <c r="A4234" i="1"/>
  <c r="F4234" i="1"/>
  <c r="K4234" i="1"/>
  <c r="A4235" i="1"/>
  <c r="F4235" i="1"/>
  <c r="K4235" i="1"/>
  <c r="A4236" i="1"/>
  <c r="F4236" i="1"/>
  <c r="K4236" i="1"/>
  <c r="A4237" i="1"/>
  <c r="B4237" i="1"/>
  <c r="C4237" i="1"/>
  <c r="F4237" i="1"/>
  <c r="K4237" i="1"/>
  <c r="A4238" i="1"/>
  <c r="B4238" i="1"/>
  <c r="C4238" i="1"/>
  <c r="F4238" i="1"/>
  <c r="K4238" i="1"/>
  <c r="A4239" i="1"/>
  <c r="B4239" i="1"/>
  <c r="C4239" i="1"/>
  <c r="F4239" i="1"/>
  <c r="K4239" i="1"/>
  <c r="A4240" i="1"/>
  <c r="B4240" i="1"/>
  <c r="C4240" i="1"/>
  <c r="F4240" i="1"/>
  <c r="K4240" i="1"/>
  <c r="A4241" i="1"/>
  <c r="B4241" i="1"/>
  <c r="C4241" i="1"/>
  <c r="F4241" i="1"/>
  <c r="K4241" i="1"/>
  <c r="A4242" i="1"/>
  <c r="B4242" i="1"/>
  <c r="C4242" i="1"/>
  <c r="F4242" i="1"/>
  <c r="K4242" i="1"/>
  <c r="A4243" i="1"/>
  <c r="B4243" i="1"/>
  <c r="C4243" i="1"/>
  <c r="F4243" i="1"/>
  <c r="K4243" i="1"/>
  <c r="A4244" i="1"/>
  <c r="B4244" i="1"/>
  <c r="C4244" i="1"/>
  <c r="F4244" i="1"/>
  <c r="K4244" i="1"/>
  <c r="A4245" i="1"/>
  <c r="B4245" i="1"/>
  <c r="C4245" i="1"/>
  <c r="F4245" i="1"/>
  <c r="K4245" i="1"/>
  <c r="A4246" i="1"/>
  <c r="B4246" i="1"/>
  <c r="C4246" i="1"/>
  <c r="F4246" i="1"/>
  <c r="K4246" i="1"/>
  <c r="A4247" i="1"/>
  <c r="B4247" i="1"/>
  <c r="C4247" i="1"/>
  <c r="F4247" i="1"/>
  <c r="K4247" i="1"/>
  <c r="A4248" i="1"/>
  <c r="B4248" i="1"/>
  <c r="C4248" i="1"/>
  <c r="F4248" i="1"/>
  <c r="K4248" i="1"/>
  <c r="A4249" i="1"/>
  <c r="B4249" i="1"/>
  <c r="C4249" i="1"/>
  <c r="F4249" i="1"/>
  <c r="K4249" i="1"/>
  <c r="A4250" i="1"/>
  <c r="B4250" i="1"/>
  <c r="C4250" i="1"/>
  <c r="F4250" i="1"/>
  <c r="K4250" i="1"/>
  <c r="A4251" i="1"/>
  <c r="B4251" i="1"/>
  <c r="C4251" i="1"/>
  <c r="F4251" i="1"/>
  <c r="K4251" i="1"/>
  <c r="A4252" i="1"/>
  <c r="B4252" i="1"/>
  <c r="C4252" i="1"/>
  <c r="F4252" i="1"/>
  <c r="K4252" i="1"/>
  <c r="A4253" i="1"/>
  <c r="B4253" i="1"/>
  <c r="C4253" i="1"/>
  <c r="F4253" i="1"/>
  <c r="K4253" i="1"/>
  <c r="A4254" i="1"/>
  <c r="B4254" i="1"/>
  <c r="C4254" i="1"/>
  <c r="F4254" i="1"/>
  <c r="K4254" i="1"/>
  <c r="A4255" i="1"/>
  <c r="B4255" i="1"/>
  <c r="C4255" i="1"/>
  <c r="F4255" i="1"/>
  <c r="K4255" i="1"/>
  <c r="A4256" i="1"/>
  <c r="B4256" i="1"/>
  <c r="C4256" i="1"/>
  <c r="F4256" i="1"/>
  <c r="K4256" i="1"/>
  <c r="A4257" i="1"/>
  <c r="B4257" i="1"/>
  <c r="C4257" i="1"/>
  <c r="F4257" i="1"/>
  <c r="K4257" i="1"/>
  <c r="A4258" i="1"/>
  <c r="B4258" i="1"/>
  <c r="C4258" i="1"/>
  <c r="F4258" i="1"/>
  <c r="K4258" i="1"/>
  <c r="A4259" i="1"/>
  <c r="B4259" i="1"/>
  <c r="C4259" i="1"/>
  <c r="F4259" i="1"/>
  <c r="K4259" i="1"/>
  <c r="A4260" i="1"/>
  <c r="B4260" i="1"/>
  <c r="C4260" i="1"/>
  <c r="F4260" i="1"/>
  <c r="K4260" i="1"/>
  <c r="A4261" i="1"/>
  <c r="B4261" i="1"/>
  <c r="C4261" i="1"/>
  <c r="F4261" i="1"/>
  <c r="A4262" i="1"/>
  <c r="B4262" i="1"/>
  <c r="C4262" i="1"/>
  <c r="F4262" i="1"/>
  <c r="K4262" i="1"/>
  <c r="A4263" i="1"/>
  <c r="B4263" i="1"/>
  <c r="C4263" i="1"/>
  <c r="F4263" i="1"/>
  <c r="K4263" i="1"/>
  <c r="A4264" i="1"/>
  <c r="B4264" i="1"/>
  <c r="C4264" i="1"/>
  <c r="F4264" i="1"/>
  <c r="K4264" i="1"/>
  <c r="A4265" i="1"/>
  <c r="B4265" i="1"/>
  <c r="C4265" i="1"/>
  <c r="F4265" i="1"/>
  <c r="K4265" i="1"/>
  <c r="A4266" i="1"/>
  <c r="B4266" i="1"/>
  <c r="C4266" i="1"/>
  <c r="F4266" i="1"/>
  <c r="K4266" i="1"/>
  <c r="A4267" i="1"/>
  <c r="B4267" i="1"/>
  <c r="C4267" i="1"/>
  <c r="F4267" i="1"/>
  <c r="K4267" i="1"/>
  <c r="A4268" i="1"/>
  <c r="B4268" i="1"/>
  <c r="C4268" i="1"/>
  <c r="F4268" i="1"/>
  <c r="A4269" i="1"/>
  <c r="B4269" i="1"/>
  <c r="C4269" i="1"/>
  <c r="F4269" i="1"/>
  <c r="A4270" i="1"/>
  <c r="B4270" i="1"/>
  <c r="C4270" i="1"/>
  <c r="F4270" i="1"/>
  <c r="K4270" i="1"/>
  <c r="A4271" i="1"/>
  <c r="B4271" i="1"/>
  <c r="C4271" i="1"/>
  <c r="F4271" i="1"/>
  <c r="K4271" i="1"/>
  <c r="A4272" i="1"/>
  <c r="B4272" i="1"/>
  <c r="C4272" i="1"/>
  <c r="F4272" i="1"/>
  <c r="K4272" i="1"/>
  <c r="A4273" i="1"/>
  <c r="B4273" i="1"/>
  <c r="C4273" i="1"/>
  <c r="F4273" i="1"/>
  <c r="K4273" i="1"/>
  <c r="A4274" i="1"/>
  <c r="B4274" i="1"/>
  <c r="C4274" i="1"/>
  <c r="F4274" i="1"/>
  <c r="K4274" i="1"/>
  <c r="A4275" i="1"/>
  <c r="B4275" i="1"/>
  <c r="C4275" i="1"/>
  <c r="F4275" i="1"/>
  <c r="K4275" i="1"/>
  <c r="A4276" i="1"/>
  <c r="B4276" i="1"/>
  <c r="C4276" i="1"/>
  <c r="F4276" i="1"/>
  <c r="K4276" i="1"/>
  <c r="A4277" i="1"/>
  <c r="B4277" i="1"/>
  <c r="C4277" i="1"/>
  <c r="F4277" i="1"/>
  <c r="K4277" i="1"/>
  <c r="A4278" i="1"/>
  <c r="B4278" i="1"/>
  <c r="C4278" i="1"/>
  <c r="F4278" i="1"/>
  <c r="A4279" i="1"/>
  <c r="B4279" i="1"/>
  <c r="C4279" i="1"/>
  <c r="F4279" i="1"/>
  <c r="K4279" i="1"/>
  <c r="A4280" i="1"/>
  <c r="B4280" i="1"/>
  <c r="C4280" i="1"/>
  <c r="F4280" i="1"/>
  <c r="K4280" i="1"/>
  <c r="A4281" i="1"/>
  <c r="B4281" i="1"/>
  <c r="C4281" i="1"/>
  <c r="F4281" i="1"/>
  <c r="K4281" i="1"/>
  <c r="A4282" i="1"/>
  <c r="B4282" i="1"/>
  <c r="C4282" i="1"/>
  <c r="F4282" i="1"/>
  <c r="K4282" i="1"/>
  <c r="A4283" i="1"/>
  <c r="B4283" i="1"/>
  <c r="C4283" i="1"/>
  <c r="F4283" i="1"/>
  <c r="K4283" i="1"/>
  <c r="A4284" i="1"/>
  <c r="B4284" i="1"/>
  <c r="C4284" i="1"/>
  <c r="F4284" i="1"/>
  <c r="K4284" i="1"/>
  <c r="A4285" i="1"/>
  <c r="B4285" i="1"/>
  <c r="C4285" i="1"/>
  <c r="F4285" i="1"/>
  <c r="K4285" i="1"/>
  <c r="A4286" i="1"/>
  <c r="B4286" i="1"/>
  <c r="C4286" i="1"/>
  <c r="F4286" i="1"/>
  <c r="K4286" i="1"/>
  <c r="A4287" i="1"/>
  <c r="B4287" i="1"/>
  <c r="C4287" i="1"/>
  <c r="F4287" i="1"/>
  <c r="K4287" i="1"/>
  <c r="A4288" i="1"/>
  <c r="B4288" i="1"/>
  <c r="C4288" i="1"/>
  <c r="F4288" i="1"/>
  <c r="K4288" i="1"/>
  <c r="A4289" i="1"/>
  <c r="B4289" i="1"/>
  <c r="C4289" i="1"/>
  <c r="F4289" i="1"/>
  <c r="K4289" i="1"/>
  <c r="A4290" i="1"/>
  <c r="B4290" i="1"/>
  <c r="C4290" i="1"/>
  <c r="F4290" i="1"/>
  <c r="K4290" i="1"/>
  <c r="A4291" i="1"/>
  <c r="B4291" i="1"/>
  <c r="C4291" i="1"/>
  <c r="F4291" i="1"/>
  <c r="K4291" i="1"/>
  <c r="A4292" i="1"/>
  <c r="B4292" i="1"/>
  <c r="C4292" i="1"/>
  <c r="F4292" i="1"/>
  <c r="K4292" i="1"/>
  <c r="A4293" i="1"/>
  <c r="B4293" i="1"/>
  <c r="C4293" i="1"/>
  <c r="F4293" i="1"/>
  <c r="K4293" i="1"/>
  <c r="A4294" i="1"/>
  <c r="B4294" i="1"/>
  <c r="C4294" i="1"/>
  <c r="F4294" i="1"/>
  <c r="K4294" i="1"/>
  <c r="A4295" i="1"/>
  <c r="B4295" i="1"/>
  <c r="C4295" i="1"/>
  <c r="F4295" i="1"/>
  <c r="K4295" i="1"/>
  <c r="A4296" i="1"/>
  <c r="B4296" i="1"/>
  <c r="C4296" i="1"/>
  <c r="F4296" i="1"/>
  <c r="K4296" i="1"/>
  <c r="A4297" i="1"/>
  <c r="B4297" i="1"/>
  <c r="C4297" i="1"/>
  <c r="F4297" i="1"/>
  <c r="K4297" i="1"/>
  <c r="A4298" i="1"/>
  <c r="B4298" i="1"/>
  <c r="C4298" i="1"/>
  <c r="F4298" i="1"/>
  <c r="K4298" i="1"/>
  <c r="A4299" i="1"/>
  <c r="B4299" i="1"/>
  <c r="C4299" i="1"/>
  <c r="F4299" i="1"/>
  <c r="K4299" i="1"/>
  <c r="A4300" i="1"/>
  <c r="B4300" i="1"/>
  <c r="C4300" i="1"/>
  <c r="F4300" i="1"/>
  <c r="K4300" i="1"/>
  <c r="A4301" i="1"/>
  <c r="B4301" i="1"/>
  <c r="C4301" i="1"/>
  <c r="F4301" i="1"/>
  <c r="K4301" i="1"/>
  <c r="A4302" i="1"/>
  <c r="B4302" i="1"/>
  <c r="C4302" i="1"/>
  <c r="F4302" i="1"/>
  <c r="K4302" i="1"/>
  <c r="A4303" i="1"/>
  <c r="B4303" i="1"/>
  <c r="C4303" i="1"/>
  <c r="F4303" i="1"/>
  <c r="K4303" i="1"/>
  <c r="A4304" i="1"/>
  <c r="B4304" i="1"/>
  <c r="C4304" i="1"/>
  <c r="F4304" i="1"/>
  <c r="K4304" i="1"/>
  <c r="A4305" i="1"/>
  <c r="B4305" i="1"/>
  <c r="C4305" i="1"/>
  <c r="F4305" i="1"/>
  <c r="K4305" i="1"/>
  <c r="A4306" i="1"/>
  <c r="B4306" i="1"/>
  <c r="C4306" i="1"/>
  <c r="F4306" i="1"/>
  <c r="K4306" i="1"/>
  <c r="A4307" i="1"/>
  <c r="B4307" i="1"/>
  <c r="C4307" i="1"/>
  <c r="F4307" i="1"/>
  <c r="K4307" i="1"/>
  <c r="A4308" i="1"/>
  <c r="B4308" i="1"/>
  <c r="C4308" i="1"/>
  <c r="F4308" i="1"/>
  <c r="K4308" i="1"/>
  <c r="A4309" i="1"/>
  <c r="B4309" i="1"/>
  <c r="C4309" i="1"/>
  <c r="F4309" i="1"/>
  <c r="K4309" i="1"/>
  <c r="A4310" i="1"/>
  <c r="B4310" i="1"/>
  <c r="C4310" i="1"/>
  <c r="F4310" i="1"/>
  <c r="K4310" i="1"/>
  <c r="A4311" i="1"/>
  <c r="B4311" i="1"/>
  <c r="C4311" i="1"/>
  <c r="F4311" i="1"/>
  <c r="K4311" i="1"/>
  <c r="A4312" i="1"/>
  <c r="B4312" i="1"/>
  <c r="C4312" i="1"/>
  <c r="F4312" i="1"/>
  <c r="K4312" i="1"/>
  <c r="A4313" i="1"/>
  <c r="B4313" i="1"/>
  <c r="C4313" i="1"/>
  <c r="F4313" i="1"/>
  <c r="K4313" i="1"/>
  <c r="A4314" i="1"/>
  <c r="F4314" i="1"/>
  <c r="K4314" i="1"/>
  <c r="A4315" i="1"/>
  <c r="B4315" i="1"/>
  <c r="C4315" i="1"/>
  <c r="F4315" i="1"/>
  <c r="K4315" i="1"/>
  <c r="A4316" i="1"/>
  <c r="B4316" i="1"/>
  <c r="C4316" i="1"/>
  <c r="F4316" i="1"/>
  <c r="K4316" i="1"/>
  <c r="A4317" i="1"/>
  <c r="B4317" i="1"/>
  <c r="C4317" i="1"/>
  <c r="F4317" i="1"/>
  <c r="K4317" i="1"/>
  <c r="A4318" i="1"/>
  <c r="B4318" i="1"/>
  <c r="C4318" i="1"/>
  <c r="F4318" i="1"/>
  <c r="K4318" i="1"/>
  <c r="A4319" i="1"/>
  <c r="B4319" i="1"/>
  <c r="C4319" i="1"/>
  <c r="F4319" i="1"/>
  <c r="K4319" i="1"/>
  <c r="A4320" i="1"/>
  <c r="B4320" i="1"/>
  <c r="C4320" i="1"/>
  <c r="F4320" i="1"/>
  <c r="K4320" i="1"/>
  <c r="A4321" i="1"/>
  <c r="B4321" i="1"/>
  <c r="C4321" i="1"/>
  <c r="F4321" i="1"/>
  <c r="K4321" i="1"/>
  <c r="A4322" i="1"/>
  <c r="B4322" i="1"/>
  <c r="C4322" i="1"/>
  <c r="F4322" i="1"/>
  <c r="K4322" i="1"/>
  <c r="A4323" i="1"/>
  <c r="B4323" i="1"/>
  <c r="C4323" i="1"/>
  <c r="F4323" i="1"/>
  <c r="K4323" i="1"/>
  <c r="A4324" i="1"/>
  <c r="B4324" i="1"/>
  <c r="C4324" i="1"/>
  <c r="F4324" i="1"/>
  <c r="K4324" i="1"/>
  <c r="A4325" i="1"/>
  <c r="B4325" i="1"/>
  <c r="C4325" i="1"/>
  <c r="F4325" i="1"/>
  <c r="K4325" i="1"/>
  <c r="A4326" i="1"/>
  <c r="B4326" i="1"/>
  <c r="C4326" i="1"/>
  <c r="F4326" i="1"/>
  <c r="K4326" i="1"/>
  <c r="A4327" i="1"/>
  <c r="B4327" i="1"/>
  <c r="C4327" i="1"/>
  <c r="F4327" i="1"/>
  <c r="K4327" i="1"/>
  <c r="A4328" i="1"/>
  <c r="B4328" i="1"/>
  <c r="C4328" i="1"/>
  <c r="F4328" i="1"/>
  <c r="K4328" i="1"/>
  <c r="A4329" i="1"/>
  <c r="B4329" i="1"/>
  <c r="C4329" i="1"/>
  <c r="F4329" i="1"/>
  <c r="K4329" i="1"/>
  <c r="A4330" i="1"/>
  <c r="B4330" i="1"/>
  <c r="C4330" i="1"/>
  <c r="F4330" i="1"/>
  <c r="A4331" i="1"/>
  <c r="B4331" i="1"/>
  <c r="C4331" i="1"/>
  <c r="F4331" i="1"/>
  <c r="A4332" i="1"/>
  <c r="B4332" i="1"/>
  <c r="C4332" i="1"/>
  <c r="F4332" i="1"/>
  <c r="K4332" i="1"/>
  <c r="A4333" i="1"/>
  <c r="B4333" i="1"/>
  <c r="C4333" i="1"/>
  <c r="F4333" i="1"/>
  <c r="K4333" i="1"/>
  <c r="A4334" i="1"/>
  <c r="B4334" i="1"/>
  <c r="C4334" i="1"/>
  <c r="F4334" i="1"/>
  <c r="K4334" i="1"/>
  <c r="A4335" i="1"/>
  <c r="B4335" i="1"/>
  <c r="C4335" i="1"/>
  <c r="F4335" i="1"/>
  <c r="K4335" i="1"/>
  <c r="A4336" i="1"/>
  <c r="B4336" i="1"/>
  <c r="C4336" i="1"/>
  <c r="F4336" i="1"/>
  <c r="K4336" i="1"/>
  <c r="A4337" i="1"/>
  <c r="B4337" i="1"/>
  <c r="C4337" i="1"/>
  <c r="F4337" i="1"/>
  <c r="K4337" i="1"/>
  <c r="A4338" i="1"/>
  <c r="B4338" i="1"/>
  <c r="C4338" i="1"/>
  <c r="F4338" i="1"/>
  <c r="K4338" i="1"/>
  <c r="A4339" i="1"/>
  <c r="B4339" i="1"/>
  <c r="C4339" i="1"/>
  <c r="F4339" i="1"/>
  <c r="K4339" i="1"/>
  <c r="A4340" i="1"/>
  <c r="B4340" i="1"/>
  <c r="C4340" i="1"/>
  <c r="F4340" i="1"/>
  <c r="K4340" i="1"/>
  <c r="A4341" i="1"/>
  <c r="B4341" i="1"/>
  <c r="C4341" i="1"/>
  <c r="F4341" i="1"/>
  <c r="K4341" i="1"/>
  <c r="A4342" i="1"/>
  <c r="B4342" i="1"/>
  <c r="C4342" i="1"/>
  <c r="F4342" i="1"/>
  <c r="K4342" i="1"/>
  <c r="A4343" i="1"/>
  <c r="B4343" i="1"/>
  <c r="C4343" i="1"/>
  <c r="F4343" i="1"/>
  <c r="K4343" i="1"/>
  <c r="A4344" i="1"/>
  <c r="B4344" i="1"/>
  <c r="C4344" i="1"/>
  <c r="F4344" i="1"/>
  <c r="K4344" i="1"/>
  <c r="A4345" i="1"/>
  <c r="B4345" i="1"/>
  <c r="C4345" i="1"/>
  <c r="F4345" i="1"/>
  <c r="K4345" i="1"/>
  <c r="A4346" i="1"/>
  <c r="B4346" i="1"/>
  <c r="C4346" i="1"/>
  <c r="F4346" i="1"/>
  <c r="K4346" i="1"/>
  <c r="A4347" i="1"/>
  <c r="B4347" i="1"/>
  <c r="C4347" i="1"/>
  <c r="F4347" i="1"/>
  <c r="K4347" i="1"/>
  <c r="A4348" i="1"/>
  <c r="B4348" i="1"/>
  <c r="C4348" i="1"/>
  <c r="F4348" i="1"/>
  <c r="K4348" i="1"/>
  <c r="A4349" i="1"/>
  <c r="F4349" i="1"/>
  <c r="K4349" i="1"/>
  <c r="A4350" i="1"/>
  <c r="B4350" i="1"/>
  <c r="C4350" i="1"/>
  <c r="F4350" i="1"/>
  <c r="K4350" i="1"/>
  <c r="A4351" i="1"/>
  <c r="B4351" i="1"/>
  <c r="C4351" i="1"/>
  <c r="F4351" i="1"/>
  <c r="K4351" i="1"/>
  <c r="A4352" i="1"/>
  <c r="B4352" i="1"/>
  <c r="C4352" i="1"/>
  <c r="F4352" i="1"/>
  <c r="K4352" i="1"/>
  <c r="A4353" i="1"/>
  <c r="B4353" i="1"/>
  <c r="C4353" i="1"/>
  <c r="F4353" i="1"/>
  <c r="K4353" i="1"/>
  <c r="A4354" i="1"/>
  <c r="B4354" i="1"/>
  <c r="C4354" i="1"/>
  <c r="F4354" i="1"/>
  <c r="K4354" i="1"/>
  <c r="A4355" i="1"/>
  <c r="B4355" i="1"/>
  <c r="C4355" i="1"/>
  <c r="F4355" i="1"/>
  <c r="K4355" i="1"/>
  <c r="A4356" i="1"/>
  <c r="B4356" i="1"/>
  <c r="C4356" i="1"/>
  <c r="F4356" i="1"/>
  <c r="K4356" i="1"/>
  <c r="A4357" i="1"/>
  <c r="B4357" i="1"/>
  <c r="C4357" i="1"/>
  <c r="F4357" i="1"/>
  <c r="K4357" i="1"/>
  <c r="A4358" i="1"/>
  <c r="B4358" i="1"/>
  <c r="C4358" i="1"/>
  <c r="F4358" i="1"/>
  <c r="K4358" i="1"/>
  <c r="A4359" i="1"/>
  <c r="B4359" i="1"/>
  <c r="C4359" i="1"/>
  <c r="F4359" i="1"/>
  <c r="K4359" i="1"/>
  <c r="A4360" i="1"/>
  <c r="B4360" i="1"/>
  <c r="C4360" i="1"/>
  <c r="F4360" i="1"/>
  <c r="K4360" i="1"/>
  <c r="A4361" i="1"/>
  <c r="B4361" i="1"/>
  <c r="C4361" i="1"/>
  <c r="F4361" i="1"/>
  <c r="K4361" i="1"/>
  <c r="A4362" i="1"/>
  <c r="B4362" i="1"/>
  <c r="C4362" i="1"/>
  <c r="F4362" i="1"/>
  <c r="K4362" i="1"/>
  <c r="A4363" i="1"/>
  <c r="B4363" i="1"/>
  <c r="C4363" i="1"/>
  <c r="F4363" i="1"/>
  <c r="K4363" i="1"/>
  <c r="A4364" i="1"/>
  <c r="B4364" i="1"/>
  <c r="C4364" i="1"/>
  <c r="F4364" i="1"/>
  <c r="K4364" i="1"/>
  <c r="A4365" i="1"/>
  <c r="B4365" i="1"/>
  <c r="C4365" i="1"/>
  <c r="F4365" i="1"/>
  <c r="K4365" i="1"/>
  <c r="A4366" i="1"/>
  <c r="B4366" i="1"/>
  <c r="C4366" i="1"/>
  <c r="F4366" i="1"/>
  <c r="K4366" i="1"/>
  <c r="A4367" i="1"/>
  <c r="B4367" i="1"/>
  <c r="C4367" i="1"/>
  <c r="F4367" i="1"/>
  <c r="K4367" i="1"/>
  <c r="A4368" i="1"/>
  <c r="B4368" i="1"/>
  <c r="C4368" i="1"/>
  <c r="F4368" i="1"/>
  <c r="K4368" i="1"/>
  <c r="A4369" i="1"/>
  <c r="B4369" i="1"/>
  <c r="C4369" i="1"/>
  <c r="F4369" i="1"/>
  <c r="A4370" i="1"/>
  <c r="B4370" i="1"/>
  <c r="C4370" i="1"/>
  <c r="F4370" i="1"/>
  <c r="A4371" i="1"/>
  <c r="B4371" i="1"/>
  <c r="C4371" i="1"/>
  <c r="F4371" i="1"/>
  <c r="A4372" i="1"/>
  <c r="B4372" i="1"/>
  <c r="C4372" i="1"/>
  <c r="F4372" i="1"/>
  <c r="A4373" i="1"/>
  <c r="B4373" i="1"/>
  <c r="C4373" i="1"/>
  <c r="F4373" i="1"/>
  <c r="A4374" i="1"/>
  <c r="B4374" i="1"/>
  <c r="C4374" i="1"/>
  <c r="F4374" i="1"/>
  <c r="A4375" i="1"/>
  <c r="B4375" i="1"/>
  <c r="C4375" i="1"/>
  <c r="F4375" i="1"/>
  <c r="A4376" i="1"/>
  <c r="B4376" i="1"/>
  <c r="C4376" i="1"/>
  <c r="F4376" i="1"/>
  <c r="A4377" i="1"/>
  <c r="B4377" i="1"/>
  <c r="C4377" i="1"/>
  <c r="F4377" i="1"/>
  <c r="A4378" i="1"/>
  <c r="B4378" i="1"/>
  <c r="C4378" i="1"/>
  <c r="F4378" i="1"/>
  <c r="A4379" i="1"/>
  <c r="B4379" i="1"/>
  <c r="C4379" i="1"/>
  <c r="F4379" i="1"/>
  <c r="A4380" i="1"/>
  <c r="B4380" i="1"/>
  <c r="C4380" i="1"/>
  <c r="F4380" i="1"/>
  <c r="A4381" i="1"/>
  <c r="B4381" i="1"/>
  <c r="C4381" i="1"/>
  <c r="F4381" i="1"/>
  <c r="A4382" i="1"/>
  <c r="B4382" i="1"/>
  <c r="C4382" i="1"/>
  <c r="F4382" i="1"/>
  <c r="A4383" i="1"/>
  <c r="B4383" i="1"/>
  <c r="C4383" i="1"/>
  <c r="F4383" i="1"/>
  <c r="A4384" i="1"/>
  <c r="B4384" i="1"/>
  <c r="C4384" i="1"/>
  <c r="F4384" i="1"/>
  <c r="A4385" i="1"/>
  <c r="B4385" i="1"/>
  <c r="C4385" i="1"/>
  <c r="F4385" i="1"/>
  <c r="A4386" i="1"/>
  <c r="B4386" i="1"/>
  <c r="C4386" i="1"/>
  <c r="F4386" i="1"/>
  <c r="A4387" i="1"/>
  <c r="B4387" i="1"/>
  <c r="C4387" i="1"/>
  <c r="F4387" i="1"/>
  <c r="A4388" i="1"/>
  <c r="B4388" i="1"/>
  <c r="C4388" i="1"/>
  <c r="F4388" i="1"/>
  <c r="A4389" i="1"/>
  <c r="B4389" i="1"/>
  <c r="C4389" i="1"/>
  <c r="F4389" i="1"/>
  <c r="A4390" i="1"/>
  <c r="B4390" i="1"/>
  <c r="C4390" i="1"/>
  <c r="F4390" i="1"/>
  <c r="A4391" i="1"/>
  <c r="B4391" i="1"/>
  <c r="C4391" i="1"/>
  <c r="F4391" i="1"/>
  <c r="A4392" i="1"/>
  <c r="B4392" i="1"/>
  <c r="C4392" i="1"/>
  <c r="F4392" i="1"/>
  <c r="A4393" i="1"/>
  <c r="B4393" i="1"/>
  <c r="C4393" i="1"/>
  <c r="F4393" i="1"/>
  <c r="A4394" i="1"/>
  <c r="B4394" i="1"/>
  <c r="C4394" i="1"/>
  <c r="F4394" i="1"/>
  <c r="A4395" i="1"/>
  <c r="B4395" i="1"/>
  <c r="C4395" i="1"/>
  <c r="F4395" i="1"/>
  <c r="A4396" i="1"/>
  <c r="B4396" i="1"/>
  <c r="C4396" i="1"/>
  <c r="F4396" i="1"/>
  <c r="A4397" i="1"/>
  <c r="B4397" i="1"/>
  <c r="C4397" i="1"/>
  <c r="F4397" i="1"/>
  <c r="A4398" i="1"/>
  <c r="B4398" i="1"/>
  <c r="C4398" i="1"/>
  <c r="F4398" i="1"/>
  <c r="A4399" i="1"/>
  <c r="B4399" i="1"/>
  <c r="C4399" i="1"/>
  <c r="F4399" i="1"/>
  <c r="A4400" i="1"/>
  <c r="B4400" i="1"/>
  <c r="C4400" i="1"/>
  <c r="F4400" i="1"/>
  <c r="A4401" i="1"/>
  <c r="B4401" i="1"/>
  <c r="C4401" i="1"/>
  <c r="F4401" i="1"/>
  <c r="A4402" i="1"/>
  <c r="B4402" i="1"/>
  <c r="C4402" i="1"/>
  <c r="F4402" i="1"/>
  <c r="A4403" i="1"/>
  <c r="B4403" i="1"/>
  <c r="C4403" i="1"/>
  <c r="F4403" i="1"/>
  <c r="A4404" i="1"/>
  <c r="B4404" i="1"/>
  <c r="C4404" i="1"/>
  <c r="F4404" i="1"/>
  <c r="A4405" i="1"/>
  <c r="B4405" i="1"/>
  <c r="C4405" i="1"/>
  <c r="F4405" i="1"/>
  <c r="A4406" i="1"/>
  <c r="B4406" i="1"/>
  <c r="C4406" i="1"/>
  <c r="F4406" i="1"/>
  <c r="A4407" i="1"/>
  <c r="B4407" i="1"/>
  <c r="C4407" i="1"/>
  <c r="F4407" i="1"/>
  <c r="A4408" i="1"/>
  <c r="B4408" i="1"/>
  <c r="C4408" i="1"/>
  <c r="F4408" i="1"/>
  <c r="A4409" i="1"/>
  <c r="B4409" i="1"/>
  <c r="C4409" i="1"/>
  <c r="F4409" i="1"/>
  <c r="A4410" i="1"/>
  <c r="B4410" i="1"/>
  <c r="C4410" i="1"/>
  <c r="F4410" i="1"/>
  <c r="A4411" i="1"/>
  <c r="B4411" i="1"/>
  <c r="C4411" i="1"/>
  <c r="F4411" i="1"/>
  <c r="A4412" i="1"/>
  <c r="B4412" i="1"/>
  <c r="C4412" i="1"/>
  <c r="F4412" i="1"/>
  <c r="A4413" i="1"/>
  <c r="B4413" i="1"/>
  <c r="C4413" i="1"/>
  <c r="F4413" i="1"/>
  <c r="A4414" i="1"/>
  <c r="B4414" i="1"/>
  <c r="C4414" i="1"/>
  <c r="F4414" i="1"/>
  <c r="A4415" i="1"/>
  <c r="B4415" i="1"/>
  <c r="C4415" i="1"/>
  <c r="F4415" i="1"/>
  <c r="A4416" i="1"/>
  <c r="B4416" i="1"/>
  <c r="C4416" i="1"/>
  <c r="F4416" i="1"/>
  <c r="A4417" i="1"/>
  <c r="B4417" i="1"/>
  <c r="C4417" i="1"/>
  <c r="F4417" i="1"/>
  <c r="A4418" i="1"/>
  <c r="B4418" i="1"/>
  <c r="C4418" i="1"/>
  <c r="F4418" i="1"/>
  <c r="A4419" i="1"/>
  <c r="B4419" i="1"/>
  <c r="C4419" i="1"/>
  <c r="F4419" i="1"/>
  <c r="A4420" i="1"/>
  <c r="B4420" i="1"/>
  <c r="C4420" i="1"/>
  <c r="F4420" i="1"/>
  <c r="A4421" i="1"/>
  <c r="B4421" i="1"/>
  <c r="C4421" i="1"/>
  <c r="F4421" i="1"/>
  <c r="A4422" i="1"/>
  <c r="B4422" i="1"/>
  <c r="C4422" i="1"/>
  <c r="F4422" i="1"/>
  <c r="A4423" i="1"/>
  <c r="F4423" i="1"/>
  <c r="A4424" i="1"/>
  <c r="F4424" i="1"/>
  <c r="A4425" i="1"/>
  <c r="F4425" i="1"/>
  <c r="A4426" i="1"/>
  <c r="F4426" i="1"/>
  <c r="A4427" i="1"/>
  <c r="B4427" i="1"/>
  <c r="C4427" i="1"/>
  <c r="F4427" i="1"/>
  <c r="A4428" i="1"/>
  <c r="B4428" i="1"/>
  <c r="C4428" i="1"/>
  <c r="F4428" i="1"/>
  <c r="A4429" i="1"/>
  <c r="B4429" i="1"/>
  <c r="C4429" i="1"/>
  <c r="F4429" i="1"/>
  <c r="A4430" i="1"/>
  <c r="B4430" i="1"/>
  <c r="C4430" i="1"/>
  <c r="F4430" i="1"/>
  <c r="A4431" i="1"/>
  <c r="B4431" i="1"/>
  <c r="C4431" i="1"/>
  <c r="F4431" i="1"/>
  <c r="A4432" i="1"/>
  <c r="B4432" i="1"/>
  <c r="C4432" i="1"/>
  <c r="F4432" i="1"/>
  <c r="A4433" i="1"/>
  <c r="B4433" i="1"/>
  <c r="C4433" i="1"/>
  <c r="F4433" i="1"/>
  <c r="A4434" i="1"/>
  <c r="B4434" i="1"/>
  <c r="C4434" i="1"/>
  <c r="F4434" i="1"/>
  <c r="A4435" i="1"/>
  <c r="B4435" i="1"/>
  <c r="C4435" i="1"/>
  <c r="F4435" i="1"/>
  <c r="A4436" i="1"/>
  <c r="B4436" i="1"/>
  <c r="C4436" i="1"/>
  <c r="F4436" i="1"/>
  <c r="A4437" i="1"/>
  <c r="B4437" i="1"/>
  <c r="C4437" i="1"/>
  <c r="F4437" i="1"/>
  <c r="A4438" i="1"/>
  <c r="B4438" i="1"/>
  <c r="C4438" i="1"/>
  <c r="F4438" i="1"/>
  <c r="A4439" i="1"/>
  <c r="B4439" i="1"/>
  <c r="C4439" i="1"/>
  <c r="F4439" i="1"/>
  <c r="A4440" i="1"/>
  <c r="B4440" i="1"/>
  <c r="C4440" i="1"/>
  <c r="F4440" i="1"/>
  <c r="A4441" i="1"/>
  <c r="B4441" i="1"/>
  <c r="C4441" i="1"/>
  <c r="F4441" i="1"/>
  <c r="A4442" i="1"/>
  <c r="B4442" i="1"/>
  <c r="C4442" i="1"/>
  <c r="F4442" i="1"/>
  <c r="A4443" i="1"/>
  <c r="B4443" i="1"/>
  <c r="C4443" i="1"/>
  <c r="F4443" i="1"/>
  <c r="A4444" i="1"/>
  <c r="B4444" i="1"/>
  <c r="C4444" i="1"/>
  <c r="F4444" i="1"/>
  <c r="A4445" i="1"/>
  <c r="B4445" i="1"/>
  <c r="C4445" i="1"/>
  <c r="F4445" i="1"/>
  <c r="A4446" i="1"/>
  <c r="B4446" i="1"/>
  <c r="C4446" i="1"/>
  <c r="F4446" i="1"/>
  <c r="A4447" i="1"/>
  <c r="B4447" i="1"/>
  <c r="C4447" i="1"/>
  <c r="F4447" i="1"/>
  <c r="A4448" i="1"/>
  <c r="B4448" i="1"/>
  <c r="C4448" i="1"/>
  <c r="F4448" i="1"/>
  <c r="A4449" i="1"/>
  <c r="B4449" i="1"/>
  <c r="C4449" i="1"/>
  <c r="F4449" i="1"/>
  <c r="A4450" i="1"/>
  <c r="B4450" i="1"/>
  <c r="C4450" i="1"/>
  <c r="F4450" i="1"/>
  <c r="A4451" i="1"/>
  <c r="B4451" i="1"/>
  <c r="C4451" i="1"/>
  <c r="F4451" i="1"/>
  <c r="A4452" i="1"/>
  <c r="B4452" i="1"/>
  <c r="C4452" i="1"/>
  <c r="F4452" i="1"/>
  <c r="A4453" i="1"/>
  <c r="B4453" i="1"/>
  <c r="C4453" i="1"/>
  <c r="F4453" i="1"/>
  <c r="A4454" i="1"/>
  <c r="B4454" i="1"/>
  <c r="C4454" i="1"/>
  <c r="F4454" i="1"/>
  <c r="A4455" i="1"/>
  <c r="B4455" i="1"/>
  <c r="C4455" i="1"/>
  <c r="F4455" i="1"/>
  <c r="A4456" i="1"/>
  <c r="B4456" i="1"/>
  <c r="C4456" i="1"/>
  <c r="F4456" i="1"/>
  <c r="A4457" i="1"/>
  <c r="B4457" i="1"/>
  <c r="C4457" i="1"/>
  <c r="F4457" i="1"/>
  <c r="A4458" i="1"/>
  <c r="B4458" i="1"/>
  <c r="C4458" i="1"/>
  <c r="F4458" i="1"/>
  <c r="A4459" i="1"/>
  <c r="B4459" i="1"/>
  <c r="C4459" i="1"/>
  <c r="F4459" i="1"/>
  <c r="A4460" i="1"/>
  <c r="B4460" i="1"/>
  <c r="C4460" i="1"/>
  <c r="F4460" i="1"/>
  <c r="A4461" i="1"/>
  <c r="B4461" i="1"/>
  <c r="C4461" i="1"/>
  <c r="F4461" i="1"/>
  <c r="A4462" i="1"/>
  <c r="B4462" i="1"/>
  <c r="C4462" i="1"/>
  <c r="F4462" i="1"/>
  <c r="A4463" i="1"/>
  <c r="B4463" i="1"/>
  <c r="C4463" i="1"/>
  <c r="F4463" i="1"/>
  <c r="A4464" i="1"/>
  <c r="B4464" i="1"/>
  <c r="C4464" i="1"/>
  <c r="F4464" i="1"/>
  <c r="A4465" i="1"/>
  <c r="B4465" i="1"/>
  <c r="C4465" i="1"/>
  <c r="F4465" i="1"/>
  <c r="A4466" i="1"/>
  <c r="B4466" i="1"/>
  <c r="C4466" i="1"/>
  <c r="F4466" i="1"/>
  <c r="A4467" i="1"/>
  <c r="B4467" i="1"/>
  <c r="C4467" i="1"/>
  <c r="F4467" i="1"/>
  <c r="A4468" i="1"/>
  <c r="B4468" i="1"/>
  <c r="C4468" i="1"/>
  <c r="F4468" i="1"/>
  <c r="A4469" i="1"/>
  <c r="B4469" i="1"/>
  <c r="C4469" i="1"/>
  <c r="F4469" i="1"/>
  <c r="A4470" i="1"/>
  <c r="B4470" i="1"/>
  <c r="C4470" i="1"/>
  <c r="F4470" i="1"/>
  <c r="A4471" i="1"/>
  <c r="B4471" i="1"/>
  <c r="C4471" i="1"/>
  <c r="F4471" i="1"/>
  <c r="A4472" i="1"/>
  <c r="B4472" i="1"/>
  <c r="C4472" i="1"/>
  <c r="F4472" i="1"/>
  <c r="A4473" i="1"/>
  <c r="B4473" i="1"/>
  <c r="C4473" i="1"/>
  <c r="F4473" i="1"/>
  <c r="A4474" i="1"/>
  <c r="B4474" i="1"/>
  <c r="C4474" i="1"/>
  <c r="F4474" i="1"/>
  <c r="A4475" i="1"/>
  <c r="B4475" i="1"/>
  <c r="C4475" i="1"/>
  <c r="F4475" i="1"/>
  <c r="A4476" i="1"/>
  <c r="B4476" i="1"/>
  <c r="C4476" i="1"/>
  <c r="F4476" i="1"/>
  <c r="A4477" i="1"/>
  <c r="B4477" i="1"/>
  <c r="C4477" i="1"/>
  <c r="F4477" i="1"/>
  <c r="A4478" i="1"/>
  <c r="B4478" i="1"/>
  <c r="C4478" i="1"/>
  <c r="F4478" i="1"/>
  <c r="A4479" i="1"/>
  <c r="B4479" i="1"/>
  <c r="C4479" i="1"/>
  <c r="F4479" i="1"/>
  <c r="A4480" i="1"/>
  <c r="B4480" i="1"/>
  <c r="C4480" i="1"/>
  <c r="F4480" i="1"/>
  <c r="A4481" i="1"/>
  <c r="B4481" i="1"/>
  <c r="C4481" i="1"/>
  <c r="F4481" i="1"/>
  <c r="A4482" i="1"/>
  <c r="B4482" i="1"/>
  <c r="C4482" i="1"/>
  <c r="F4482" i="1"/>
  <c r="A4483" i="1"/>
  <c r="B4483" i="1"/>
  <c r="C4483" i="1"/>
  <c r="F4483" i="1"/>
  <c r="A4484" i="1"/>
  <c r="B4484" i="1"/>
  <c r="C4484" i="1"/>
  <c r="F4484" i="1"/>
  <c r="A4485" i="1"/>
  <c r="B4485" i="1"/>
  <c r="C4485" i="1"/>
  <c r="F4485" i="1"/>
  <c r="A4486" i="1"/>
  <c r="B4486" i="1"/>
  <c r="C4486" i="1"/>
  <c r="F4486" i="1"/>
  <c r="A4487" i="1"/>
  <c r="B4487" i="1"/>
  <c r="C4487" i="1"/>
  <c r="F4487" i="1"/>
  <c r="A4488" i="1"/>
  <c r="B4488" i="1"/>
  <c r="C4488" i="1"/>
  <c r="F4488" i="1"/>
  <c r="A4489" i="1"/>
  <c r="B4489" i="1"/>
  <c r="C4489" i="1"/>
  <c r="F4489" i="1"/>
  <c r="A4490" i="1"/>
  <c r="B4490" i="1"/>
  <c r="C4490" i="1"/>
  <c r="F4490" i="1"/>
  <c r="A4491" i="1"/>
  <c r="B4491" i="1"/>
  <c r="C4491" i="1"/>
  <c r="F4491" i="1"/>
  <c r="A4492" i="1"/>
  <c r="B4492" i="1"/>
  <c r="C4492" i="1"/>
  <c r="F4492" i="1"/>
  <c r="A4493" i="1"/>
  <c r="B4493" i="1"/>
  <c r="C4493" i="1"/>
  <c r="F4493" i="1"/>
  <c r="A4494" i="1"/>
  <c r="B4494" i="1"/>
  <c r="C4494" i="1"/>
  <c r="F4494" i="1"/>
  <c r="A4495" i="1"/>
  <c r="B4495" i="1"/>
  <c r="C4495" i="1"/>
  <c r="F4495" i="1"/>
  <c r="A4496" i="1"/>
  <c r="B4496" i="1"/>
  <c r="C4496" i="1"/>
  <c r="F4496" i="1"/>
  <c r="A4497" i="1"/>
  <c r="B4497" i="1"/>
  <c r="C4497" i="1"/>
  <c r="F4497" i="1"/>
  <c r="A4498" i="1"/>
  <c r="B4498" i="1"/>
  <c r="C4498" i="1"/>
  <c r="F4498" i="1"/>
  <c r="A4499" i="1"/>
  <c r="B4499" i="1"/>
  <c r="C4499" i="1"/>
  <c r="F4499" i="1"/>
  <c r="A4500" i="1"/>
  <c r="B4500" i="1"/>
  <c r="C4500" i="1"/>
  <c r="F4500" i="1"/>
  <c r="A4501" i="1"/>
  <c r="B4501" i="1"/>
  <c r="C4501" i="1"/>
  <c r="F4501" i="1"/>
  <c r="A4502" i="1"/>
  <c r="B4502" i="1"/>
  <c r="C4502" i="1"/>
  <c r="F4502" i="1"/>
  <c r="A4503" i="1"/>
  <c r="B4503" i="1"/>
  <c r="C4503" i="1"/>
  <c r="F4503" i="1"/>
  <c r="A4504" i="1"/>
  <c r="B4504" i="1"/>
  <c r="C4504" i="1"/>
  <c r="F4504" i="1"/>
  <c r="A4505" i="1"/>
  <c r="B4505" i="1"/>
  <c r="C4505" i="1"/>
  <c r="F4505" i="1"/>
  <c r="A4506" i="1"/>
  <c r="B4506" i="1"/>
  <c r="C4506" i="1"/>
  <c r="F4506" i="1"/>
  <c r="A4507" i="1"/>
  <c r="B4507" i="1"/>
  <c r="C4507" i="1"/>
  <c r="F4507" i="1"/>
  <c r="A4508" i="1"/>
  <c r="B4508" i="1"/>
  <c r="C4508" i="1"/>
  <c r="F4508" i="1"/>
  <c r="A4509" i="1"/>
  <c r="B4509" i="1"/>
  <c r="C4509" i="1"/>
  <c r="F4509" i="1"/>
  <c r="A4510" i="1"/>
  <c r="B4510" i="1"/>
  <c r="C4510" i="1"/>
  <c r="F4510" i="1"/>
  <c r="A4511" i="1"/>
  <c r="B4511" i="1"/>
  <c r="C4511" i="1"/>
  <c r="F4511" i="1"/>
  <c r="A4512" i="1"/>
  <c r="B4512" i="1"/>
  <c r="C4512" i="1"/>
  <c r="F4512" i="1"/>
  <c r="A4513" i="1"/>
  <c r="B4513" i="1"/>
  <c r="C4513" i="1"/>
  <c r="F4513" i="1"/>
  <c r="A4514" i="1"/>
  <c r="B4514" i="1"/>
  <c r="C4514" i="1"/>
  <c r="F4514" i="1"/>
  <c r="A4515" i="1"/>
  <c r="B4515" i="1"/>
  <c r="C4515" i="1"/>
  <c r="F4515" i="1"/>
  <c r="A4516" i="1"/>
  <c r="B4516" i="1"/>
  <c r="C4516" i="1"/>
  <c r="F4516" i="1"/>
  <c r="A4517" i="1"/>
  <c r="B4517" i="1"/>
  <c r="C4517" i="1"/>
  <c r="F4517" i="1"/>
  <c r="A4518" i="1"/>
  <c r="B4518" i="1"/>
  <c r="C4518" i="1"/>
  <c r="F4518" i="1"/>
  <c r="A4519" i="1"/>
  <c r="B4519" i="1"/>
  <c r="C4519" i="1"/>
  <c r="F4519" i="1"/>
  <c r="A4520" i="1"/>
  <c r="B4520" i="1"/>
  <c r="C4520" i="1"/>
  <c r="F4520" i="1"/>
  <c r="A4521" i="1"/>
  <c r="B4521" i="1"/>
  <c r="C4521" i="1"/>
  <c r="F4521" i="1"/>
  <c r="A4522" i="1"/>
  <c r="B4522" i="1"/>
  <c r="C4522" i="1"/>
  <c r="F4522" i="1"/>
  <c r="A4523" i="1"/>
  <c r="B4523" i="1"/>
  <c r="C4523" i="1"/>
  <c r="F4523" i="1"/>
  <c r="A4524" i="1"/>
  <c r="B4524" i="1"/>
  <c r="C4524" i="1"/>
  <c r="F4524" i="1"/>
  <c r="A4525" i="1"/>
  <c r="B4525" i="1"/>
  <c r="C4525" i="1"/>
  <c r="F4525" i="1"/>
  <c r="A4526" i="1"/>
  <c r="B4526" i="1"/>
  <c r="C4526" i="1"/>
  <c r="F4526" i="1"/>
  <c r="A4527" i="1"/>
  <c r="B4527" i="1"/>
  <c r="C4527" i="1"/>
  <c r="F4527" i="1"/>
  <c r="A4528" i="1"/>
  <c r="B4528" i="1"/>
  <c r="C4528" i="1"/>
  <c r="F4528" i="1"/>
  <c r="A4529" i="1"/>
  <c r="B4529" i="1"/>
  <c r="C4529" i="1"/>
  <c r="F4529" i="1"/>
  <c r="A4530" i="1"/>
  <c r="B4530" i="1"/>
  <c r="C4530" i="1"/>
  <c r="F4530" i="1"/>
  <c r="A4531" i="1"/>
  <c r="B4531" i="1"/>
  <c r="C4531" i="1"/>
  <c r="F4531" i="1"/>
  <c r="A4532" i="1"/>
  <c r="B4532" i="1"/>
  <c r="C4532" i="1"/>
  <c r="F4532" i="1"/>
  <c r="A4533" i="1"/>
  <c r="B4533" i="1"/>
  <c r="C4533" i="1"/>
  <c r="F4533" i="1"/>
  <c r="A4534" i="1"/>
  <c r="B4534" i="1"/>
  <c r="C4534" i="1"/>
  <c r="F4534" i="1"/>
  <c r="A4535" i="1"/>
  <c r="B4535" i="1"/>
  <c r="C4535" i="1"/>
  <c r="F4535" i="1"/>
  <c r="A4536" i="1"/>
  <c r="B4536" i="1"/>
  <c r="C4536" i="1"/>
  <c r="F4536" i="1"/>
  <c r="A4537" i="1"/>
  <c r="B4537" i="1"/>
  <c r="C4537" i="1"/>
  <c r="F4537" i="1"/>
  <c r="A4538" i="1"/>
  <c r="B4538" i="1"/>
  <c r="C4538" i="1"/>
  <c r="F4538" i="1"/>
  <c r="A4539" i="1"/>
  <c r="B4539" i="1"/>
  <c r="C4539" i="1"/>
  <c r="F4539" i="1"/>
  <c r="A4540" i="1"/>
  <c r="B4540" i="1"/>
  <c r="C4540" i="1"/>
  <c r="F4540" i="1"/>
  <c r="A4541" i="1"/>
  <c r="B4541" i="1"/>
  <c r="C4541" i="1"/>
  <c r="F4541" i="1"/>
  <c r="A4542" i="1"/>
  <c r="B4542" i="1"/>
  <c r="C4542" i="1"/>
  <c r="F4542" i="1"/>
  <c r="A4543" i="1"/>
  <c r="B4543" i="1"/>
  <c r="C4543" i="1"/>
  <c r="F4543" i="1"/>
  <c r="A4544" i="1"/>
  <c r="B4544" i="1"/>
  <c r="C4544" i="1"/>
  <c r="F4544" i="1"/>
  <c r="A4545" i="1"/>
  <c r="B4545" i="1"/>
  <c r="C4545" i="1"/>
  <c r="F4545" i="1"/>
  <c r="A4546" i="1"/>
  <c r="B4546" i="1"/>
  <c r="C4546" i="1"/>
  <c r="F4546" i="1"/>
  <c r="A4547" i="1"/>
  <c r="B4547" i="1"/>
  <c r="C4547" i="1"/>
  <c r="F4547" i="1"/>
  <c r="A4548" i="1"/>
  <c r="B4548" i="1"/>
  <c r="C4548" i="1"/>
  <c r="F4548" i="1"/>
  <c r="A4549" i="1"/>
  <c r="B4549" i="1"/>
  <c r="C4549" i="1"/>
  <c r="F4549" i="1"/>
  <c r="A4550" i="1"/>
  <c r="B4550" i="1"/>
  <c r="C4550" i="1"/>
  <c r="F4550" i="1"/>
  <c r="A4551" i="1"/>
  <c r="B4551" i="1"/>
  <c r="C4551" i="1"/>
  <c r="F4551" i="1"/>
  <c r="A4552" i="1"/>
  <c r="B4552" i="1"/>
  <c r="C4552" i="1"/>
  <c r="F4552" i="1"/>
  <c r="A4553" i="1"/>
  <c r="B4553" i="1"/>
  <c r="C4553" i="1"/>
  <c r="F4553" i="1"/>
  <c r="A4554" i="1"/>
  <c r="B4554" i="1"/>
  <c r="C4554" i="1"/>
  <c r="F4554" i="1"/>
  <c r="A4555" i="1"/>
  <c r="B4555" i="1"/>
  <c r="C4555" i="1"/>
  <c r="F4555" i="1"/>
  <c r="A4556" i="1"/>
  <c r="B4556" i="1"/>
  <c r="C4556" i="1"/>
  <c r="F4556" i="1"/>
  <c r="A4557" i="1"/>
  <c r="B4557" i="1"/>
  <c r="C4557" i="1"/>
  <c r="F4557" i="1"/>
  <c r="A4558" i="1"/>
  <c r="B4558" i="1"/>
  <c r="C4558" i="1"/>
  <c r="F4558" i="1"/>
  <c r="A4559" i="1"/>
  <c r="B4559" i="1"/>
  <c r="C4559" i="1"/>
  <c r="F4559" i="1"/>
  <c r="A4560" i="1"/>
  <c r="B4560" i="1"/>
  <c r="C4560" i="1"/>
  <c r="F4560" i="1"/>
  <c r="A4561" i="1"/>
  <c r="B4561" i="1"/>
  <c r="C4561" i="1"/>
  <c r="F4561" i="1"/>
  <c r="A4562" i="1"/>
  <c r="B4562" i="1"/>
  <c r="C4562" i="1"/>
  <c r="F4562" i="1"/>
  <c r="A4563" i="1"/>
  <c r="B4563" i="1"/>
  <c r="C4563" i="1"/>
  <c r="F4563" i="1"/>
  <c r="A4564" i="1"/>
  <c r="B4564" i="1"/>
  <c r="C4564" i="1"/>
  <c r="F4564" i="1"/>
  <c r="A4565" i="1"/>
  <c r="B4565" i="1"/>
  <c r="C4565" i="1"/>
  <c r="F4565" i="1"/>
  <c r="A4566" i="1"/>
  <c r="B4566" i="1"/>
  <c r="C4566" i="1"/>
  <c r="F4566" i="1"/>
  <c r="A4567" i="1"/>
  <c r="B4567" i="1"/>
  <c r="C4567" i="1"/>
  <c r="F4567" i="1"/>
  <c r="A4568" i="1"/>
  <c r="B4568" i="1"/>
  <c r="C4568" i="1"/>
  <c r="F4568" i="1"/>
  <c r="A4569" i="1"/>
  <c r="B4569" i="1"/>
  <c r="C4569" i="1"/>
  <c r="F4569" i="1"/>
  <c r="A4570" i="1"/>
  <c r="B4570" i="1"/>
  <c r="C4570" i="1"/>
  <c r="F4570" i="1"/>
  <c r="A4571" i="1"/>
  <c r="B4571" i="1"/>
  <c r="C4571" i="1"/>
  <c r="F4571" i="1"/>
  <c r="A4572" i="1"/>
  <c r="B4572" i="1"/>
  <c r="C4572" i="1"/>
  <c r="F4572" i="1"/>
  <c r="A4573" i="1"/>
  <c r="B4573" i="1"/>
  <c r="C4573" i="1"/>
  <c r="F4573" i="1"/>
  <c r="A4574" i="1"/>
  <c r="B4574" i="1"/>
  <c r="C4574" i="1"/>
  <c r="F4574" i="1"/>
  <c r="A4575" i="1"/>
  <c r="B4575" i="1"/>
  <c r="C4575" i="1"/>
  <c r="F4575" i="1"/>
  <c r="A4576" i="1"/>
  <c r="B4576" i="1"/>
  <c r="C4576" i="1"/>
  <c r="F4576" i="1"/>
  <c r="A4577" i="1"/>
  <c r="B4577" i="1"/>
  <c r="C4577" i="1"/>
  <c r="F4577" i="1"/>
  <c r="A4578" i="1"/>
  <c r="B4578" i="1"/>
  <c r="C4578" i="1"/>
  <c r="F4578" i="1"/>
  <c r="A4579" i="1"/>
  <c r="B4579" i="1"/>
  <c r="C4579" i="1"/>
  <c r="F4579" i="1"/>
  <c r="A4580" i="1"/>
  <c r="B4580" i="1"/>
  <c r="C4580" i="1"/>
  <c r="F4580" i="1"/>
  <c r="A4581" i="1"/>
  <c r="B4581" i="1"/>
  <c r="C4581" i="1"/>
  <c r="F4581" i="1"/>
  <c r="A4582" i="1"/>
  <c r="B4582" i="1"/>
  <c r="C4582" i="1"/>
  <c r="F4582" i="1"/>
  <c r="A4583" i="1"/>
  <c r="B4583" i="1"/>
  <c r="C4583" i="1"/>
  <c r="F4583" i="1"/>
  <c r="A4584" i="1"/>
  <c r="B4584" i="1"/>
  <c r="C4584" i="1"/>
  <c r="F4584" i="1"/>
  <c r="A4585" i="1"/>
  <c r="B4585" i="1"/>
  <c r="C4585" i="1"/>
  <c r="F4585" i="1"/>
  <c r="A4586" i="1"/>
  <c r="B4586" i="1"/>
  <c r="C4586" i="1"/>
  <c r="F4586" i="1"/>
  <c r="A4587" i="1"/>
  <c r="B4587" i="1"/>
  <c r="C4587" i="1"/>
  <c r="F4587" i="1"/>
  <c r="A4588" i="1"/>
  <c r="B4588" i="1"/>
  <c r="C4588" i="1"/>
  <c r="F4588" i="1"/>
  <c r="A4589" i="1"/>
  <c r="B4589" i="1"/>
  <c r="C4589" i="1"/>
  <c r="F4589" i="1"/>
  <c r="A4590" i="1"/>
  <c r="B4590" i="1"/>
  <c r="C4590" i="1"/>
  <c r="F4590" i="1"/>
  <c r="A4591" i="1"/>
  <c r="B4591" i="1"/>
  <c r="C4591" i="1"/>
  <c r="F4591" i="1"/>
  <c r="A4592" i="1"/>
  <c r="B4592" i="1"/>
  <c r="C4592" i="1"/>
  <c r="F4592" i="1"/>
  <c r="A4593" i="1"/>
  <c r="B4593" i="1"/>
  <c r="C4593" i="1"/>
  <c r="F4593" i="1"/>
  <c r="A4594" i="1"/>
  <c r="B4594" i="1"/>
  <c r="C4594" i="1"/>
  <c r="F4594" i="1"/>
  <c r="A4595" i="1"/>
  <c r="B4595" i="1"/>
  <c r="C4595" i="1"/>
  <c r="F4595" i="1"/>
  <c r="A4596" i="1"/>
  <c r="B4596" i="1"/>
  <c r="C4596" i="1"/>
  <c r="F4596" i="1"/>
  <c r="A4597" i="1"/>
  <c r="B4597" i="1"/>
  <c r="C4597" i="1"/>
  <c r="F4597" i="1"/>
  <c r="A4598" i="1"/>
  <c r="B4598" i="1"/>
  <c r="C4598" i="1"/>
  <c r="F4598" i="1"/>
  <c r="A4599" i="1"/>
  <c r="B4599" i="1"/>
  <c r="C4599" i="1"/>
  <c r="F4599" i="1"/>
  <c r="A4600" i="1"/>
  <c r="B4600" i="1"/>
  <c r="C4600" i="1"/>
  <c r="F4600" i="1"/>
  <c r="A4601" i="1"/>
  <c r="B4601" i="1"/>
  <c r="C4601" i="1"/>
  <c r="F4601" i="1"/>
  <c r="A4602" i="1"/>
  <c r="B4602" i="1"/>
  <c r="C4602" i="1"/>
  <c r="F4602" i="1"/>
  <c r="A4603" i="1"/>
  <c r="B4603" i="1"/>
  <c r="C4603" i="1"/>
  <c r="F4603" i="1"/>
  <c r="A4604" i="1"/>
  <c r="B4604" i="1"/>
  <c r="C4604" i="1"/>
  <c r="F4604" i="1"/>
  <c r="A4605" i="1"/>
  <c r="B4605" i="1"/>
  <c r="C4605" i="1"/>
  <c r="F4605" i="1"/>
  <c r="A4606" i="1"/>
  <c r="B4606" i="1"/>
  <c r="C4606" i="1"/>
  <c r="F4606" i="1"/>
  <c r="A4607" i="1"/>
  <c r="B4607" i="1"/>
  <c r="C4607" i="1"/>
  <c r="F4607" i="1"/>
  <c r="A4608" i="1"/>
  <c r="B4608" i="1"/>
  <c r="C4608" i="1"/>
  <c r="F4608" i="1"/>
  <c r="A4609" i="1"/>
  <c r="B4609" i="1"/>
  <c r="C4609" i="1"/>
  <c r="F4609" i="1"/>
  <c r="A4610" i="1"/>
  <c r="B4610" i="1"/>
  <c r="C4610" i="1"/>
  <c r="F4610" i="1"/>
  <c r="A4611" i="1"/>
  <c r="B4611" i="1"/>
  <c r="C4611" i="1"/>
  <c r="F4611" i="1"/>
  <c r="A4612" i="1"/>
  <c r="B4612" i="1"/>
  <c r="C4612" i="1"/>
  <c r="F4612" i="1"/>
  <c r="A4613" i="1"/>
  <c r="B4613" i="1"/>
  <c r="C4613" i="1"/>
  <c r="F4613" i="1"/>
  <c r="A4614" i="1"/>
  <c r="B4614" i="1"/>
  <c r="C4614" i="1"/>
  <c r="F4614" i="1"/>
  <c r="A4615" i="1"/>
  <c r="B4615" i="1"/>
  <c r="C4615" i="1"/>
  <c r="F4615" i="1"/>
  <c r="A4616" i="1"/>
  <c r="F4616" i="1"/>
  <c r="A4617" i="1"/>
  <c r="B4617" i="1"/>
  <c r="C4617" i="1"/>
  <c r="F4617" i="1"/>
  <c r="A4618" i="1"/>
  <c r="B4618" i="1"/>
  <c r="C4618" i="1"/>
  <c r="F4618" i="1"/>
  <c r="A4619" i="1"/>
  <c r="B4619" i="1"/>
  <c r="C4619" i="1"/>
  <c r="F4619" i="1"/>
  <c r="A4620" i="1"/>
  <c r="B4620" i="1"/>
  <c r="C4620" i="1"/>
  <c r="F4620" i="1"/>
  <c r="A4621" i="1"/>
  <c r="B4621" i="1"/>
  <c r="C4621" i="1"/>
  <c r="F4621" i="1"/>
  <c r="A4622" i="1"/>
  <c r="B4622" i="1"/>
  <c r="C4622" i="1"/>
  <c r="F4622" i="1"/>
  <c r="A4623" i="1"/>
  <c r="B4623" i="1"/>
  <c r="C4623" i="1"/>
  <c r="F4623" i="1"/>
  <c r="A4624" i="1"/>
  <c r="B4624" i="1"/>
  <c r="C4624" i="1"/>
  <c r="F4624" i="1"/>
  <c r="A4625" i="1"/>
  <c r="B4625" i="1"/>
  <c r="C4625" i="1"/>
  <c r="F4625" i="1"/>
  <c r="A4626" i="1"/>
  <c r="B4626" i="1"/>
  <c r="C4626" i="1"/>
  <c r="F4626" i="1"/>
  <c r="A4627" i="1"/>
  <c r="B4627" i="1"/>
  <c r="C4627" i="1"/>
  <c r="F4627" i="1"/>
  <c r="A4628" i="1"/>
  <c r="B4628" i="1"/>
  <c r="C4628" i="1"/>
  <c r="F4628" i="1"/>
  <c r="A4629" i="1"/>
  <c r="B4629" i="1"/>
  <c r="C4629" i="1"/>
  <c r="F4629" i="1"/>
  <c r="A4630" i="1"/>
  <c r="B4630" i="1"/>
  <c r="C4630" i="1"/>
  <c r="F4630" i="1"/>
  <c r="A4631" i="1"/>
  <c r="B4631" i="1"/>
  <c r="C4631" i="1"/>
  <c r="F4631" i="1"/>
  <c r="A4632" i="1"/>
  <c r="B4632" i="1"/>
  <c r="C4632" i="1"/>
  <c r="F4632" i="1"/>
  <c r="A4633" i="1"/>
  <c r="B4633" i="1"/>
  <c r="C4633" i="1"/>
  <c r="F4633" i="1"/>
  <c r="A4634" i="1"/>
  <c r="B4634" i="1"/>
  <c r="C4634" i="1"/>
  <c r="F4634" i="1"/>
  <c r="A4635" i="1"/>
  <c r="B4635" i="1"/>
  <c r="C4635" i="1"/>
  <c r="F4635" i="1"/>
  <c r="A4636" i="1"/>
  <c r="B4636" i="1"/>
  <c r="C4636" i="1"/>
  <c r="F4636" i="1"/>
  <c r="A4637" i="1"/>
  <c r="B4637" i="1"/>
  <c r="C4637" i="1"/>
  <c r="F4637" i="1"/>
  <c r="A4638" i="1"/>
  <c r="B4638" i="1"/>
  <c r="C4638" i="1"/>
  <c r="F4638" i="1"/>
  <c r="A4639" i="1"/>
  <c r="B4639" i="1"/>
  <c r="C4639" i="1"/>
  <c r="F4639" i="1"/>
  <c r="A4640" i="1"/>
  <c r="B4640" i="1"/>
  <c r="C4640" i="1"/>
  <c r="F4640" i="1"/>
  <c r="A4641" i="1"/>
  <c r="B4641" i="1"/>
  <c r="C4641" i="1"/>
  <c r="F4641" i="1"/>
  <c r="A4642" i="1"/>
  <c r="B4642" i="1"/>
  <c r="C4642" i="1"/>
  <c r="F4642" i="1"/>
  <c r="A4643" i="1"/>
  <c r="B4643" i="1"/>
  <c r="C4643" i="1"/>
  <c r="F4643" i="1"/>
  <c r="A4644" i="1"/>
  <c r="B4644" i="1"/>
  <c r="C4644" i="1"/>
  <c r="F4644" i="1"/>
  <c r="A4645" i="1"/>
  <c r="B4645" i="1"/>
  <c r="C4645" i="1"/>
  <c r="F4645" i="1"/>
  <c r="A4646" i="1"/>
  <c r="B4646" i="1"/>
  <c r="C4646" i="1"/>
  <c r="F4646" i="1"/>
  <c r="A4647" i="1"/>
  <c r="B4647" i="1"/>
  <c r="C4647" i="1"/>
  <c r="F4647" i="1"/>
  <c r="A4648" i="1"/>
  <c r="B4648" i="1"/>
  <c r="C4648" i="1"/>
  <c r="F4648" i="1"/>
  <c r="A4649" i="1"/>
  <c r="B4649" i="1"/>
  <c r="C4649" i="1"/>
  <c r="F4649" i="1"/>
  <c r="A4650" i="1"/>
  <c r="B4650" i="1"/>
  <c r="C4650" i="1"/>
  <c r="F4650" i="1"/>
  <c r="A4651" i="1"/>
  <c r="B4651" i="1"/>
  <c r="C4651" i="1"/>
  <c r="F4651" i="1"/>
  <c r="A4652" i="1"/>
  <c r="B4652" i="1"/>
  <c r="C4652" i="1"/>
  <c r="F4652" i="1"/>
  <c r="A4653" i="1"/>
  <c r="B4653" i="1"/>
  <c r="C4653" i="1"/>
  <c r="F4653" i="1"/>
  <c r="A4654" i="1"/>
  <c r="B4654" i="1"/>
  <c r="C4654" i="1"/>
  <c r="F4654" i="1"/>
  <c r="A4655" i="1"/>
  <c r="B4655" i="1"/>
  <c r="C4655" i="1"/>
  <c r="F4655" i="1"/>
  <c r="A4656" i="1"/>
  <c r="B4656" i="1"/>
  <c r="C4656" i="1"/>
  <c r="F4656" i="1"/>
  <c r="A4657" i="1"/>
  <c r="B4657" i="1"/>
  <c r="C4657" i="1"/>
  <c r="F4657" i="1"/>
  <c r="A4658" i="1"/>
  <c r="B4658" i="1"/>
  <c r="C4658" i="1"/>
  <c r="F4658" i="1"/>
  <c r="A4659" i="1"/>
  <c r="B4659" i="1"/>
  <c r="C4659" i="1"/>
  <c r="F4659" i="1"/>
  <c r="A4660" i="1"/>
  <c r="B4660" i="1"/>
  <c r="C4660" i="1"/>
  <c r="F4660" i="1"/>
  <c r="A4661" i="1"/>
  <c r="B4661" i="1"/>
  <c r="C4661" i="1"/>
  <c r="F4661" i="1"/>
  <c r="A4662" i="1"/>
  <c r="B4662" i="1"/>
  <c r="C4662" i="1"/>
  <c r="F4662" i="1"/>
  <c r="A4663" i="1"/>
  <c r="B4663" i="1"/>
  <c r="C4663" i="1"/>
  <c r="F4663" i="1"/>
  <c r="A4664" i="1"/>
  <c r="B4664" i="1"/>
  <c r="C4664" i="1"/>
  <c r="F4664" i="1"/>
  <c r="A4665" i="1"/>
  <c r="B4665" i="1"/>
  <c r="C4665" i="1"/>
  <c r="F4665" i="1"/>
  <c r="A4666" i="1"/>
  <c r="B4666" i="1"/>
  <c r="C4666" i="1"/>
  <c r="F4666" i="1"/>
  <c r="A4667" i="1"/>
  <c r="B4667" i="1"/>
  <c r="C4667" i="1"/>
  <c r="F4667" i="1"/>
  <c r="A4668" i="1"/>
  <c r="B4668" i="1"/>
  <c r="C4668" i="1"/>
  <c r="F4668" i="1"/>
  <c r="A4669" i="1"/>
  <c r="B4669" i="1"/>
  <c r="C4669" i="1"/>
  <c r="F4669" i="1"/>
  <c r="A4670" i="1"/>
  <c r="B4670" i="1"/>
  <c r="C4670" i="1"/>
  <c r="F4670" i="1"/>
  <c r="A4671" i="1"/>
  <c r="B4671" i="1"/>
  <c r="C4671" i="1"/>
  <c r="F4671" i="1"/>
  <c r="A4672" i="1"/>
  <c r="B4672" i="1"/>
  <c r="C4672" i="1"/>
  <c r="F4672" i="1"/>
  <c r="A4673" i="1"/>
  <c r="B4673" i="1"/>
  <c r="C4673" i="1"/>
  <c r="F4673" i="1"/>
  <c r="K4673" i="1"/>
  <c r="A4674" i="1"/>
  <c r="B4674" i="1"/>
  <c r="C4674" i="1"/>
  <c r="F4674" i="1"/>
  <c r="K4674" i="1"/>
  <c r="A4675" i="1"/>
  <c r="B4675" i="1"/>
  <c r="C4675" i="1"/>
  <c r="F4675" i="1"/>
  <c r="K4675" i="1"/>
  <c r="A4676" i="1"/>
  <c r="B4676" i="1"/>
  <c r="C4676" i="1"/>
  <c r="F4676" i="1"/>
  <c r="K4676" i="1"/>
  <c r="A4677" i="1"/>
  <c r="B4677" i="1"/>
  <c r="C4677" i="1"/>
  <c r="F4677" i="1"/>
  <c r="K4677" i="1"/>
  <c r="A4678" i="1"/>
  <c r="B4678" i="1"/>
  <c r="C4678" i="1"/>
  <c r="F4678" i="1"/>
  <c r="K4678" i="1"/>
  <c r="A4679" i="1"/>
  <c r="B4679" i="1"/>
  <c r="C4679" i="1"/>
  <c r="F4679" i="1"/>
  <c r="K4679" i="1"/>
  <c r="A4680" i="1"/>
  <c r="B4680" i="1"/>
  <c r="C4680" i="1"/>
  <c r="F4680" i="1"/>
  <c r="K4680" i="1"/>
  <c r="A4681" i="1"/>
  <c r="F4681" i="1"/>
  <c r="K4681" i="1"/>
  <c r="A4682" i="1"/>
  <c r="B4682" i="1"/>
  <c r="C4682" i="1"/>
  <c r="F4682" i="1"/>
  <c r="K4682" i="1"/>
  <c r="A4683" i="1"/>
  <c r="F4683" i="1"/>
  <c r="K4683" i="1"/>
  <c r="A4684" i="1"/>
  <c r="F4684" i="1"/>
  <c r="K4684" i="1"/>
  <c r="A4685" i="1"/>
  <c r="B4685" i="1"/>
  <c r="C4685" i="1"/>
  <c r="F4685" i="1"/>
  <c r="K4685" i="1"/>
  <c r="A4686" i="1"/>
  <c r="B4686" i="1"/>
  <c r="C4686" i="1"/>
  <c r="F4686" i="1"/>
  <c r="K4686" i="1"/>
  <c r="A4687" i="1"/>
  <c r="B4687" i="1"/>
  <c r="C4687" i="1"/>
  <c r="F4687" i="1"/>
  <c r="A4688" i="1"/>
  <c r="B4688" i="1"/>
  <c r="C4688" i="1"/>
  <c r="F4688" i="1"/>
  <c r="A4689" i="1"/>
  <c r="B4689" i="1"/>
  <c r="C4689" i="1"/>
  <c r="F4689" i="1"/>
  <c r="K4689" i="1"/>
  <c r="A4690" i="1"/>
  <c r="B4690" i="1"/>
  <c r="C4690" i="1"/>
  <c r="F4690" i="1"/>
  <c r="K4690" i="1"/>
  <c r="A4691" i="1"/>
  <c r="B4691" i="1"/>
  <c r="C4691" i="1"/>
  <c r="F4691" i="1"/>
  <c r="K4691" i="1"/>
  <c r="A4692" i="1"/>
  <c r="B4692" i="1"/>
  <c r="C4692" i="1"/>
  <c r="F4692" i="1"/>
  <c r="K4692" i="1"/>
  <c r="A4693" i="1"/>
  <c r="B4693" i="1"/>
  <c r="C4693" i="1"/>
  <c r="F4693" i="1"/>
  <c r="K4693" i="1"/>
  <c r="A4694" i="1"/>
  <c r="B4694" i="1"/>
  <c r="C4694" i="1"/>
  <c r="F4694" i="1"/>
  <c r="K4694" i="1"/>
  <c r="A4695" i="1"/>
  <c r="B4695" i="1"/>
  <c r="C4695" i="1"/>
  <c r="F4695" i="1"/>
  <c r="K4695" i="1"/>
  <c r="A4696" i="1"/>
  <c r="B4696" i="1"/>
  <c r="C4696" i="1"/>
  <c r="F4696" i="1"/>
  <c r="K4696" i="1"/>
  <c r="A4697" i="1"/>
  <c r="B4697" i="1"/>
  <c r="C4697" i="1"/>
  <c r="F4697" i="1"/>
  <c r="K4697" i="1"/>
  <c r="A4698" i="1"/>
  <c r="B4698" i="1"/>
  <c r="C4698" i="1"/>
  <c r="F4698" i="1"/>
  <c r="K4698" i="1"/>
  <c r="A4699" i="1"/>
  <c r="B4699" i="1"/>
  <c r="C4699" i="1"/>
  <c r="F4699" i="1"/>
  <c r="A4700" i="1"/>
  <c r="B4700" i="1"/>
  <c r="C4700" i="1"/>
  <c r="F4700" i="1"/>
  <c r="A4701" i="1"/>
  <c r="B4701" i="1"/>
  <c r="C4701" i="1"/>
  <c r="F4701" i="1"/>
  <c r="K4701" i="1"/>
  <c r="A4702" i="1"/>
  <c r="B4702" i="1"/>
  <c r="C4702" i="1"/>
  <c r="F4702" i="1"/>
  <c r="K4702" i="1"/>
  <c r="A4703" i="1"/>
  <c r="B4703" i="1"/>
  <c r="C4703" i="1"/>
  <c r="F4703" i="1"/>
  <c r="K4703" i="1"/>
  <c r="A4704" i="1"/>
  <c r="B4704" i="1"/>
  <c r="C4704" i="1"/>
  <c r="F4704" i="1"/>
  <c r="K4704" i="1"/>
  <c r="A4705" i="1"/>
  <c r="B4705" i="1"/>
  <c r="C4705" i="1"/>
  <c r="F4705" i="1"/>
  <c r="K4705" i="1"/>
  <c r="A4706" i="1"/>
  <c r="B4706" i="1"/>
  <c r="C4706" i="1"/>
  <c r="F4706" i="1"/>
  <c r="K4706" i="1"/>
  <c r="A4707" i="1"/>
  <c r="B4707" i="1"/>
  <c r="C4707" i="1"/>
  <c r="F4707" i="1"/>
  <c r="K4707" i="1"/>
  <c r="A4708" i="1"/>
  <c r="B4708" i="1"/>
  <c r="C4708" i="1"/>
  <c r="F4708" i="1"/>
  <c r="K4708" i="1"/>
  <c r="A4709" i="1"/>
  <c r="B4709" i="1"/>
  <c r="C4709" i="1"/>
  <c r="F4709" i="1"/>
  <c r="K4709" i="1"/>
  <c r="A4710" i="1"/>
  <c r="B4710" i="1"/>
  <c r="C4710" i="1"/>
  <c r="F4710" i="1"/>
  <c r="K4710" i="1"/>
  <c r="A4711" i="1"/>
  <c r="B4711" i="1"/>
  <c r="C4711" i="1"/>
  <c r="F4711" i="1"/>
  <c r="K4711" i="1"/>
  <c r="A4712" i="1"/>
  <c r="B4712" i="1"/>
  <c r="C4712" i="1"/>
  <c r="F4712" i="1"/>
  <c r="K4712" i="1"/>
  <c r="A4713" i="1"/>
  <c r="B4713" i="1"/>
  <c r="C4713" i="1"/>
  <c r="F4713" i="1"/>
  <c r="K4713" i="1"/>
  <c r="A4714" i="1"/>
  <c r="B4714" i="1"/>
  <c r="C4714" i="1"/>
  <c r="F4714" i="1"/>
  <c r="K4714" i="1"/>
  <c r="A4715" i="1"/>
  <c r="B4715" i="1"/>
  <c r="C4715" i="1"/>
  <c r="F4715" i="1"/>
  <c r="K4715" i="1"/>
  <c r="A4716" i="1"/>
  <c r="B4716" i="1"/>
  <c r="C4716" i="1"/>
  <c r="F4716" i="1"/>
  <c r="K4716" i="1"/>
  <c r="A4717" i="1"/>
  <c r="B4717" i="1"/>
  <c r="C4717" i="1"/>
  <c r="F4717" i="1"/>
  <c r="K4717" i="1"/>
  <c r="A4718" i="1"/>
  <c r="B4718" i="1"/>
  <c r="C4718" i="1"/>
  <c r="F4718" i="1"/>
  <c r="K4718" i="1"/>
  <c r="A4719" i="1"/>
  <c r="F4719" i="1"/>
  <c r="K4719" i="1"/>
  <c r="A4720" i="1"/>
  <c r="F4720" i="1"/>
  <c r="K4720" i="1"/>
  <c r="A4721" i="1"/>
  <c r="F4721" i="1"/>
  <c r="K4721" i="1"/>
  <c r="A4722" i="1"/>
  <c r="F4722" i="1"/>
  <c r="K4722" i="1"/>
  <c r="A4723" i="1"/>
  <c r="F4723" i="1"/>
  <c r="K4723" i="1"/>
  <c r="A4724" i="1"/>
  <c r="B4724" i="1"/>
  <c r="C4724" i="1"/>
  <c r="F4724" i="1"/>
  <c r="K4724" i="1"/>
  <c r="A4725" i="1"/>
  <c r="B4725" i="1"/>
  <c r="C4725" i="1"/>
  <c r="F4725" i="1"/>
  <c r="K4725" i="1"/>
  <c r="A4726" i="1"/>
  <c r="B4726" i="1"/>
  <c r="C4726" i="1"/>
  <c r="F4726" i="1"/>
  <c r="A4727" i="1"/>
  <c r="B4727" i="1"/>
  <c r="C4727" i="1"/>
  <c r="F4727" i="1"/>
  <c r="K4727" i="1"/>
  <c r="A4728" i="1"/>
  <c r="B4728" i="1"/>
  <c r="C4728" i="1"/>
  <c r="F4728" i="1"/>
  <c r="K4728" i="1"/>
  <c r="A4729" i="1"/>
  <c r="B4729" i="1"/>
  <c r="C4729" i="1"/>
  <c r="F4729" i="1"/>
  <c r="K4729" i="1"/>
  <c r="A4730" i="1"/>
  <c r="B4730" i="1"/>
  <c r="C4730" i="1"/>
  <c r="F4730" i="1"/>
  <c r="K4730" i="1"/>
  <c r="A4731" i="1"/>
  <c r="B4731" i="1"/>
  <c r="C4731" i="1"/>
  <c r="F4731" i="1"/>
  <c r="K4731" i="1"/>
  <c r="A4732" i="1"/>
  <c r="B4732" i="1"/>
  <c r="C4732" i="1"/>
  <c r="F4732" i="1"/>
  <c r="K4732" i="1"/>
  <c r="A4733" i="1"/>
  <c r="B4733" i="1"/>
  <c r="C4733" i="1"/>
  <c r="F4733" i="1"/>
  <c r="K4733" i="1"/>
  <c r="A4734" i="1"/>
  <c r="B4734" i="1"/>
  <c r="C4734" i="1"/>
  <c r="F4734" i="1"/>
  <c r="K4734" i="1"/>
  <c r="A4735" i="1"/>
  <c r="B4735" i="1"/>
  <c r="C4735" i="1"/>
  <c r="F4735" i="1"/>
  <c r="K4735" i="1"/>
  <c r="A4736" i="1"/>
  <c r="B4736" i="1"/>
  <c r="C4736" i="1"/>
  <c r="F4736" i="1"/>
  <c r="K4736" i="1"/>
  <c r="A4737" i="1"/>
  <c r="B4737" i="1"/>
  <c r="C4737" i="1"/>
  <c r="F4737" i="1"/>
  <c r="K4737" i="1"/>
  <c r="A4738" i="1"/>
  <c r="B4738" i="1"/>
  <c r="C4738" i="1"/>
  <c r="F4738" i="1"/>
  <c r="K4738" i="1"/>
  <c r="A4739" i="1"/>
  <c r="B4739" i="1"/>
  <c r="C4739" i="1"/>
  <c r="F4739" i="1"/>
  <c r="K4739" i="1"/>
  <c r="A4740" i="1"/>
  <c r="B4740" i="1"/>
  <c r="C4740" i="1"/>
  <c r="F4740" i="1"/>
  <c r="K4740" i="1"/>
  <c r="A4741" i="1"/>
  <c r="B4741" i="1"/>
  <c r="C4741" i="1"/>
  <c r="F4741" i="1"/>
  <c r="K4741" i="1"/>
  <c r="A4742" i="1"/>
  <c r="B4742" i="1"/>
  <c r="C4742" i="1"/>
  <c r="F4742" i="1"/>
  <c r="K4742" i="1"/>
  <c r="A4743" i="1"/>
  <c r="B4743" i="1"/>
  <c r="C4743" i="1"/>
  <c r="F4743" i="1"/>
  <c r="K4743" i="1"/>
  <c r="A4744" i="1"/>
  <c r="B4744" i="1"/>
  <c r="C4744" i="1"/>
  <c r="F4744" i="1"/>
  <c r="K4744" i="1"/>
  <c r="A4745" i="1"/>
  <c r="B4745" i="1"/>
  <c r="C4745" i="1"/>
  <c r="F4745" i="1"/>
  <c r="K4745" i="1"/>
  <c r="A4746" i="1"/>
  <c r="B4746" i="1"/>
  <c r="C4746" i="1"/>
  <c r="F4746" i="1"/>
  <c r="A4747" i="1"/>
  <c r="B4747" i="1"/>
  <c r="C4747" i="1"/>
  <c r="F4747" i="1"/>
  <c r="K4747" i="1"/>
  <c r="A4748" i="1"/>
  <c r="B4748" i="1"/>
  <c r="C4748" i="1"/>
  <c r="F4748" i="1"/>
  <c r="K4748" i="1"/>
  <c r="A4749" i="1"/>
  <c r="B4749" i="1"/>
  <c r="C4749" i="1"/>
  <c r="F4749" i="1"/>
  <c r="K4749" i="1"/>
  <c r="A4750" i="1"/>
  <c r="B4750" i="1"/>
  <c r="C4750" i="1"/>
  <c r="F4750" i="1"/>
  <c r="K4750" i="1"/>
  <c r="A4751" i="1"/>
  <c r="B4751" i="1"/>
  <c r="C4751" i="1"/>
  <c r="F4751" i="1"/>
  <c r="K4751" i="1"/>
  <c r="A4752" i="1"/>
  <c r="B4752" i="1"/>
  <c r="C4752" i="1"/>
  <c r="F4752" i="1"/>
  <c r="K4752" i="1"/>
  <c r="A4753" i="1"/>
  <c r="B4753" i="1"/>
  <c r="C4753" i="1"/>
  <c r="F4753" i="1"/>
  <c r="K4753" i="1"/>
  <c r="A4754" i="1"/>
  <c r="B4754" i="1"/>
  <c r="C4754" i="1"/>
  <c r="F4754" i="1"/>
  <c r="K4754" i="1"/>
  <c r="A4755" i="1"/>
  <c r="B4755" i="1"/>
  <c r="C4755" i="1"/>
  <c r="F4755" i="1"/>
  <c r="K4755" i="1"/>
  <c r="A4756" i="1"/>
  <c r="B4756" i="1"/>
  <c r="C4756" i="1"/>
  <c r="F4756" i="1"/>
  <c r="K4756" i="1"/>
  <c r="A4757" i="1"/>
  <c r="B4757" i="1"/>
  <c r="C4757" i="1"/>
  <c r="F4757" i="1"/>
  <c r="K4757" i="1"/>
  <c r="A4758" i="1"/>
  <c r="B4758" i="1"/>
  <c r="C4758" i="1"/>
  <c r="F4758" i="1"/>
  <c r="K4758" i="1"/>
  <c r="A4759" i="1"/>
  <c r="B4759" i="1"/>
  <c r="C4759" i="1"/>
  <c r="F4759" i="1"/>
  <c r="K4759" i="1"/>
  <c r="A4760" i="1"/>
  <c r="B4760" i="1"/>
  <c r="C4760" i="1"/>
  <c r="F4760" i="1"/>
  <c r="A4761" i="1"/>
  <c r="B4761" i="1"/>
  <c r="C4761" i="1"/>
  <c r="F4761" i="1"/>
  <c r="K4761" i="1"/>
  <c r="A4762" i="1"/>
  <c r="B4762" i="1"/>
  <c r="C4762" i="1"/>
  <c r="F4762" i="1"/>
  <c r="K4762" i="1"/>
  <c r="A4763" i="1"/>
  <c r="B4763" i="1"/>
  <c r="C4763" i="1"/>
  <c r="F4763" i="1"/>
  <c r="K4763" i="1"/>
  <c r="A4764" i="1"/>
  <c r="B4764" i="1"/>
  <c r="C4764" i="1"/>
  <c r="F4764" i="1"/>
  <c r="K4764" i="1"/>
  <c r="A4765" i="1"/>
  <c r="B4765" i="1"/>
  <c r="C4765" i="1"/>
  <c r="F4765" i="1"/>
  <c r="K4765" i="1"/>
  <c r="A4766" i="1"/>
  <c r="B4766" i="1"/>
  <c r="C4766" i="1"/>
  <c r="F4766" i="1"/>
  <c r="K4766" i="1"/>
  <c r="A4767" i="1"/>
  <c r="F4767" i="1"/>
  <c r="K4767" i="1"/>
  <c r="A4768" i="1"/>
  <c r="F4768" i="1"/>
  <c r="K4768" i="1"/>
  <c r="A4769" i="1"/>
  <c r="F4769" i="1"/>
  <c r="K4769" i="1"/>
  <c r="A4770" i="1"/>
  <c r="B4770" i="1"/>
  <c r="C4770" i="1"/>
  <c r="F4770" i="1"/>
  <c r="K4770" i="1"/>
  <c r="A4771" i="1"/>
  <c r="B4771" i="1"/>
  <c r="C4771" i="1"/>
  <c r="F4771" i="1"/>
  <c r="K4771" i="1"/>
  <c r="A4772" i="1"/>
  <c r="B4772" i="1"/>
  <c r="C4772" i="1"/>
  <c r="F4772" i="1"/>
  <c r="K4772" i="1"/>
  <c r="A4773" i="1"/>
  <c r="B4773" i="1"/>
  <c r="C4773" i="1"/>
  <c r="F4773" i="1"/>
  <c r="K4773" i="1"/>
  <c r="A4774" i="1"/>
  <c r="F4774" i="1"/>
  <c r="K4774" i="1"/>
  <c r="A4775" i="1"/>
  <c r="B4775" i="1"/>
  <c r="C4775" i="1"/>
  <c r="F4775" i="1"/>
  <c r="K4775" i="1"/>
  <c r="A4776" i="1"/>
  <c r="B4776" i="1"/>
  <c r="C4776" i="1"/>
  <c r="F4776" i="1"/>
  <c r="K4776" i="1"/>
  <c r="A4777" i="1"/>
  <c r="B4777" i="1"/>
  <c r="C4777" i="1"/>
  <c r="F4777" i="1"/>
  <c r="K4777" i="1"/>
  <c r="A4778" i="1"/>
  <c r="B4778" i="1"/>
  <c r="C4778" i="1"/>
  <c r="F4778" i="1"/>
  <c r="K4778" i="1"/>
  <c r="A4779" i="1"/>
  <c r="B4779" i="1"/>
  <c r="C4779" i="1"/>
  <c r="F4779" i="1"/>
  <c r="K4779" i="1"/>
  <c r="A4780" i="1"/>
  <c r="B4780" i="1"/>
  <c r="C4780" i="1"/>
  <c r="F4780" i="1"/>
  <c r="K4780" i="1"/>
  <c r="A4781" i="1"/>
  <c r="B4781" i="1"/>
  <c r="C4781" i="1"/>
  <c r="F4781" i="1"/>
  <c r="K4781" i="1"/>
  <c r="A4782" i="1"/>
  <c r="B4782" i="1"/>
  <c r="C4782" i="1"/>
  <c r="F4782" i="1"/>
  <c r="K4782" i="1"/>
  <c r="A4783" i="1"/>
  <c r="B4783" i="1"/>
  <c r="C4783" i="1"/>
  <c r="F4783" i="1"/>
  <c r="K4783" i="1"/>
  <c r="A4784" i="1"/>
  <c r="B4784" i="1"/>
  <c r="C4784" i="1"/>
  <c r="F4784" i="1"/>
  <c r="K4784" i="1"/>
  <c r="A4785" i="1"/>
  <c r="B4785" i="1"/>
  <c r="C4785" i="1"/>
  <c r="F4785" i="1"/>
  <c r="K4785" i="1"/>
  <c r="A4786" i="1"/>
  <c r="B4786" i="1"/>
  <c r="C4786" i="1"/>
  <c r="F4786" i="1"/>
  <c r="K4786" i="1"/>
  <c r="A4787" i="1"/>
  <c r="B4787" i="1"/>
  <c r="C4787" i="1"/>
  <c r="F4787" i="1"/>
  <c r="K4787" i="1"/>
  <c r="A4788" i="1"/>
  <c r="B4788" i="1"/>
  <c r="C4788" i="1"/>
  <c r="F4788" i="1"/>
  <c r="K4788" i="1"/>
  <c r="A4789" i="1"/>
  <c r="B4789" i="1"/>
  <c r="C4789" i="1"/>
  <c r="F4789" i="1"/>
  <c r="K4789" i="1"/>
  <c r="A4790" i="1"/>
  <c r="B4790" i="1"/>
  <c r="C4790" i="1"/>
  <c r="F4790" i="1"/>
  <c r="K4790" i="1"/>
  <c r="A4791" i="1"/>
  <c r="B4791" i="1"/>
  <c r="C4791" i="1"/>
  <c r="F4791" i="1"/>
  <c r="K4791" i="1"/>
  <c r="A4792" i="1"/>
  <c r="B4792" i="1"/>
  <c r="C4792" i="1"/>
  <c r="F4792" i="1"/>
  <c r="A4793" i="1"/>
  <c r="B4793" i="1"/>
  <c r="C4793" i="1"/>
  <c r="F4793" i="1"/>
  <c r="K4793" i="1"/>
  <c r="A4794" i="1"/>
  <c r="B4794" i="1"/>
  <c r="C4794" i="1"/>
  <c r="F4794" i="1"/>
  <c r="K4794" i="1"/>
  <c r="A4795" i="1"/>
  <c r="B4795" i="1"/>
  <c r="C4795" i="1"/>
  <c r="F4795" i="1"/>
  <c r="K4795" i="1"/>
  <c r="A4796" i="1"/>
  <c r="B4796" i="1"/>
  <c r="C4796" i="1"/>
  <c r="F4796" i="1"/>
  <c r="A4797" i="1"/>
  <c r="B4797" i="1"/>
  <c r="C4797" i="1"/>
  <c r="F4797" i="1"/>
  <c r="K4797" i="1"/>
  <c r="A4798" i="1"/>
  <c r="B4798" i="1"/>
  <c r="C4798" i="1"/>
  <c r="F4798" i="1"/>
  <c r="K4798" i="1"/>
  <c r="A4799" i="1"/>
  <c r="B4799" i="1"/>
  <c r="C4799" i="1"/>
  <c r="F4799" i="1"/>
  <c r="K4799" i="1"/>
  <c r="A4800" i="1"/>
  <c r="B4800" i="1"/>
  <c r="C4800" i="1"/>
  <c r="F4800" i="1"/>
  <c r="K4800" i="1"/>
  <c r="A4801" i="1"/>
  <c r="B4801" i="1"/>
  <c r="C4801" i="1"/>
  <c r="F4801" i="1"/>
  <c r="K4801" i="1"/>
  <c r="A4802" i="1"/>
  <c r="B4802" i="1"/>
  <c r="C4802" i="1"/>
  <c r="F4802" i="1"/>
  <c r="K4802" i="1"/>
  <c r="A4803" i="1"/>
  <c r="B4803" i="1"/>
  <c r="C4803" i="1"/>
  <c r="F4803" i="1"/>
  <c r="K4803" i="1"/>
  <c r="A4804" i="1"/>
  <c r="B4804" i="1"/>
  <c r="C4804" i="1"/>
  <c r="F4804" i="1"/>
  <c r="K4804" i="1"/>
  <c r="A4805" i="1"/>
  <c r="B4805" i="1"/>
  <c r="C4805" i="1"/>
  <c r="F4805" i="1"/>
  <c r="K4805" i="1"/>
  <c r="A4806" i="1"/>
  <c r="B4806" i="1"/>
  <c r="C4806" i="1"/>
  <c r="F4806" i="1"/>
  <c r="K4806" i="1"/>
  <c r="A4807" i="1"/>
  <c r="B4807" i="1"/>
  <c r="C4807" i="1"/>
  <c r="F4807" i="1"/>
  <c r="K4807" i="1"/>
  <c r="A4808" i="1"/>
  <c r="B4808" i="1"/>
  <c r="C4808" i="1"/>
  <c r="F4808" i="1"/>
  <c r="K4808" i="1"/>
  <c r="A4809" i="1"/>
  <c r="B4809" i="1"/>
  <c r="C4809" i="1"/>
  <c r="F4809" i="1"/>
  <c r="K4809" i="1"/>
  <c r="A4810" i="1"/>
  <c r="B4810" i="1"/>
  <c r="C4810" i="1"/>
  <c r="F4810" i="1"/>
  <c r="K4810" i="1"/>
  <c r="A4811" i="1"/>
  <c r="B4811" i="1"/>
  <c r="C4811" i="1"/>
  <c r="F4811" i="1"/>
  <c r="K4811" i="1"/>
  <c r="A4812" i="1"/>
  <c r="B4812" i="1"/>
  <c r="C4812" i="1"/>
  <c r="F4812" i="1"/>
  <c r="K4812" i="1"/>
  <c r="A4813" i="1"/>
  <c r="B4813" i="1"/>
  <c r="C4813" i="1"/>
  <c r="F4813" i="1"/>
  <c r="K4813" i="1"/>
  <c r="A4814" i="1"/>
  <c r="B4814" i="1"/>
  <c r="C4814" i="1"/>
  <c r="F4814" i="1"/>
  <c r="K4814" i="1"/>
  <c r="A4815" i="1"/>
  <c r="B4815" i="1"/>
  <c r="C4815" i="1"/>
  <c r="F4815" i="1"/>
  <c r="K4815" i="1"/>
  <c r="A4816" i="1"/>
  <c r="B4816" i="1"/>
  <c r="C4816" i="1"/>
  <c r="F4816" i="1"/>
  <c r="K4816" i="1"/>
  <c r="A4817" i="1"/>
  <c r="B4817" i="1"/>
  <c r="C4817" i="1"/>
  <c r="F4817" i="1"/>
  <c r="K4817" i="1"/>
  <c r="A4818" i="1"/>
  <c r="B4818" i="1"/>
  <c r="C4818" i="1"/>
  <c r="F4818" i="1"/>
  <c r="K4818" i="1"/>
  <c r="A4819" i="1"/>
  <c r="B4819" i="1"/>
  <c r="C4819" i="1"/>
  <c r="F4819" i="1"/>
  <c r="K4819" i="1"/>
  <c r="A4820" i="1"/>
  <c r="B4820" i="1"/>
  <c r="C4820" i="1"/>
  <c r="F4820" i="1"/>
  <c r="K4820" i="1"/>
  <c r="A4821" i="1"/>
  <c r="B4821" i="1"/>
  <c r="C4821" i="1"/>
  <c r="F4821" i="1"/>
  <c r="K4821" i="1"/>
  <c r="A4822" i="1"/>
  <c r="B4822" i="1"/>
  <c r="C4822" i="1"/>
  <c r="F4822" i="1"/>
  <c r="K4822" i="1"/>
  <c r="A4823" i="1"/>
  <c r="B4823" i="1"/>
  <c r="C4823" i="1"/>
  <c r="F4823" i="1"/>
  <c r="K4823" i="1"/>
  <c r="A4824" i="1"/>
  <c r="B4824" i="1"/>
  <c r="C4824" i="1"/>
  <c r="F4824" i="1"/>
  <c r="K4824" i="1"/>
  <c r="A4825" i="1"/>
  <c r="B4825" i="1"/>
  <c r="C4825" i="1"/>
  <c r="F4825" i="1"/>
  <c r="K4825" i="1"/>
  <c r="A4826" i="1"/>
  <c r="B4826" i="1"/>
  <c r="C4826" i="1"/>
  <c r="F4826" i="1"/>
  <c r="K4826" i="1"/>
  <c r="A4827" i="1"/>
  <c r="B4827" i="1"/>
  <c r="C4827" i="1"/>
  <c r="F4827" i="1"/>
  <c r="K4827" i="1"/>
  <c r="A4828" i="1"/>
  <c r="B4828" i="1"/>
  <c r="C4828" i="1"/>
  <c r="F4828" i="1"/>
  <c r="K4828" i="1"/>
  <c r="A4829" i="1"/>
  <c r="B4829" i="1"/>
  <c r="C4829" i="1"/>
  <c r="F4829" i="1"/>
  <c r="K4829" i="1"/>
  <c r="A4830" i="1"/>
  <c r="B4830" i="1"/>
  <c r="C4830" i="1"/>
  <c r="F4830" i="1"/>
  <c r="A4831" i="1"/>
  <c r="B4831" i="1"/>
  <c r="C4831" i="1"/>
  <c r="F4831" i="1"/>
  <c r="K4831" i="1"/>
  <c r="A4832" i="1"/>
  <c r="B4832" i="1"/>
  <c r="C4832" i="1"/>
  <c r="F4832" i="1"/>
  <c r="A4833" i="1"/>
  <c r="B4833" i="1"/>
  <c r="C4833" i="1"/>
  <c r="F4833" i="1"/>
  <c r="K4833" i="1"/>
  <c r="A4834" i="1"/>
  <c r="B4834" i="1"/>
  <c r="C4834" i="1"/>
  <c r="F4834" i="1"/>
  <c r="A4835" i="1"/>
  <c r="B4835" i="1"/>
  <c r="C4835" i="1"/>
  <c r="F4835" i="1"/>
  <c r="K4835" i="1"/>
  <c r="A4836" i="1"/>
  <c r="B4836" i="1"/>
  <c r="C4836" i="1"/>
  <c r="F4836" i="1"/>
  <c r="K4836" i="1"/>
  <c r="A4837" i="1"/>
  <c r="B4837" i="1"/>
  <c r="C4837" i="1"/>
  <c r="F4837" i="1"/>
  <c r="K4837" i="1"/>
  <c r="A4838" i="1"/>
  <c r="B4838" i="1"/>
  <c r="C4838" i="1"/>
  <c r="F4838" i="1"/>
  <c r="K4838" i="1"/>
  <c r="A4839" i="1"/>
  <c r="F4839" i="1"/>
  <c r="K4839" i="1"/>
  <c r="A4840" i="1"/>
  <c r="B4840" i="1"/>
  <c r="C4840" i="1"/>
  <c r="F4840" i="1"/>
  <c r="K4840" i="1"/>
  <c r="A4841" i="1"/>
  <c r="F4841" i="1"/>
  <c r="K4841" i="1"/>
  <c r="A4842" i="1"/>
  <c r="B4842" i="1"/>
  <c r="C4842" i="1"/>
  <c r="F4842" i="1"/>
  <c r="K4842" i="1"/>
  <c r="A4843" i="1"/>
  <c r="B4843" i="1"/>
  <c r="C4843" i="1"/>
  <c r="F4843" i="1"/>
  <c r="K4843" i="1"/>
  <c r="A4844" i="1"/>
  <c r="B4844" i="1"/>
  <c r="C4844" i="1"/>
  <c r="F4844" i="1"/>
  <c r="K4844" i="1"/>
  <c r="A4845" i="1"/>
  <c r="B4845" i="1"/>
  <c r="C4845" i="1"/>
  <c r="F4845" i="1"/>
  <c r="K4845" i="1"/>
  <c r="A4846" i="1"/>
  <c r="F4846" i="1"/>
  <c r="K4846" i="1"/>
  <c r="A4847" i="1"/>
  <c r="F4847" i="1"/>
  <c r="K4847" i="1"/>
  <c r="A4848" i="1"/>
  <c r="F4848" i="1"/>
  <c r="K4848" i="1"/>
  <c r="A4849" i="1"/>
  <c r="B4849" i="1"/>
  <c r="C4849" i="1"/>
  <c r="F4849" i="1"/>
  <c r="K4849" i="1"/>
  <c r="A4850" i="1"/>
  <c r="B4850" i="1"/>
  <c r="C4850" i="1"/>
  <c r="F4850" i="1"/>
  <c r="K4850" i="1"/>
  <c r="A4851" i="1"/>
  <c r="B4851" i="1"/>
  <c r="C4851" i="1"/>
  <c r="F4851" i="1"/>
  <c r="K4851" i="1"/>
  <c r="A4852" i="1"/>
  <c r="B4852" i="1"/>
  <c r="C4852" i="1"/>
  <c r="F4852" i="1"/>
  <c r="K4852" i="1"/>
  <c r="A4853" i="1"/>
  <c r="B4853" i="1"/>
  <c r="C4853" i="1"/>
  <c r="F4853" i="1"/>
  <c r="K4853" i="1"/>
  <c r="A4854" i="1"/>
  <c r="B4854" i="1"/>
  <c r="C4854" i="1"/>
  <c r="F4854" i="1"/>
  <c r="K4854" i="1"/>
  <c r="A4855" i="1"/>
  <c r="B4855" i="1"/>
  <c r="C4855" i="1"/>
  <c r="F4855" i="1"/>
  <c r="K4855" i="1"/>
  <c r="A4856" i="1"/>
  <c r="B4856" i="1"/>
  <c r="C4856" i="1"/>
  <c r="F4856" i="1"/>
  <c r="K4856" i="1"/>
  <c r="A4857" i="1"/>
  <c r="B4857" i="1"/>
  <c r="C4857" i="1"/>
  <c r="F4857" i="1"/>
  <c r="K4857" i="1"/>
  <c r="A4858" i="1"/>
  <c r="B4858" i="1"/>
  <c r="C4858" i="1"/>
  <c r="F4858" i="1"/>
  <c r="K4858" i="1"/>
  <c r="A4859" i="1"/>
  <c r="B4859" i="1"/>
  <c r="C4859" i="1"/>
  <c r="F4859" i="1"/>
  <c r="K4859" i="1"/>
  <c r="A4860" i="1"/>
  <c r="B4860" i="1"/>
  <c r="C4860" i="1"/>
  <c r="F4860" i="1"/>
  <c r="K4860" i="1"/>
  <c r="A4861" i="1"/>
  <c r="B4861" i="1"/>
  <c r="C4861" i="1"/>
  <c r="F4861" i="1"/>
  <c r="K4861" i="1"/>
  <c r="A4862" i="1"/>
  <c r="B4862" i="1"/>
  <c r="C4862" i="1"/>
  <c r="F4862" i="1"/>
  <c r="K4862" i="1"/>
  <c r="A4863" i="1"/>
  <c r="B4863" i="1"/>
  <c r="C4863" i="1"/>
  <c r="F4863" i="1"/>
  <c r="K4863" i="1"/>
  <c r="A4864" i="1"/>
  <c r="F4864" i="1"/>
  <c r="K4864" i="1"/>
  <c r="A4865" i="1"/>
  <c r="F4865" i="1"/>
  <c r="A4866" i="1"/>
  <c r="B4866" i="1"/>
  <c r="C4866" i="1"/>
  <c r="F4866" i="1"/>
  <c r="K4866" i="1"/>
  <c r="A4867" i="1"/>
  <c r="B4867" i="1"/>
  <c r="C4867" i="1"/>
  <c r="F4867" i="1"/>
  <c r="K4867" i="1"/>
  <c r="A4868" i="1"/>
  <c r="B4868" i="1"/>
  <c r="C4868" i="1"/>
  <c r="F4868" i="1"/>
  <c r="K4868" i="1"/>
  <c r="A4869" i="1"/>
  <c r="B4869" i="1"/>
  <c r="C4869" i="1"/>
  <c r="F4869" i="1"/>
  <c r="K4869" i="1"/>
  <c r="A4870" i="1"/>
  <c r="B4870" i="1"/>
  <c r="C4870" i="1"/>
  <c r="F4870" i="1"/>
  <c r="K4870" i="1"/>
  <c r="A4871" i="1"/>
  <c r="B4871" i="1"/>
  <c r="C4871" i="1"/>
  <c r="F4871" i="1"/>
  <c r="K4871" i="1"/>
  <c r="A4872" i="1"/>
  <c r="B4872" i="1"/>
  <c r="C4872" i="1"/>
  <c r="F4872" i="1"/>
  <c r="K4872" i="1"/>
  <c r="A4873" i="1"/>
  <c r="B4873" i="1"/>
  <c r="C4873" i="1"/>
  <c r="F4873" i="1"/>
  <c r="K4873" i="1"/>
  <c r="A4874" i="1"/>
  <c r="B4874" i="1"/>
  <c r="C4874" i="1"/>
  <c r="F4874" i="1"/>
  <c r="K4874" i="1"/>
  <c r="A4875" i="1"/>
  <c r="B4875" i="1"/>
  <c r="C4875" i="1"/>
  <c r="F4875" i="1"/>
  <c r="K4875" i="1"/>
  <c r="A4876" i="1"/>
  <c r="B4876" i="1"/>
  <c r="C4876" i="1"/>
  <c r="F4876" i="1"/>
  <c r="K4876" i="1"/>
  <c r="A4877" i="1"/>
  <c r="B4877" i="1"/>
  <c r="C4877" i="1"/>
  <c r="F4877" i="1"/>
  <c r="K4877" i="1"/>
  <c r="A4878" i="1"/>
  <c r="B4878" i="1"/>
  <c r="C4878" i="1"/>
  <c r="F4878" i="1"/>
  <c r="K4878" i="1"/>
  <c r="A4879" i="1"/>
  <c r="B4879" i="1"/>
  <c r="C4879" i="1"/>
  <c r="F4879" i="1"/>
  <c r="K4879" i="1"/>
  <c r="A4880" i="1"/>
  <c r="B4880" i="1"/>
  <c r="C4880" i="1"/>
  <c r="F4880" i="1"/>
  <c r="K4880" i="1"/>
  <c r="A4881" i="1"/>
  <c r="B4881" i="1"/>
  <c r="C4881" i="1"/>
  <c r="F4881" i="1"/>
  <c r="K4881" i="1"/>
  <c r="A4882" i="1"/>
  <c r="B4882" i="1"/>
  <c r="C4882" i="1"/>
  <c r="F4882" i="1"/>
  <c r="K4882" i="1"/>
  <c r="A4883" i="1"/>
  <c r="B4883" i="1"/>
  <c r="C4883" i="1"/>
  <c r="F4883" i="1"/>
  <c r="K4883" i="1"/>
  <c r="A4884" i="1"/>
  <c r="B4884" i="1"/>
  <c r="C4884" i="1"/>
  <c r="F4884" i="1"/>
  <c r="K4884" i="1"/>
  <c r="A4885" i="1"/>
  <c r="B4885" i="1"/>
  <c r="C4885" i="1"/>
  <c r="F4885" i="1"/>
  <c r="K4885" i="1"/>
  <c r="A4886" i="1"/>
  <c r="B4886" i="1"/>
  <c r="C4886" i="1"/>
  <c r="F4886" i="1"/>
  <c r="K4886" i="1"/>
  <c r="A4887" i="1"/>
  <c r="B4887" i="1"/>
  <c r="C4887" i="1"/>
  <c r="F4887" i="1"/>
  <c r="K4887" i="1"/>
  <c r="A4888" i="1"/>
  <c r="B4888" i="1"/>
  <c r="C4888" i="1"/>
  <c r="F4888" i="1"/>
  <c r="K4888" i="1"/>
  <c r="A4889" i="1"/>
  <c r="B4889" i="1"/>
  <c r="C4889" i="1"/>
  <c r="F4889" i="1"/>
  <c r="K4889" i="1"/>
  <c r="A4890" i="1"/>
  <c r="B4890" i="1"/>
  <c r="C4890" i="1"/>
  <c r="F4890" i="1"/>
  <c r="K4890" i="1"/>
  <c r="A4891" i="1"/>
  <c r="B4891" i="1"/>
  <c r="C4891" i="1"/>
  <c r="F4891" i="1"/>
  <c r="K4891" i="1"/>
  <c r="A4892" i="1"/>
  <c r="B4892" i="1"/>
  <c r="C4892" i="1"/>
  <c r="F4892" i="1"/>
  <c r="K4892" i="1"/>
  <c r="A4893" i="1"/>
  <c r="B4893" i="1"/>
  <c r="C4893" i="1"/>
  <c r="F4893" i="1"/>
  <c r="K4893" i="1"/>
  <c r="A4894" i="1"/>
  <c r="B4894" i="1"/>
  <c r="C4894" i="1"/>
  <c r="F4894" i="1"/>
  <c r="K4894" i="1"/>
  <c r="A4895" i="1"/>
  <c r="F4895" i="1"/>
  <c r="K4895" i="1"/>
  <c r="A4896" i="1"/>
  <c r="F4896" i="1"/>
  <c r="K4896" i="1"/>
  <c r="A4897" i="1"/>
  <c r="B4897" i="1"/>
  <c r="C4897" i="1"/>
  <c r="F4897" i="1"/>
  <c r="K4897" i="1"/>
  <c r="A4898" i="1"/>
  <c r="B4898" i="1"/>
  <c r="C4898" i="1"/>
  <c r="F4898" i="1"/>
  <c r="K4898" i="1"/>
  <c r="A4899" i="1"/>
  <c r="B4899" i="1"/>
  <c r="C4899" i="1"/>
  <c r="F4899" i="1"/>
  <c r="K4899" i="1"/>
  <c r="A4900" i="1"/>
  <c r="B4900" i="1"/>
  <c r="C4900" i="1"/>
  <c r="F4900" i="1"/>
  <c r="K4900" i="1"/>
  <c r="A4901" i="1"/>
  <c r="B4901" i="1"/>
  <c r="C4901" i="1"/>
  <c r="F4901" i="1"/>
  <c r="K4901" i="1"/>
  <c r="A4902" i="1"/>
  <c r="B4902" i="1"/>
  <c r="C4902" i="1"/>
  <c r="F4902" i="1"/>
  <c r="K4902" i="1"/>
  <c r="A4903" i="1"/>
  <c r="B4903" i="1"/>
  <c r="C4903" i="1"/>
  <c r="F4903" i="1"/>
  <c r="A4904" i="1"/>
  <c r="F4904" i="1"/>
  <c r="K4904" i="1"/>
  <c r="A4905" i="1"/>
  <c r="B4905" i="1"/>
  <c r="C4905" i="1"/>
  <c r="F4905" i="1"/>
  <c r="K4905" i="1"/>
  <c r="A4906" i="1"/>
  <c r="B4906" i="1"/>
  <c r="C4906" i="1"/>
  <c r="F4906" i="1"/>
  <c r="K4906" i="1"/>
  <c r="A4907" i="1"/>
  <c r="F4907" i="1"/>
  <c r="K4907" i="1"/>
  <c r="A4908" i="1"/>
  <c r="F4908" i="1"/>
  <c r="K4908" i="1"/>
  <c r="A4909" i="1"/>
  <c r="F4909" i="1"/>
  <c r="K4909" i="1"/>
  <c r="A4910" i="1"/>
  <c r="F4910" i="1"/>
  <c r="K4910" i="1"/>
  <c r="A4911" i="1"/>
  <c r="F4911" i="1"/>
  <c r="K4911" i="1"/>
  <c r="A4912" i="1"/>
  <c r="B4912" i="1"/>
  <c r="C4912" i="1"/>
  <c r="F4912" i="1"/>
  <c r="K4912" i="1"/>
  <c r="A4913" i="1"/>
  <c r="B4913" i="1"/>
  <c r="C4913" i="1"/>
  <c r="F4913" i="1"/>
  <c r="K4913" i="1"/>
  <c r="A4914" i="1"/>
  <c r="F4914" i="1"/>
  <c r="K4914" i="1"/>
  <c r="A4915" i="1"/>
  <c r="F4915" i="1"/>
  <c r="K4915" i="1"/>
  <c r="A4916" i="1"/>
  <c r="B4916" i="1"/>
  <c r="C4916" i="1"/>
  <c r="F4916" i="1"/>
  <c r="K4916" i="1"/>
  <c r="A4917" i="1"/>
  <c r="F4917" i="1"/>
  <c r="K4917" i="1"/>
  <c r="A4918" i="1"/>
  <c r="B4918" i="1"/>
  <c r="C4918" i="1"/>
  <c r="F4918" i="1"/>
  <c r="K4918" i="1"/>
  <c r="A4919" i="1"/>
  <c r="B4919" i="1"/>
  <c r="C4919" i="1"/>
  <c r="F4919" i="1"/>
  <c r="K4919" i="1"/>
  <c r="A4920" i="1"/>
  <c r="B4920" i="1"/>
  <c r="C4920" i="1"/>
  <c r="F4920" i="1"/>
  <c r="K4920" i="1"/>
  <c r="A4921" i="1"/>
  <c r="B4921" i="1"/>
  <c r="C4921" i="1"/>
  <c r="F4921" i="1"/>
  <c r="K4921" i="1"/>
  <c r="A4922" i="1"/>
  <c r="B4922" i="1"/>
  <c r="C4922" i="1"/>
  <c r="F4922" i="1"/>
  <c r="K4922" i="1"/>
  <c r="A4923" i="1"/>
  <c r="B4923" i="1"/>
  <c r="C4923" i="1"/>
  <c r="F4923" i="1"/>
  <c r="K4923" i="1"/>
  <c r="A4924" i="1"/>
  <c r="B4924" i="1"/>
  <c r="C4924" i="1"/>
  <c r="F4924" i="1"/>
  <c r="K4924" i="1"/>
  <c r="A4925" i="1"/>
  <c r="B4925" i="1"/>
  <c r="C4925" i="1"/>
  <c r="F4925" i="1"/>
  <c r="K4925" i="1"/>
  <c r="A4926" i="1"/>
  <c r="B4926" i="1"/>
  <c r="C4926" i="1"/>
  <c r="F4926" i="1"/>
  <c r="K4926" i="1"/>
  <c r="A4927" i="1"/>
  <c r="B4927" i="1"/>
  <c r="C4927" i="1"/>
  <c r="F4927" i="1"/>
  <c r="K4927" i="1"/>
  <c r="A4928" i="1"/>
  <c r="B4928" i="1"/>
  <c r="C4928" i="1"/>
  <c r="F4928" i="1"/>
  <c r="A4929" i="1"/>
  <c r="B4929" i="1"/>
  <c r="C4929" i="1"/>
  <c r="F4929" i="1"/>
  <c r="K4929" i="1"/>
  <c r="A4930" i="1"/>
  <c r="B4930" i="1"/>
  <c r="C4930" i="1"/>
  <c r="F4930" i="1"/>
  <c r="K4930" i="1"/>
  <c r="A4931" i="1"/>
  <c r="B4931" i="1"/>
  <c r="C4931" i="1"/>
  <c r="F4931" i="1"/>
  <c r="K4931" i="1"/>
  <c r="A4932" i="1"/>
  <c r="B4932" i="1"/>
  <c r="C4932" i="1"/>
  <c r="F4932" i="1"/>
  <c r="K4932" i="1"/>
  <c r="A4933" i="1"/>
  <c r="F4933" i="1"/>
  <c r="K4933" i="1"/>
  <c r="A4934" i="1"/>
  <c r="B4934" i="1"/>
  <c r="C4934" i="1"/>
  <c r="F4934" i="1"/>
  <c r="K4934" i="1"/>
  <c r="A4935" i="1"/>
  <c r="B4935" i="1"/>
  <c r="C4935" i="1"/>
  <c r="F4935" i="1"/>
  <c r="K4935" i="1"/>
  <c r="A4936" i="1"/>
  <c r="B4936" i="1"/>
  <c r="C4936" i="1"/>
  <c r="F4936" i="1"/>
  <c r="K4936" i="1"/>
  <c r="A4937" i="1"/>
  <c r="B4937" i="1"/>
  <c r="C4937" i="1"/>
  <c r="F4937" i="1"/>
  <c r="K4937" i="1"/>
  <c r="A4938" i="1"/>
  <c r="B4938" i="1"/>
  <c r="C4938" i="1"/>
  <c r="F4938" i="1"/>
  <c r="K4938" i="1"/>
  <c r="A4939" i="1"/>
  <c r="F4939" i="1"/>
  <c r="K4939" i="1"/>
  <c r="A4940" i="1"/>
  <c r="F4940" i="1"/>
  <c r="K4940" i="1"/>
  <c r="A4941" i="1"/>
  <c r="F4941" i="1"/>
  <c r="K4941" i="1"/>
  <c r="A4942" i="1"/>
  <c r="B4942" i="1"/>
  <c r="C4942" i="1"/>
  <c r="F4942" i="1"/>
  <c r="A4943" i="1"/>
  <c r="B4943" i="1"/>
  <c r="C4943" i="1"/>
  <c r="F4943" i="1"/>
  <c r="K4943" i="1"/>
  <c r="A4944" i="1"/>
  <c r="F4944" i="1"/>
  <c r="K4944" i="1"/>
  <c r="A4945" i="1"/>
  <c r="F4945" i="1"/>
  <c r="K4945" i="1"/>
  <c r="A4946" i="1"/>
  <c r="F4946" i="1"/>
  <c r="K4946" i="1"/>
  <c r="A4947" i="1"/>
  <c r="B4947" i="1"/>
  <c r="C4947" i="1"/>
  <c r="F4947" i="1"/>
  <c r="K4947" i="1"/>
  <c r="A4948" i="1"/>
  <c r="B4948" i="1"/>
  <c r="C4948" i="1"/>
  <c r="F4948" i="1"/>
  <c r="K4948" i="1"/>
  <c r="A4949" i="1"/>
  <c r="B4949" i="1"/>
  <c r="C4949" i="1"/>
  <c r="F4949" i="1"/>
  <c r="K4949" i="1"/>
  <c r="A4950" i="1"/>
  <c r="F4950" i="1"/>
  <c r="A4951" i="1"/>
  <c r="B4951" i="1"/>
  <c r="C4951" i="1"/>
  <c r="F4951" i="1"/>
  <c r="K4951" i="1"/>
  <c r="A4952" i="1"/>
  <c r="B4952" i="1"/>
  <c r="C4952" i="1"/>
  <c r="F4952" i="1"/>
  <c r="K4952" i="1"/>
  <c r="A4953" i="1"/>
  <c r="B4953" i="1"/>
  <c r="C4953" i="1"/>
  <c r="F4953" i="1"/>
  <c r="K4953" i="1"/>
  <c r="A4954" i="1"/>
  <c r="B4954" i="1"/>
  <c r="C4954" i="1"/>
  <c r="F4954" i="1"/>
  <c r="K4954" i="1"/>
  <c r="A4955" i="1"/>
  <c r="B4955" i="1"/>
  <c r="C4955" i="1"/>
  <c r="F4955" i="1"/>
  <c r="K4955" i="1"/>
  <c r="A4956" i="1"/>
  <c r="B4956" i="1"/>
  <c r="C4956" i="1"/>
  <c r="F4956" i="1"/>
  <c r="K4956" i="1"/>
  <c r="A4957" i="1"/>
  <c r="B4957" i="1"/>
  <c r="C4957" i="1"/>
  <c r="F4957" i="1"/>
  <c r="K4957" i="1"/>
  <c r="A4958" i="1"/>
  <c r="B4958" i="1"/>
  <c r="C4958" i="1"/>
  <c r="F4958" i="1"/>
  <c r="K4958" i="1"/>
  <c r="A4959" i="1"/>
  <c r="B4959" i="1"/>
  <c r="C4959" i="1"/>
  <c r="F4959" i="1"/>
  <c r="K4959" i="1"/>
  <c r="A4960" i="1"/>
  <c r="B4960" i="1"/>
  <c r="C4960" i="1"/>
  <c r="A4961" i="1"/>
  <c r="B4961" i="1"/>
  <c r="C4961" i="1"/>
  <c r="A4962" i="1"/>
  <c r="B4962" i="1"/>
  <c r="C4962" i="1"/>
  <c r="K4962" i="1"/>
  <c r="A4963" i="1"/>
  <c r="B4963" i="1"/>
  <c r="C4963" i="1"/>
  <c r="A4964" i="1"/>
  <c r="B4964" i="1"/>
  <c r="C4964" i="1"/>
  <c r="A4965" i="1"/>
  <c r="B4965" i="1"/>
  <c r="C4965" i="1"/>
  <c r="A4966" i="1"/>
  <c r="B4966" i="1"/>
  <c r="C4966" i="1"/>
  <c r="A4967" i="1"/>
  <c r="B4967" i="1"/>
  <c r="C4967" i="1"/>
  <c r="A4968" i="1"/>
  <c r="B4968" i="1"/>
  <c r="C4968" i="1"/>
  <c r="A4969" i="1"/>
  <c r="B4969" i="1"/>
  <c r="C4969" i="1"/>
  <c r="A4970" i="1"/>
  <c r="B4970" i="1"/>
  <c r="C4970" i="1"/>
  <c r="A4971" i="1"/>
  <c r="B4971" i="1"/>
  <c r="C4971" i="1"/>
  <c r="A4972" i="1"/>
  <c r="B4972" i="1"/>
  <c r="C4972" i="1"/>
  <c r="A4973" i="1"/>
  <c r="B4973" i="1"/>
  <c r="C4973" i="1"/>
  <c r="A4974" i="1"/>
  <c r="B4974" i="1"/>
  <c r="C4974" i="1"/>
  <c r="A4975" i="1"/>
  <c r="B4975" i="1"/>
  <c r="C4975" i="1"/>
  <c r="A4976" i="1"/>
  <c r="B4976" i="1"/>
  <c r="C4976" i="1"/>
  <c r="A4977" i="1"/>
  <c r="B4977" i="1"/>
  <c r="C4977" i="1"/>
  <c r="A4978" i="1"/>
  <c r="B4978" i="1"/>
  <c r="C4978" i="1"/>
  <c r="A4979" i="1"/>
  <c r="B4979" i="1"/>
  <c r="C4979" i="1"/>
  <c r="A4980" i="1"/>
  <c r="B4980" i="1"/>
  <c r="C4980" i="1"/>
  <c r="A4981" i="1"/>
  <c r="B4981" i="1"/>
  <c r="C4981" i="1"/>
  <c r="A4982" i="1"/>
  <c r="B4982" i="1"/>
  <c r="C4982" i="1"/>
  <c r="A4983" i="1"/>
  <c r="B4983" i="1"/>
  <c r="C4983" i="1"/>
  <c r="A4984" i="1"/>
  <c r="B4984" i="1"/>
  <c r="C4984" i="1"/>
  <c r="A4985" i="1"/>
  <c r="B4985" i="1"/>
  <c r="C4985" i="1"/>
  <c r="A4986" i="1"/>
  <c r="B4986" i="1"/>
  <c r="C4986" i="1"/>
  <c r="A4987" i="1"/>
  <c r="B4987" i="1"/>
  <c r="C4987" i="1"/>
  <c r="A4988" i="1"/>
  <c r="B4988" i="1"/>
  <c r="C4988" i="1"/>
  <c r="A4989" i="1"/>
  <c r="B4989" i="1"/>
  <c r="C4989" i="1"/>
  <c r="A4990" i="1"/>
  <c r="B4990" i="1"/>
  <c r="C4990" i="1"/>
  <c r="A4991" i="1"/>
  <c r="B4991" i="1"/>
  <c r="C4991" i="1"/>
  <c r="A4992" i="1"/>
  <c r="B4992" i="1"/>
  <c r="C4992" i="1"/>
  <c r="A4993" i="1"/>
  <c r="B4993" i="1"/>
  <c r="C4993" i="1"/>
  <c r="A4994" i="1"/>
  <c r="B4994" i="1"/>
  <c r="C4994" i="1"/>
  <c r="A4995" i="1"/>
  <c r="B4995" i="1"/>
  <c r="C4995" i="1"/>
  <c r="A4996" i="1"/>
  <c r="B4996" i="1"/>
  <c r="C4996" i="1"/>
  <c r="A4997" i="1"/>
  <c r="B4997" i="1"/>
  <c r="C4997" i="1"/>
  <c r="A4998" i="1"/>
  <c r="B4998" i="1"/>
  <c r="C4998" i="1"/>
  <c r="A4999" i="1"/>
  <c r="B4999" i="1"/>
  <c r="C4999" i="1"/>
  <c r="A5000" i="1"/>
  <c r="B5000" i="1"/>
  <c r="C5000" i="1"/>
  <c r="A5001" i="1"/>
  <c r="B5001" i="1"/>
  <c r="C5001" i="1"/>
  <c r="A5002" i="1"/>
  <c r="B5002" i="1"/>
  <c r="C5002" i="1"/>
  <c r="A5003" i="1"/>
  <c r="B5003" i="1"/>
  <c r="C5003" i="1"/>
  <c r="A5004" i="1"/>
  <c r="B5004" i="1"/>
  <c r="C5004" i="1"/>
  <c r="A5005" i="1"/>
  <c r="B5005" i="1"/>
  <c r="C5005" i="1"/>
  <c r="A5006" i="1"/>
  <c r="B5006" i="1"/>
  <c r="C5006" i="1"/>
  <c r="A5007" i="1"/>
  <c r="B5007" i="1"/>
  <c r="C5007" i="1"/>
  <c r="A5008" i="1"/>
  <c r="B5008" i="1"/>
  <c r="C5008" i="1"/>
  <c r="A5009" i="1"/>
  <c r="B5009" i="1"/>
  <c r="C5009" i="1"/>
  <c r="A5010" i="1"/>
  <c r="B5010" i="1"/>
  <c r="C5010" i="1"/>
  <c r="A5011" i="1"/>
  <c r="B5011" i="1"/>
  <c r="C5011" i="1"/>
  <c r="A5012" i="1"/>
  <c r="B5012" i="1"/>
  <c r="C5012" i="1"/>
  <c r="A5013" i="1"/>
  <c r="B5013" i="1"/>
  <c r="C5013" i="1"/>
  <c r="K5013" i="1"/>
  <c r="A5014" i="1"/>
  <c r="B5014" i="1"/>
  <c r="C5014" i="1"/>
  <c r="K5014" i="1"/>
  <c r="A5015" i="1"/>
  <c r="B5015" i="1"/>
  <c r="C5015" i="1"/>
  <c r="K5015" i="1"/>
  <c r="A5016" i="1"/>
  <c r="B5016" i="1"/>
  <c r="C5016" i="1"/>
  <c r="K5016" i="1"/>
  <c r="A5017" i="1"/>
  <c r="B5017" i="1"/>
  <c r="C5017" i="1"/>
  <c r="K5017" i="1"/>
  <c r="A5018" i="1"/>
  <c r="B5018" i="1"/>
  <c r="C5018" i="1"/>
  <c r="K5018" i="1"/>
  <c r="A5019" i="1"/>
  <c r="B5019" i="1"/>
  <c r="C5019" i="1"/>
  <c r="K5019" i="1"/>
  <c r="A5020" i="1"/>
  <c r="B5020" i="1"/>
  <c r="C5020" i="1"/>
  <c r="K5020" i="1"/>
  <c r="A5021" i="1"/>
  <c r="B5021" i="1"/>
  <c r="C5021" i="1"/>
  <c r="K5021" i="1"/>
  <c r="A5022" i="1"/>
  <c r="B5022" i="1"/>
  <c r="C5022" i="1"/>
  <c r="K5022" i="1"/>
  <c r="A5023" i="1"/>
  <c r="B5023" i="1"/>
  <c r="C5023" i="1"/>
  <c r="K5023" i="1"/>
  <c r="A5024" i="1"/>
  <c r="B5024" i="1"/>
  <c r="C5024" i="1"/>
  <c r="K5024" i="1"/>
  <c r="A5025" i="1"/>
  <c r="B5025" i="1"/>
  <c r="C5025" i="1"/>
  <c r="K5025" i="1"/>
  <c r="A5026" i="1"/>
  <c r="B5026" i="1"/>
  <c r="C5026" i="1"/>
  <c r="K5026" i="1"/>
  <c r="A5027" i="1"/>
  <c r="B5027" i="1"/>
  <c r="C5027" i="1"/>
  <c r="K5027" i="1"/>
  <c r="A5028" i="1"/>
  <c r="B5028" i="1"/>
  <c r="C5028" i="1"/>
  <c r="K5028" i="1"/>
  <c r="A5029" i="1"/>
  <c r="B5029" i="1"/>
  <c r="C5029" i="1"/>
  <c r="K5029" i="1"/>
  <c r="A5030" i="1"/>
  <c r="B5030" i="1"/>
  <c r="C5030" i="1"/>
  <c r="K5030" i="1"/>
  <c r="A5031" i="1"/>
  <c r="B5031" i="1"/>
  <c r="C5031" i="1"/>
  <c r="K5031" i="1"/>
  <c r="A5032" i="1"/>
  <c r="B5032" i="1"/>
  <c r="C5032" i="1"/>
  <c r="K5032" i="1"/>
  <c r="A5033" i="1"/>
  <c r="B5033" i="1"/>
  <c r="C5033" i="1"/>
  <c r="K5033" i="1"/>
  <c r="A5034" i="1"/>
  <c r="B5034" i="1"/>
  <c r="C5034" i="1"/>
  <c r="K5034" i="1"/>
  <c r="A5035" i="1"/>
  <c r="B5035" i="1"/>
  <c r="C5035" i="1"/>
  <c r="K5035" i="1"/>
  <c r="A5036" i="1"/>
  <c r="B5036" i="1"/>
  <c r="C5036" i="1"/>
  <c r="K5036" i="1"/>
  <c r="A5037" i="1"/>
  <c r="B5037" i="1"/>
  <c r="C5037" i="1"/>
  <c r="F5037" i="1"/>
  <c r="K5037" i="1"/>
  <c r="A5038" i="1"/>
  <c r="B5038" i="1"/>
  <c r="C5038" i="1"/>
  <c r="F5038" i="1"/>
  <c r="K5038" i="1"/>
  <c r="A5039" i="1"/>
  <c r="B5039" i="1"/>
  <c r="C5039" i="1"/>
  <c r="F5039" i="1"/>
  <c r="A5040" i="1"/>
  <c r="B5040" i="1"/>
  <c r="C5040" i="1"/>
  <c r="F5040" i="1"/>
  <c r="A5041" i="1"/>
  <c r="B5041" i="1"/>
  <c r="C5041" i="1"/>
  <c r="F5041" i="1"/>
  <c r="K5041" i="1"/>
  <c r="A5042" i="1"/>
  <c r="B5042" i="1"/>
  <c r="C5042" i="1"/>
  <c r="F5042" i="1"/>
  <c r="A5043" i="1"/>
  <c r="B5043" i="1"/>
  <c r="C5043" i="1"/>
  <c r="F5043" i="1"/>
  <c r="A5044" i="1"/>
  <c r="B5044" i="1"/>
  <c r="C5044" i="1"/>
  <c r="F5044" i="1"/>
  <c r="K5044" i="1"/>
  <c r="A5045" i="1"/>
  <c r="B5045" i="1"/>
  <c r="C5045" i="1"/>
  <c r="F5045" i="1"/>
  <c r="K5045" i="1"/>
  <c r="A5046" i="1"/>
  <c r="B5046" i="1"/>
  <c r="C5046" i="1"/>
  <c r="F5046" i="1"/>
  <c r="K5046" i="1"/>
  <c r="A5047" i="1"/>
  <c r="B5047" i="1"/>
  <c r="C5047" i="1"/>
  <c r="F5047" i="1"/>
  <c r="K5047" i="1"/>
  <c r="A5048" i="1"/>
  <c r="B5048" i="1"/>
  <c r="C5048" i="1"/>
  <c r="F5048" i="1"/>
  <c r="K5048" i="1"/>
  <c r="A5049" i="1"/>
  <c r="B5049" i="1"/>
  <c r="C5049" i="1"/>
  <c r="F5049" i="1"/>
  <c r="K5049" i="1"/>
  <c r="A5050" i="1"/>
  <c r="B5050" i="1"/>
  <c r="C5050" i="1"/>
  <c r="F5050" i="1"/>
  <c r="A5051" i="1"/>
  <c r="B5051" i="1"/>
  <c r="C5051" i="1"/>
  <c r="F5051" i="1"/>
  <c r="A5052" i="1"/>
  <c r="B5052" i="1"/>
  <c r="C5052" i="1"/>
  <c r="F5052" i="1"/>
  <c r="K5052" i="1"/>
  <c r="A5053" i="1"/>
  <c r="B5053" i="1"/>
  <c r="C5053" i="1"/>
  <c r="F5053" i="1"/>
  <c r="K5053" i="1"/>
  <c r="A5054" i="1"/>
  <c r="B5054" i="1"/>
  <c r="C5054" i="1"/>
  <c r="F5054" i="1"/>
  <c r="K5054" i="1"/>
  <c r="A5055" i="1"/>
  <c r="B5055" i="1"/>
  <c r="C5055" i="1"/>
  <c r="F5055" i="1"/>
  <c r="K5055" i="1"/>
  <c r="A5056" i="1"/>
  <c r="B5056" i="1"/>
  <c r="C5056" i="1"/>
  <c r="F5056" i="1"/>
  <c r="A5057" i="1"/>
  <c r="B5057" i="1"/>
  <c r="C5057" i="1"/>
  <c r="F5057" i="1"/>
  <c r="K5057" i="1"/>
  <c r="A5058" i="1"/>
  <c r="B5058" i="1"/>
  <c r="C5058" i="1"/>
  <c r="F5058" i="1"/>
  <c r="K5058" i="1"/>
  <c r="A5059" i="1"/>
  <c r="B5059" i="1"/>
  <c r="C5059" i="1"/>
  <c r="F5059" i="1"/>
  <c r="K5059" i="1"/>
  <c r="A5060" i="1"/>
  <c r="B5060" i="1"/>
  <c r="C5060" i="1"/>
  <c r="F5060" i="1"/>
  <c r="K5060" i="1"/>
  <c r="A5061" i="1"/>
  <c r="B5061" i="1"/>
  <c r="C5061" i="1"/>
  <c r="F5061" i="1"/>
  <c r="A5062" i="1"/>
  <c r="B5062" i="1"/>
  <c r="C5062" i="1"/>
  <c r="F5062" i="1"/>
  <c r="A5063" i="1"/>
  <c r="B5063" i="1"/>
  <c r="C5063" i="1"/>
  <c r="F5063" i="1"/>
  <c r="A5064" i="1"/>
  <c r="B5064" i="1"/>
  <c r="C5064" i="1"/>
  <c r="F5064" i="1"/>
  <c r="A5065" i="1"/>
  <c r="B5065" i="1"/>
  <c r="C5065" i="1"/>
  <c r="F5065" i="1"/>
  <c r="A5066" i="1"/>
  <c r="B5066" i="1"/>
  <c r="C5066" i="1"/>
  <c r="F5066" i="1"/>
  <c r="K5066" i="1"/>
  <c r="A5067" i="1"/>
  <c r="B5067" i="1"/>
  <c r="C5067" i="1"/>
  <c r="F5067" i="1"/>
  <c r="K5067" i="1"/>
  <c r="A5068" i="1"/>
  <c r="B5068" i="1"/>
  <c r="C5068" i="1"/>
  <c r="F5068" i="1"/>
  <c r="K5068" i="1"/>
  <c r="A5069" i="1"/>
  <c r="B5069" i="1"/>
  <c r="C5069" i="1"/>
  <c r="F5069" i="1"/>
  <c r="K5069" i="1"/>
  <c r="A5070" i="1"/>
  <c r="B5070" i="1"/>
  <c r="C5070" i="1"/>
  <c r="F5070" i="1"/>
  <c r="K5070" i="1"/>
  <c r="A5071" i="1"/>
  <c r="B5071" i="1"/>
  <c r="C5071" i="1"/>
  <c r="F5071" i="1"/>
  <c r="K5071" i="1"/>
  <c r="A5072" i="1"/>
  <c r="B5072" i="1"/>
  <c r="C5072" i="1"/>
  <c r="F5072" i="1"/>
  <c r="K5072" i="1"/>
  <c r="A5073" i="1"/>
  <c r="B5073" i="1"/>
  <c r="C5073" i="1"/>
  <c r="F5073" i="1"/>
  <c r="K5073" i="1"/>
  <c r="A5074" i="1"/>
  <c r="B5074" i="1"/>
  <c r="C5074" i="1"/>
  <c r="F5074" i="1"/>
  <c r="K5074" i="1"/>
  <c r="A5075" i="1"/>
  <c r="B5075" i="1"/>
  <c r="C5075" i="1"/>
  <c r="F5075" i="1"/>
  <c r="K5075" i="1"/>
  <c r="A5076" i="1"/>
  <c r="B5076" i="1"/>
  <c r="C5076" i="1"/>
  <c r="F5076" i="1"/>
  <c r="K5076" i="1"/>
  <c r="A5077" i="1"/>
  <c r="F5077" i="1"/>
  <c r="A5078" i="1"/>
  <c r="F5078" i="1"/>
  <c r="A5079" i="1"/>
  <c r="F5079" i="1"/>
  <c r="A5080" i="1"/>
  <c r="F5080" i="1"/>
  <c r="A5081" i="1"/>
  <c r="B5081" i="1"/>
  <c r="C5081" i="1"/>
  <c r="F5081" i="1"/>
  <c r="K5081" i="1"/>
  <c r="A5082" i="1"/>
  <c r="B5082" i="1"/>
  <c r="C5082" i="1"/>
  <c r="F5082" i="1"/>
  <c r="K5082" i="1"/>
  <c r="A5083" i="1"/>
  <c r="B5083" i="1"/>
  <c r="C5083" i="1"/>
  <c r="F5083" i="1"/>
  <c r="K5083" i="1"/>
  <c r="A5084" i="1"/>
  <c r="B5084" i="1"/>
  <c r="C5084" i="1"/>
  <c r="F5084" i="1"/>
  <c r="K5084" i="1"/>
  <c r="A5085" i="1"/>
  <c r="B5085" i="1"/>
  <c r="C5085" i="1"/>
  <c r="F5085" i="1"/>
  <c r="A5086" i="1"/>
  <c r="B5086" i="1"/>
  <c r="C5086" i="1"/>
  <c r="F5086" i="1"/>
  <c r="K5086" i="1"/>
  <c r="A5087" i="1"/>
  <c r="B5087" i="1"/>
  <c r="C5087" i="1"/>
  <c r="F5087" i="1"/>
  <c r="K5087" i="1"/>
  <c r="A5088" i="1"/>
  <c r="B5088" i="1"/>
  <c r="C5088" i="1"/>
  <c r="F5088" i="1"/>
  <c r="K5088" i="1"/>
  <c r="A5089" i="1"/>
  <c r="B5089" i="1"/>
  <c r="C5089" i="1"/>
  <c r="F5089" i="1"/>
  <c r="K5089" i="1"/>
  <c r="A5090" i="1"/>
  <c r="B5090" i="1"/>
  <c r="C5090" i="1"/>
  <c r="F5090" i="1"/>
  <c r="K5090" i="1"/>
  <c r="A5091" i="1"/>
  <c r="F5091" i="1"/>
  <c r="A5092" i="1"/>
  <c r="F5092" i="1"/>
  <c r="A5093" i="1"/>
  <c r="F5093" i="1"/>
  <c r="A5094" i="1"/>
  <c r="F5094" i="1"/>
  <c r="A5095" i="1"/>
  <c r="B5095" i="1"/>
  <c r="C5095" i="1"/>
  <c r="F5095" i="1"/>
  <c r="K5095" i="1"/>
  <c r="A5096" i="1"/>
  <c r="F5096" i="1"/>
  <c r="A5097" i="1"/>
  <c r="F5097" i="1"/>
  <c r="K5097" i="1"/>
  <c r="A5098" i="1"/>
  <c r="F5098" i="1"/>
  <c r="A5099" i="1"/>
  <c r="F5099" i="1"/>
  <c r="K5099" i="1"/>
  <c r="A5100" i="1"/>
  <c r="F5100" i="1"/>
  <c r="K5100" i="1"/>
  <c r="A5101" i="1"/>
  <c r="F5101" i="1"/>
  <c r="K5101" i="1"/>
  <c r="A5102" i="1"/>
  <c r="F5102" i="1"/>
  <c r="K5102" i="1"/>
  <c r="A5103" i="1"/>
  <c r="F5103" i="1"/>
  <c r="K5103" i="1"/>
  <c r="A5104" i="1"/>
  <c r="F5104" i="1"/>
  <c r="K5104" i="1"/>
  <c r="A5105" i="1"/>
  <c r="B5105" i="1"/>
  <c r="C5105" i="1"/>
  <c r="F5105" i="1"/>
  <c r="K5105" i="1"/>
  <c r="A5106" i="1"/>
  <c r="B5106" i="1"/>
  <c r="C5106" i="1"/>
  <c r="F5106" i="1"/>
  <c r="K5106" i="1"/>
  <c r="A5107" i="1"/>
  <c r="B5107" i="1"/>
  <c r="C5107" i="1"/>
  <c r="F5107" i="1"/>
  <c r="K5107" i="1"/>
  <c r="A5108" i="1"/>
  <c r="B5108" i="1"/>
  <c r="C5108" i="1"/>
  <c r="F5108" i="1"/>
  <c r="K5108" i="1"/>
  <c r="A5109" i="1"/>
  <c r="F5109" i="1"/>
  <c r="A5110" i="1"/>
  <c r="F5110" i="1"/>
  <c r="A5111" i="1"/>
  <c r="B5111" i="1"/>
  <c r="C5111" i="1"/>
  <c r="F5111" i="1"/>
  <c r="K5111" i="1"/>
  <c r="A5112" i="1"/>
  <c r="B5112" i="1"/>
  <c r="C5112" i="1"/>
  <c r="F5112" i="1"/>
  <c r="A5113" i="1"/>
  <c r="B5113" i="1"/>
  <c r="C5113" i="1"/>
  <c r="F5113" i="1"/>
  <c r="A5114" i="1"/>
  <c r="B5114" i="1"/>
  <c r="C5114" i="1"/>
  <c r="F5114" i="1"/>
  <c r="K5114" i="1"/>
  <c r="A5115" i="1"/>
  <c r="B5115" i="1"/>
  <c r="C5115" i="1"/>
  <c r="F5115" i="1"/>
  <c r="K5115" i="1"/>
  <c r="A5116" i="1"/>
  <c r="B5116" i="1"/>
  <c r="C5116" i="1"/>
  <c r="F5116" i="1"/>
  <c r="K5116" i="1"/>
  <c r="A5117" i="1"/>
  <c r="B5117" i="1"/>
  <c r="C5117" i="1"/>
  <c r="F5117" i="1"/>
  <c r="K5117" i="1"/>
  <c r="A5118" i="1"/>
  <c r="B5118" i="1"/>
  <c r="C5118" i="1"/>
  <c r="F5118" i="1"/>
  <c r="K5118" i="1"/>
  <c r="A5119" i="1"/>
  <c r="B5119" i="1"/>
  <c r="C5119" i="1"/>
  <c r="F5119" i="1"/>
  <c r="K5119" i="1"/>
  <c r="A5120" i="1"/>
  <c r="B5120" i="1"/>
  <c r="C5120" i="1"/>
  <c r="F5120" i="1"/>
  <c r="K5120" i="1"/>
  <c r="A5121" i="1"/>
  <c r="B5121" i="1"/>
  <c r="C5121" i="1"/>
  <c r="F5121" i="1"/>
  <c r="K5121" i="1"/>
  <c r="A5122" i="1"/>
  <c r="B5122" i="1"/>
  <c r="C5122" i="1"/>
  <c r="F5122" i="1"/>
  <c r="K5122" i="1"/>
  <c r="A5123" i="1"/>
  <c r="B5123" i="1"/>
  <c r="C5123" i="1"/>
  <c r="F5123" i="1"/>
  <c r="A5124" i="1"/>
  <c r="B5124" i="1"/>
  <c r="C5124" i="1"/>
  <c r="F5124" i="1"/>
  <c r="K5124" i="1"/>
  <c r="A5125" i="1"/>
  <c r="B5125" i="1"/>
  <c r="C5125" i="1"/>
  <c r="F5125" i="1"/>
  <c r="K5125" i="1"/>
  <c r="A5126" i="1"/>
  <c r="F5126" i="1"/>
  <c r="A5127" i="1"/>
  <c r="F5127" i="1"/>
  <c r="A5128" i="1"/>
  <c r="B5128" i="1"/>
  <c r="C5128" i="1"/>
  <c r="F5128" i="1"/>
  <c r="K5128" i="1"/>
  <c r="A5129" i="1"/>
  <c r="B5129" i="1"/>
  <c r="C5129" i="1"/>
  <c r="F5129" i="1"/>
  <c r="K5129" i="1"/>
  <c r="A5130" i="1"/>
  <c r="B5130" i="1"/>
  <c r="C5130" i="1"/>
  <c r="F5130" i="1"/>
  <c r="K5130" i="1"/>
  <c r="A5131" i="1"/>
  <c r="B5131" i="1"/>
  <c r="C5131" i="1"/>
  <c r="F5131" i="1"/>
  <c r="K5131" i="1"/>
  <c r="A5132" i="1"/>
  <c r="B5132" i="1"/>
  <c r="C5132" i="1"/>
  <c r="F5132" i="1"/>
  <c r="K5132" i="1"/>
  <c r="A5133" i="1"/>
  <c r="B5133" i="1"/>
  <c r="C5133" i="1"/>
  <c r="F5133" i="1"/>
  <c r="K5133" i="1"/>
  <c r="A5134" i="1"/>
  <c r="B5134" i="1"/>
  <c r="C5134" i="1"/>
  <c r="F5134" i="1"/>
  <c r="A5135" i="1"/>
  <c r="F5135" i="1"/>
  <c r="A5136" i="1"/>
  <c r="B5136" i="1"/>
  <c r="C5136" i="1"/>
  <c r="F5136" i="1"/>
  <c r="K5136" i="1"/>
  <c r="A5137" i="1"/>
  <c r="B5137" i="1"/>
  <c r="C5137" i="1"/>
  <c r="F5137" i="1"/>
  <c r="K5137" i="1"/>
  <c r="A5138" i="1"/>
  <c r="B5138" i="1"/>
  <c r="C5138" i="1"/>
  <c r="F5138" i="1"/>
  <c r="K5138" i="1"/>
  <c r="A5139" i="1"/>
  <c r="B5139" i="1"/>
  <c r="C5139" i="1"/>
  <c r="F5139" i="1"/>
  <c r="K5139" i="1"/>
  <c r="A5140" i="1"/>
  <c r="B5140" i="1"/>
  <c r="C5140" i="1"/>
  <c r="F5140" i="1"/>
  <c r="K5140" i="1"/>
  <c r="A5141" i="1"/>
  <c r="B5141" i="1"/>
  <c r="C5141" i="1"/>
  <c r="F5141" i="1"/>
  <c r="K5141" i="1"/>
  <c r="A5142" i="1"/>
  <c r="B5142" i="1"/>
  <c r="C5142" i="1"/>
  <c r="F5142" i="1"/>
  <c r="K5142" i="1"/>
  <c r="A5143" i="1"/>
  <c r="B5143" i="1"/>
  <c r="C5143" i="1"/>
  <c r="F5143" i="1"/>
  <c r="K5143" i="1"/>
  <c r="A5144" i="1"/>
  <c r="B5144" i="1"/>
  <c r="C5144" i="1"/>
  <c r="F5144" i="1"/>
  <c r="K5144" i="1"/>
  <c r="A5145" i="1"/>
  <c r="B5145" i="1"/>
  <c r="C5145" i="1"/>
  <c r="F5145" i="1"/>
  <c r="K5145" i="1"/>
  <c r="A5146" i="1"/>
  <c r="B5146" i="1"/>
  <c r="C5146" i="1"/>
  <c r="F5146" i="1"/>
  <c r="K5146" i="1"/>
  <c r="A5147" i="1"/>
  <c r="B5147" i="1"/>
  <c r="C5147" i="1"/>
  <c r="F5147" i="1"/>
  <c r="A5148" i="1"/>
  <c r="B5148" i="1"/>
  <c r="C5148" i="1"/>
  <c r="F5148" i="1"/>
  <c r="K5148" i="1"/>
  <c r="A5149" i="1"/>
  <c r="B5149" i="1"/>
  <c r="C5149" i="1"/>
  <c r="F5149" i="1"/>
  <c r="K5149" i="1"/>
  <c r="A5150" i="1"/>
  <c r="B5150" i="1"/>
  <c r="C5150" i="1"/>
  <c r="F5150" i="1"/>
  <c r="K5150" i="1"/>
  <c r="A5151" i="1"/>
  <c r="B5151" i="1"/>
  <c r="C5151" i="1"/>
  <c r="F5151" i="1"/>
  <c r="A5152" i="1"/>
  <c r="B5152" i="1"/>
  <c r="C5152" i="1"/>
  <c r="F5152" i="1"/>
  <c r="A5153" i="1"/>
  <c r="B5153" i="1"/>
  <c r="C5153" i="1"/>
  <c r="F5153" i="1"/>
  <c r="A5154" i="1"/>
  <c r="B5154" i="1"/>
  <c r="C5154" i="1"/>
  <c r="F5154" i="1"/>
  <c r="K5154" i="1"/>
  <c r="A5155" i="1"/>
  <c r="B5155" i="1"/>
  <c r="C5155" i="1"/>
  <c r="F5155" i="1"/>
  <c r="K5155" i="1"/>
  <c r="A5156" i="1"/>
  <c r="B5156" i="1"/>
  <c r="C5156" i="1"/>
  <c r="F5156" i="1"/>
  <c r="K5156" i="1"/>
  <c r="A5157" i="1"/>
  <c r="B5157" i="1"/>
  <c r="C5157" i="1"/>
  <c r="F5157" i="1"/>
  <c r="A5158" i="1"/>
  <c r="B5158" i="1"/>
  <c r="C5158" i="1"/>
  <c r="F5158" i="1"/>
  <c r="K5158" i="1"/>
  <c r="A5159" i="1"/>
  <c r="B5159" i="1"/>
  <c r="C5159" i="1"/>
  <c r="F5159" i="1"/>
  <c r="K5159" i="1"/>
  <c r="A5160" i="1"/>
  <c r="B5160" i="1"/>
  <c r="C5160" i="1"/>
  <c r="F5160" i="1"/>
  <c r="K5160" i="1"/>
  <c r="A5161" i="1"/>
  <c r="B5161" i="1"/>
  <c r="C5161" i="1"/>
  <c r="F5161" i="1"/>
  <c r="K5161" i="1"/>
  <c r="A5162" i="1"/>
  <c r="B5162" i="1"/>
  <c r="C5162" i="1"/>
  <c r="F5162" i="1"/>
  <c r="K5162" i="1"/>
  <c r="A5163" i="1"/>
  <c r="B5163" i="1"/>
  <c r="C5163" i="1"/>
  <c r="F5163" i="1"/>
  <c r="K5163" i="1"/>
  <c r="A5164" i="1"/>
  <c r="B5164" i="1"/>
  <c r="C5164" i="1"/>
  <c r="F5164" i="1"/>
  <c r="K5164" i="1"/>
  <c r="A5165" i="1"/>
  <c r="B5165" i="1"/>
  <c r="C5165" i="1"/>
  <c r="F5165" i="1"/>
  <c r="K5165" i="1"/>
  <c r="A5166" i="1"/>
  <c r="B5166" i="1"/>
  <c r="C5166" i="1"/>
  <c r="F5166" i="1"/>
  <c r="K5166" i="1"/>
  <c r="A5167" i="1"/>
  <c r="B5167" i="1"/>
  <c r="C5167" i="1"/>
  <c r="F5167" i="1"/>
  <c r="K5167" i="1"/>
  <c r="A5168" i="1"/>
  <c r="B5168" i="1"/>
  <c r="C5168" i="1"/>
  <c r="F5168" i="1"/>
  <c r="K5168" i="1"/>
  <c r="A5169" i="1"/>
  <c r="B5169" i="1"/>
  <c r="C5169" i="1"/>
  <c r="F5169" i="1"/>
  <c r="K5169" i="1"/>
  <c r="A5170" i="1"/>
  <c r="B5170" i="1"/>
  <c r="C5170" i="1"/>
  <c r="F5170" i="1"/>
  <c r="K5170" i="1"/>
  <c r="A5171" i="1"/>
  <c r="B5171" i="1"/>
  <c r="C5171" i="1"/>
  <c r="F5171" i="1"/>
  <c r="A5172" i="1"/>
  <c r="B5172" i="1"/>
  <c r="C5172" i="1"/>
  <c r="F5172" i="1"/>
  <c r="A5173" i="1"/>
  <c r="B5173" i="1"/>
  <c r="C5173" i="1"/>
  <c r="F5173" i="1"/>
  <c r="A5174" i="1"/>
  <c r="B5174" i="1"/>
  <c r="C5174" i="1"/>
  <c r="F5174" i="1"/>
  <c r="A5175" i="1"/>
  <c r="B5175" i="1"/>
  <c r="C5175" i="1"/>
  <c r="F5175" i="1"/>
  <c r="A5176" i="1"/>
  <c r="B5176" i="1"/>
  <c r="C5176" i="1"/>
  <c r="F5176" i="1"/>
  <c r="A5177" i="1"/>
  <c r="B5177" i="1"/>
  <c r="C5177" i="1"/>
  <c r="F5177" i="1"/>
  <c r="A5178" i="1"/>
  <c r="B5178" i="1"/>
  <c r="C5178" i="1"/>
  <c r="F5178" i="1"/>
  <c r="A5179" i="1"/>
  <c r="B5179" i="1"/>
  <c r="C5179" i="1"/>
  <c r="F5179" i="1"/>
  <c r="A5180" i="1"/>
  <c r="B5180" i="1"/>
  <c r="C5180" i="1"/>
  <c r="F5180" i="1"/>
  <c r="A5181" i="1"/>
  <c r="B5181" i="1"/>
  <c r="C5181" i="1"/>
  <c r="F5181" i="1"/>
  <c r="A5182" i="1"/>
  <c r="B5182" i="1"/>
  <c r="C5182" i="1"/>
  <c r="F5182" i="1"/>
  <c r="A5183" i="1"/>
  <c r="B5183" i="1"/>
  <c r="C5183" i="1"/>
  <c r="F5183" i="1"/>
  <c r="A5184" i="1"/>
  <c r="B5184" i="1"/>
  <c r="C5184" i="1"/>
  <c r="F5184" i="1"/>
  <c r="K5184" i="1"/>
  <c r="A5185" i="1"/>
  <c r="B5185" i="1"/>
  <c r="C5185" i="1"/>
  <c r="F5185" i="1"/>
  <c r="K5185" i="1"/>
  <c r="A5186" i="1"/>
  <c r="B5186" i="1"/>
  <c r="C5186" i="1"/>
  <c r="F5186" i="1"/>
  <c r="K5186" i="1"/>
  <c r="A5187" i="1"/>
  <c r="B5187" i="1"/>
  <c r="C5187" i="1"/>
  <c r="F5187" i="1"/>
  <c r="K5187" i="1"/>
  <c r="A5188" i="1"/>
  <c r="B5188" i="1"/>
  <c r="C5188" i="1"/>
  <c r="F5188" i="1"/>
  <c r="K5188" i="1"/>
  <c r="A5189" i="1"/>
  <c r="B5189" i="1"/>
  <c r="C5189" i="1"/>
  <c r="F5189" i="1"/>
  <c r="K5189" i="1"/>
  <c r="A5190" i="1"/>
  <c r="B5190" i="1"/>
  <c r="C5190" i="1"/>
  <c r="F5190" i="1"/>
  <c r="K5190" i="1"/>
  <c r="A5191" i="1"/>
  <c r="B5191" i="1"/>
  <c r="C5191" i="1"/>
  <c r="F5191" i="1"/>
  <c r="K5191" i="1"/>
  <c r="A5192" i="1"/>
  <c r="B5192" i="1"/>
  <c r="C5192" i="1"/>
  <c r="F5192" i="1"/>
  <c r="K5192" i="1"/>
  <c r="A5193" i="1"/>
  <c r="B5193" i="1"/>
  <c r="C5193" i="1"/>
  <c r="F5193" i="1"/>
  <c r="K5193" i="1"/>
  <c r="A5194" i="1"/>
  <c r="B5194" i="1"/>
  <c r="C5194" i="1"/>
  <c r="F5194" i="1"/>
  <c r="K5194" i="1"/>
  <c r="A5195" i="1"/>
  <c r="B5195" i="1"/>
  <c r="C5195" i="1"/>
  <c r="F5195" i="1"/>
  <c r="K5195" i="1"/>
  <c r="A5196" i="1"/>
  <c r="B5196" i="1"/>
  <c r="C5196" i="1"/>
  <c r="F5196" i="1"/>
  <c r="K5196" i="1"/>
  <c r="A5197" i="1"/>
  <c r="B5197" i="1"/>
  <c r="C5197" i="1"/>
  <c r="F5197" i="1"/>
  <c r="K5197" i="1"/>
  <c r="A5198" i="1"/>
  <c r="B5198" i="1"/>
  <c r="C5198" i="1"/>
  <c r="F5198" i="1"/>
  <c r="K5198" i="1"/>
  <c r="A5199" i="1"/>
  <c r="B5199" i="1"/>
  <c r="C5199" i="1"/>
  <c r="F5199" i="1"/>
  <c r="A5200" i="1"/>
  <c r="B5200" i="1"/>
  <c r="C5200" i="1"/>
  <c r="F5200" i="1"/>
  <c r="A5201" i="1"/>
  <c r="B5201" i="1"/>
  <c r="C5201" i="1"/>
  <c r="F5201" i="1"/>
  <c r="A5202" i="1"/>
  <c r="B5202" i="1"/>
  <c r="C5202" i="1"/>
  <c r="F5202" i="1"/>
  <c r="A5203" i="1"/>
  <c r="B5203" i="1"/>
  <c r="C5203" i="1"/>
  <c r="F5203" i="1"/>
  <c r="A5204" i="1"/>
  <c r="B5204" i="1"/>
  <c r="C5204" i="1"/>
  <c r="F5204" i="1"/>
  <c r="K5204" i="1"/>
  <c r="A5205" i="1"/>
  <c r="B5205" i="1"/>
  <c r="C5205" i="1"/>
  <c r="F5205" i="1"/>
  <c r="K5205" i="1"/>
  <c r="A5206" i="1"/>
  <c r="B5206" i="1"/>
  <c r="C5206" i="1"/>
  <c r="F5206" i="1"/>
  <c r="K5206" i="1"/>
  <c r="A5207" i="1"/>
  <c r="B5207" i="1"/>
  <c r="C5207" i="1"/>
  <c r="F5207" i="1"/>
  <c r="K5207" i="1"/>
  <c r="A5208" i="1"/>
  <c r="B5208" i="1"/>
  <c r="C5208" i="1"/>
  <c r="F5208" i="1"/>
  <c r="K5208" i="1"/>
  <c r="A5209" i="1"/>
  <c r="B5209" i="1"/>
  <c r="C5209" i="1"/>
  <c r="F5209" i="1"/>
  <c r="K5209" i="1"/>
  <c r="A5210" i="1"/>
  <c r="B5210" i="1"/>
  <c r="C5210" i="1"/>
  <c r="F5210" i="1"/>
  <c r="A5211" i="1"/>
  <c r="B5211" i="1"/>
  <c r="C5211" i="1"/>
  <c r="F5211" i="1"/>
  <c r="K5211" i="1"/>
  <c r="A5212" i="1"/>
  <c r="B5212" i="1"/>
  <c r="C5212" i="1"/>
  <c r="F5212" i="1"/>
  <c r="K5212" i="1"/>
  <c r="A5213" i="1"/>
  <c r="B5213" i="1"/>
  <c r="C5213" i="1"/>
  <c r="F5213" i="1"/>
  <c r="K5213" i="1"/>
  <c r="A5214" i="1"/>
  <c r="B5214" i="1"/>
  <c r="C5214" i="1"/>
  <c r="F5214" i="1"/>
  <c r="K5214" i="1"/>
  <c r="A5215" i="1"/>
  <c r="B5215" i="1"/>
  <c r="C5215" i="1"/>
  <c r="F5215" i="1"/>
  <c r="A5216" i="1"/>
  <c r="B5216" i="1"/>
  <c r="C5216" i="1"/>
  <c r="F5216" i="1"/>
  <c r="A5217" i="1"/>
  <c r="B5217" i="1"/>
  <c r="C5217" i="1"/>
  <c r="F5217" i="1"/>
  <c r="A5218" i="1"/>
  <c r="B5218" i="1"/>
  <c r="C5218" i="1"/>
  <c r="F5218" i="1"/>
  <c r="K5218" i="1"/>
  <c r="A5219" i="1"/>
  <c r="B5219" i="1"/>
  <c r="C5219" i="1"/>
  <c r="F5219" i="1"/>
  <c r="K5219" i="1"/>
  <c r="A5220" i="1"/>
  <c r="B5220" i="1"/>
  <c r="C5220" i="1"/>
  <c r="F5220" i="1"/>
  <c r="K5220" i="1"/>
  <c r="A5221" i="1"/>
  <c r="B5221" i="1"/>
  <c r="C5221" i="1"/>
  <c r="F5221" i="1"/>
  <c r="K5221" i="1"/>
  <c r="A5222" i="1"/>
  <c r="B5222" i="1"/>
  <c r="C5222" i="1"/>
  <c r="F5222" i="1"/>
  <c r="K5222" i="1"/>
  <c r="A5223" i="1"/>
  <c r="B5223" i="1"/>
  <c r="C5223" i="1"/>
  <c r="F5223" i="1"/>
  <c r="K5223" i="1"/>
  <c r="A5224" i="1"/>
  <c r="B5224" i="1"/>
  <c r="C5224" i="1"/>
  <c r="F5224" i="1"/>
  <c r="K5224" i="1"/>
  <c r="A5225" i="1"/>
  <c r="B5225" i="1"/>
  <c r="C5225" i="1"/>
  <c r="F5225" i="1"/>
  <c r="K5225" i="1"/>
  <c r="A5226" i="1"/>
  <c r="B5226" i="1"/>
  <c r="C5226" i="1"/>
  <c r="F5226" i="1"/>
  <c r="K5226" i="1"/>
  <c r="A5227" i="1"/>
  <c r="B5227" i="1"/>
  <c r="C5227" i="1"/>
  <c r="F5227" i="1"/>
  <c r="K5227" i="1"/>
  <c r="A5228" i="1"/>
  <c r="F5228" i="1"/>
  <c r="A5229" i="1"/>
  <c r="B5229" i="1"/>
  <c r="C5229" i="1"/>
  <c r="F5229" i="1"/>
  <c r="K5229" i="1"/>
  <c r="A5230" i="1"/>
  <c r="B5230" i="1"/>
  <c r="C5230" i="1"/>
  <c r="F5230" i="1"/>
  <c r="K5230" i="1"/>
  <c r="A5231" i="1"/>
  <c r="B5231" i="1"/>
  <c r="C5231" i="1"/>
  <c r="F5231" i="1"/>
  <c r="K5231" i="1"/>
  <c r="A5232" i="1"/>
  <c r="B5232" i="1"/>
  <c r="C5232" i="1"/>
  <c r="F5232" i="1"/>
  <c r="K5232" i="1"/>
  <c r="A5233" i="1"/>
  <c r="B5233" i="1"/>
  <c r="C5233" i="1"/>
  <c r="F5233" i="1"/>
  <c r="K5233" i="1"/>
  <c r="A5234" i="1"/>
  <c r="F5234" i="1"/>
  <c r="A5235" i="1"/>
  <c r="F5235" i="1"/>
  <c r="A5236" i="1"/>
  <c r="B5236" i="1"/>
  <c r="C5236" i="1"/>
  <c r="F5236" i="1"/>
  <c r="K5236" i="1"/>
  <c r="A5237" i="1"/>
  <c r="B5237" i="1"/>
  <c r="C5237" i="1"/>
  <c r="F5237" i="1"/>
  <c r="K5237" i="1"/>
  <c r="A5238" i="1"/>
  <c r="B5238" i="1"/>
  <c r="C5238" i="1"/>
  <c r="F5238" i="1"/>
  <c r="K5238" i="1"/>
  <c r="A5239" i="1"/>
  <c r="B5239" i="1"/>
  <c r="C5239" i="1"/>
  <c r="F5239" i="1"/>
  <c r="K5239" i="1"/>
  <c r="A5240" i="1"/>
  <c r="B5240" i="1"/>
  <c r="C5240" i="1"/>
  <c r="F5240" i="1"/>
  <c r="K5240" i="1"/>
  <c r="A5241" i="1"/>
  <c r="F5241" i="1"/>
  <c r="A5242" i="1"/>
  <c r="B5242" i="1"/>
  <c r="C5242" i="1"/>
  <c r="F5242" i="1"/>
  <c r="A5243" i="1"/>
  <c r="B5243" i="1"/>
  <c r="C5243" i="1"/>
  <c r="F5243" i="1"/>
  <c r="A5244" i="1"/>
  <c r="B5244" i="1"/>
  <c r="C5244" i="1"/>
  <c r="F5244" i="1"/>
  <c r="K5244" i="1"/>
  <c r="A5245" i="1"/>
  <c r="B5245" i="1"/>
  <c r="C5245" i="1"/>
  <c r="F5245" i="1"/>
  <c r="K5245" i="1"/>
  <c r="A5246" i="1"/>
  <c r="B5246" i="1"/>
  <c r="C5246" i="1"/>
  <c r="F5246" i="1"/>
  <c r="K5246" i="1"/>
  <c r="A5247" i="1"/>
  <c r="B5247" i="1"/>
  <c r="C5247" i="1"/>
  <c r="F5247" i="1"/>
  <c r="K5247" i="1"/>
  <c r="A5248" i="1"/>
  <c r="B5248" i="1"/>
  <c r="C5248" i="1"/>
  <c r="F5248" i="1"/>
  <c r="K5248" i="1"/>
  <c r="A5249" i="1"/>
  <c r="B5249" i="1"/>
  <c r="C5249" i="1"/>
  <c r="F5249" i="1"/>
  <c r="K5249" i="1"/>
  <c r="A5250" i="1"/>
  <c r="B5250" i="1"/>
  <c r="C5250" i="1"/>
  <c r="F5250" i="1"/>
  <c r="K5250" i="1"/>
  <c r="A5251" i="1"/>
  <c r="B5251" i="1"/>
  <c r="C5251" i="1"/>
  <c r="F5251" i="1"/>
  <c r="K5251" i="1"/>
  <c r="A5252" i="1"/>
  <c r="B5252" i="1"/>
  <c r="C5252" i="1"/>
  <c r="F5252" i="1"/>
  <c r="K5252" i="1"/>
  <c r="A5253" i="1"/>
  <c r="B5253" i="1"/>
  <c r="C5253" i="1"/>
  <c r="F5253" i="1"/>
  <c r="K5253" i="1"/>
  <c r="A5254" i="1"/>
  <c r="B5254" i="1"/>
  <c r="C5254" i="1"/>
  <c r="F5254" i="1"/>
  <c r="K5254" i="1"/>
  <c r="A5255" i="1"/>
  <c r="B5255" i="1"/>
  <c r="C5255" i="1"/>
  <c r="F5255" i="1"/>
  <c r="K5255" i="1"/>
  <c r="A5256" i="1"/>
  <c r="B5256" i="1"/>
  <c r="C5256" i="1"/>
  <c r="F5256" i="1"/>
  <c r="K5256" i="1"/>
  <c r="A5257" i="1"/>
  <c r="F5257" i="1"/>
  <c r="K5257" i="1"/>
  <c r="A5258" i="1"/>
  <c r="B5258" i="1"/>
  <c r="C5258" i="1"/>
  <c r="F5258" i="1"/>
  <c r="K5258" i="1"/>
  <c r="A5259" i="1"/>
  <c r="B5259" i="1"/>
  <c r="C5259" i="1"/>
  <c r="F5259" i="1"/>
  <c r="K5259" i="1"/>
  <c r="A5260" i="1"/>
  <c r="B5260" i="1"/>
  <c r="C5260" i="1"/>
  <c r="F5260" i="1"/>
  <c r="K5260" i="1"/>
  <c r="A5261" i="1"/>
  <c r="B5261" i="1"/>
  <c r="C5261" i="1"/>
  <c r="F5261" i="1"/>
  <c r="K5261" i="1"/>
  <c r="A5262" i="1"/>
  <c r="B5262" i="1"/>
  <c r="C5262" i="1"/>
  <c r="F5262" i="1"/>
  <c r="K5262" i="1"/>
  <c r="A5263" i="1"/>
  <c r="B5263" i="1"/>
  <c r="C5263" i="1"/>
  <c r="F5263" i="1"/>
  <c r="K5263" i="1"/>
  <c r="A5264" i="1"/>
  <c r="B5264" i="1"/>
  <c r="C5264" i="1"/>
  <c r="F5264" i="1"/>
  <c r="K5264" i="1"/>
  <c r="A5265" i="1"/>
  <c r="B5265" i="1"/>
  <c r="C5265" i="1"/>
  <c r="F5265" i="1"/>
  <c r="K5265" i="1"/>
  <c r="A5266" i="1"/>
  <c r="B5266" i="1"/>
  <c r="C5266" i="1"/>
  <c r="F5266" i="1"/>
  <c r="K5266" i="1"/>
  <c r="A5267" i="1"/>
  <c r="F5267" i="1"/>
  <c r="A5268" i="1"/>
  <c r="F5268" i="1"/>
  <c r="A5269" i="1"/>
  <c r="B5269" i="1"/>
  <c r="C5269" i="1"/>
  <c r="F5269" i="1"/>
  <c r="K5269" i="1"/>
  <c r="A5270" i="1"/>
  <c r="B5270" i="1"/>
  <c r="C5270" i="1"/>
  <c r="F5270" i="1"/>
  <c r="K5270" i="1"/>
  <c r="A5271" i="1"/>
  <c r="B5271" i="1"/>
  <c r="C5271" i="1"/>
  <c r="F5271" i="1"/>
  <c r="K5271" i="1"/>
  <c r="A5272" i="1"/>
  <c r="B5272" i="1"/>
  <c r="C5272" i="1"/>
  <c r="F5272" i="1"/>
  <c r="A5273" i="1"/>
  <c r="B5273" i="1"/>
  <c r="C5273" i="1"/>
  <c r="F5273" i="1"/>
  <c r="A5274" i="1"/>
  <c r="B5274" i="1"/>
  <c r="C5274" i="1"/>
  <c r="F5274" i="1"/>
  <c r="K5274" i="1"/>
  <c r="A5275" i="1"/>
  <c r="B5275" i="1"/>
  <c r="C5275" i="1"/>
  <c r="F5275" i="1"/>
  <c r="A5276" i="1"/>
  <c r="B5276" i="1"/>
  <c r="C5276" i="1"/>
  <c r="F5276" i="1"/>
  <c r="A5277" i="1"/>
  <c r="B5277" i="1"/>
  <c r="C5277" i="1"/>
  <c r="F5277" i="1"/>
  <c r="K5277" i="1"/>
  <c r="A5278" i="1"/>
  <c r="B5278" i="1"/>
  <c r="C5278" i="1"/>
  <c r="F5278" i="1"/>
  <c r="K5278" i="1"/>
  <c r="A5279" i="1"/>
  <c r="B5279" i="1"/>
  <c r="C5279" i="1"/>
  <c r="F5279" i="1"/>
  <c r="K5279" i="1"/>
  <c r="A5280" i="1"/>
  <c r="B5280" i="1"/>
  <c r="C5280" i="1"/>
  <c r="F5280" i="1"/>
  <c r="K5280" i="1"/>
  <c r="A5281" i="1"/>
  <c r="B5281" i="1"/>
  <c r="C5281" i="1"/>
  <c r="F5281" i="1"/>
  <c r="K5281" i="1"/>
  <c r="A5282" i="1"/>
  <c r="B5282" i="1"/>
  <c r="C5282" i="1"/>
  <c r="F5282" i="1"/>
  <c r="K5282" i="1"/>
  <c r="A5283" i="1"/>
  <c r="B5283" i="1"/>
  <c r="C5283" i="1"/>
  <c r="F5283" i="1"/>
  <c r="K5283" i="1"/>
  <c r="A5284" i="1"/>
  <c r="B5284" i="1"/>
  <c r="C5284" i="1"/>
  <c r="F5284" i="1"/>
  <c r="K5284" i="1"/>
  <c r="A5285" i="1"/>
  <c r="B5285" i="1"/>
  <c r="C5285" i="1"/>
  <c r="F5285" i="1"/>
  <c r="K5285" i="1"/>
  <c r="A5286" i="1"/>
  <c r="B5286" i="1"/>
  <c r="C5286" i="1"/>
  <c r="F5286" i="1"/>
  <c r="K5286" i="1"/>
  <c r="A5287" i="1"/>
  <c r="B5287" i="1"/>
  <c r="C5287" i="1"/>
  <c r="F5287" i="1"/>
  <c r="K5287" i="1"/>
  <c r="A5288" i="1"/>
  <c r="B5288" i="1"/>
  <c r="C5288" i="1"/>
  <c r="F5288" i="1"/>
  <c r="A5289" i="1"/>
  <c r="B5289" i="1"/>
  <c r="C5289" i="1"/>
  <c r="F5289" i="1"/>
  <c r="K5289" i="1"/>
  <c r="A5290" i="1"/>
  <c r="B5290" i="1"/>
  <c r="C5290" i="1"/>
  <c r="F5290" i="1"/>
  <c r="K5290" i="1"/>
  <c r="A5291" i="1"/>
  <c r="B5291" i="1"/>
  <c r="C5291" i="1"/>
  <c r="F5291" i="1"/>
  <c r="A5292" i="1"/>
  <c r="B5292" i="1"/>
  <c r="C5292" i="1"/>
  <c r="F5292" i="1"/>
  <c r="K5292" i="1"/>
  <c r="A5293" i="1"/>
  <c r="B5293" i="1"/>
  <c r="C5293" i="1"/>
  <c r="F5293" i="1"/>
  <c r="K5293" i="1"/>
  <c r="A5294" i="1"/>
  <c r="B5294" i="1"/>
  <c r="C5294" i="1"/>
  <c r="F5294" i="1"/>
  <c r="K5294" i="1"/>
  <c r="A5295" i="1"/>
  <c r="B5295" i="1"/>
  <c r="C5295" i="1"/>
  <c r="F5295" i="1"/>
  <c r="K5295" i="1"/>
  <c r="A5296" i="1"/>
  <c r="B5296" i="1"/>
  <c r="C5296" i="1"/>
  <c r="F5296" i="1"/>
  <c r="K5296" i="1"/>
  <c r="A5297" i="1"/>
  <c r="B5297" i="1"/>
  <c r="C5297" i="1"/>
  <c r="F5297" i="1"/>
  <c r="A5298" i="1"/>
  <c r="B5298" i="1"/>
  <c r="C5298" i="1"/>
  <c r="F5298" i="1"/>
  <c r="K5298" i="1"/>
  <c r="A5299" i="1"/>
  <c r="B5299" i="1"/>
  <c r="C5299" i="1"/>
  <c r="F5299" i="1"/>
  <c r="K5299" i="1"/>
  <c r="A5300" i="1"/>
  <c r="B5300" i="1"/>
  <c r="C5300" i="1"/>
  <c r="F5300" i="1"/>
  <c r="K5300" i="1"/>
  <c r="A5301" i="1"/>
  <c r="B5301" i="1"/>
  <c r="C5301" i="1"/>
  <c r="F5301" i="1"/>
  <c r="K5301" i="1"/>
  <c r="A5302" i="1"/>
  <c r="B5302" i="1"/>
  <c r="C5302" i="1"/>
  <c r="F5302" i="1"/>
  <c r="K5302" i="1"/>
  <c r="A5303" i="1"/>
  <c r="B5303" i="1"/>
  <c r="C5303" i="1"/>
  <c r="F5303" i="1"/>
  <c r="K5303" i="1"/>
  <c r="A5304" i="1"/>
  <c r="B5304" i="1"/>
  <c r="C5304" i="1"/>
  <c r="F5304" i="1"/>
  <c r="K5304" i="1"/>
  <c r="A5305" i="1"/>
  <c r="B5305" i="1"/>
  <c r="C5305" i="1"/>
  <c r="F5305" i="1"/>
  <c r="K5305" i="1"/>
  <c r="A5306" i="1"/>
  <c r="B5306" i="1"/>
  <c r="C5306" i="1"/>
  <c r="F5306" i="1"/>
  <c r="K5306" i="1"/>
  <c r="A5307" i="1"/>
  <c r="B5307" i="1"/>
  <c r="C5307" i="1"/>
  <c r="F5307" i="1"/>
  <c r="A5308" i="1"/>
  <c r="B5308" i="1"/>
  <c r="C5308" i="1"/>
  <c r="F5308" i="1"/>
  <c r="A5309" i="1"/>
  <c r="B5309" i="1"/>
  <c r="C5309" i="1"/>
  <c r="F5309" i="1"/>
  <c r="A5310" i="1"/>
  <c r="B5310" i="1"/>
  <c r="C5310" i="1"/>
  <c r="F5310" i="1"/>
  <c r="K5310" i="1"/>
  <c r="A5311" i="1"/>
  <c r="B5311" i="1"/>
  <c r="C5311" i="1"/>
  <c r="F5311" i="1"/>
  <c r="A5312" i="1"/>
  <c r="B5312" i="1"/>
  <c r="C5312" i="1"/>
  <c r="F5312" i="1"/>
  <c r="A5313" i="1"/>
  <c r="B5313" i="1"/>
  <c r="C5313" i="1"/>
  <c r="F5313" i="1"/>
  <c r="A5314" i="1"/>
  <c r="B5314" i="1"/>
  <c r="C5314" i="1"/>
  <c r="F5314" i="1"/>
  <c r="K5314" i="1"/>
  <c r="A5315" i="1"/>
  <c r="B5315" i="1"/>
  <c r="C5315" i="1"/>
  <c r="F5315" i="1"/>
  <c r="K5315" i="1"/>
  <c r="A5316" i="1"/>
  <c r="B5316" i="1"/>
  <c r="C5316" i="1"/>
  <c r="F5316" i="1"/>
  <c r="K5316" i="1"/>
  <c r="A5317" i="1"/>
  <c r="B5317" i="1"/>
  <c r="C5317" i="1"/>
  <c r="F5317" i="1"/>
  <c r="K5317" i="1"/>
  <c r="A5318" i="1"/>
  <c r="B5318" i="1"/>
  <c r="C5318" i="1"/>
  <c r="F5318" i="1"/>
  <c r="K5318" i="1"/>
  <c r="A5319" i="1"/>
  <c r="B5319" i="1"/>
  <c r="C5319" i="1"/>
  <c r="F5319" i="1"/>
  <c r="K5319" i="1"/>
  <c r="A5320" i="1"/>
  <c r="B5320" i="1"/>
  <c r="C5320" i="1"/>
  <c r="F5320" i="1"/>
  <c r="K5320" i="1"/>
  <c r="A5321" i="1"/>
  <c r="B5321" i="1"/>
  <c r="C5321" i="1"/>
  <c r="F5321" i="1"/>
  <c r="K5321" i="1"/>
  <c r="A5322" i="1"/>
  <c r="B5322" i="1"/>
  <c r="C5322" i="1"/>
  <c r="F5322" i="1"/>
  <c r="K5322" i="1"/>
  <c r="A5323" i="1"/>
  <c r="B5323" i="1"/>
  <c r="C5323" i="1"/>
  <c r="F5323" i="1"/>
  <c r="K5323" i="1"/>
  <c r="A5324" i="1"/>
  <c r="F5324" i="1"/>
  <c r="K5324" i="1"/>
  <c r="A5325" i="1"/>
  <c r="F5325" i="1"/>
  <c r="K5325" i="1"/>
  <c r="A5326" i="1"/>
  <c r="F5326" i="1"/>
  <c r="K5326" i="1"/>
  <c r="A5327" i="1"/>
  <c r="F5327" i="1"/>
  <c r="K5327" i="1"/>
  <c r="A5328" i="1"/>
  <c r="F5328" i="1"/>
  <c r="K5328" i="1"/>
  <c r="A5329" i="1"/>
  <c r="F5329" i="1"/>
  <c r="K5329" i="1"/>
  <c r="A5330" i="1"/>
  <c r="F5330" i="1"/>
  <c r="A5331" i="1"/>
  <c r="F5331" i="1"/>
  <c r="A5332" i="1"/>
  <c r="F5332" i="1"/>
  <c r="A5333" i="1"/>
  <c r="B5333" i="1"/>
  <c r="C5333" i="1"/>
  <c r="F5333" i="1"/>
  <c r="K5333" i="1"/>
  <c r="A5334" i="1"/>
  <c r="F5334" i="1"/>
  <c r="A5335" i="1"/>
  <c r="F5335" i="1"/>
  <c r="K5335" i="1"/>
  <c r="A5336" i="1"/>
  <c r="F5336" i="1"/>
  <c r="K5336" i="1"/>
  <c r="A5337" i="1"/>
  <c r="B5337" i="1"/>
  <c r="C5337" i="1"/>
  <c r="F5337" i="1"/>
  <c r="A5338" i="1"/>
  <c r="F5338" i="1"/>
  <c r="K5338" i="1"/>
  <c r="A5339" i="1"/>
  <c r="B5339" i="1"/>
  <c r="C5339" i="1"/>
  <c r="F5339" i="1"/>
  <c r="K5339" i="1"/>
  <c r="A5340" i="1"/>
  <c r="F5340" i="1"/>
  <c r="K5340" i="1"/>
  <c r="A5341" i="1"/>
  <c r="F5341" i="1"/>
  <c r="K5341" i="1"/>
  <c r="A5342" i="1"/>
  <c r="F5342" i="1"/>
  <c r="K5342" i="1"/>
  <c r="A5343" i="1"/>
  <c r="F5343" i="1"/>
  <c r="K5343" i="1"/>
  <c r="A5344" i="1"/>
  <c r="F5344" i="1"/>
  <c r="K5344" i="1"/>
  <c r="A5345" i="1"/>
  <c r="B5345" i="1"/>
  <c r="C5345" i="1"/>
  <c r="F5345" i="1"/>
  <c r="A5346" i="1"/>
  <c r="B5346" i="1"/>
  <c r="C5346" i="1"/>
  <c r="F5346" i="1"/>
  <c r="A5347" i="1"/>
  <c r="B5347" i="1"/>
  <c r="C5347" i="1"/>
  <c r="F5347" i="1"/>
  <c r="A5348" i="1"/>
  <c r="B5348" i="1"/>
  <c r="C5348" i="1"/>
  <c r="F5348" i="1"/>
  <c r="A5349" i="1"/>
  <c r="B5349" i="1"/>
  <c r="C5349" i="1"/>
  <c r="F5349" i="1"/>
  <c r="A5350" i="1"/>
  <c r="B5350" i="1"/>
  <c r="C5350" i="1"/>
  <c r="F5350" i="1"/>
  <c r="A5351" i="1"/>
  <c r="F5351" i="1"/>
  <c r="K5351" i="1"/>
  <c r="A5352" i="1"/>
  <c r="F5352" i="1"/>
  <c r="K5352" i="1"/>
  <c r="A5353" i="1"/>
  <c r="F5353" i="1"/>
  <c r="K5353" i="1"/>
  <c r="A5354" i="1"/>
  <c r="F5354" i="1"/>
  <c r="K5354" i="1"/>
  <c r="A5355" i="1"/>
  <c r="F5355" i="1"/>
  <c r="K5355" i="1"/>
  <c r="A5356" i="1"/>
  <c r="B5356" i="1"/>
  <c r="C5356" i="1"/>
  <c r="F5356" i="1"/>
  <c r="K5356" i="1"/>
  <c r="A5357" i="1"/>
  <c r="F5357" i="1"/>
  <c r="K5357" i="1"/>
  <c r="A5358" i="1"/>
  <c r="F5358" i="1"/>
  <c r="K5358" i="1"/>
  <c r="A5359" i="1"/>
  <c r="F5359" i="1"/>
  <c r="K5359" i="1"/>
  <c r="A5360" i="1"/>
  <c r="F5360" i="1"/>
  <c r="K5360" i="1"/>
  <c r="A5361" i="1"/>
  <c r="F5361" i="1"/>
  <c r="K5361" i="1"/>
  <c r="A5362" i="1"/>
  <c r="F5362" i="1"/>
  <c r="A5363" i="1"/>
  <c r="F5363" i="1"/>
  <c r="K5363" i="1"/>
  <c r="A5364" i="1"/>
  <c r="F5364" i="1"/>
  <c r="K5364" i="1"/>
  <c r="A5365" i="1"/>
  <c r="F5365" i="1"/>
  <c r="K5365" i="1"/>
  <c r="A5366" i="1"/>
  <c r="F5366" i="1"/>
  <c r="K5366" i="1"/>
  <c r="A5367" i="1"/>
  <c r="F5367" i="1"/>
  <c r="K5367" i="1"/>
  <c r="A5368" i="1"/>
  <c r="F5368" i="1"/>
  <c r="K5368" i="1"/>
  <c r="A5369" i="1"/>
  <c r="F5369" i="1"/>
  <c r="K5369" i="1"/>
  <c r="A5370" i="1"/>
  <c r="F5370" i="1"/>
  <c r="K5370" i="1"/>
  <c r="A5371" i="1"/>
  <c r="F5371" i="1"/>
  <c r="K5371" i="1"/>
  <c r="A5372" i="1"/>
  <c r="B5372" i="1"/>
  <c r="C5372" i="1"/>
  <c r="F5372" i="1"/>
  <c r="A5373" i="1"/>
  <c r="B5373" i="1"/>
  <c r="C5373" i="1"/>
  <c r="F5373" i="1"/>
  <c r="A5374" i="1"/>
  <c r="B5374" i="1"/>
  <c r="C5374" i="1"/>
  <c r="F5374" i="1"/>
  <c r="A5375" i="1"/>
  <c r="B5375" i="1"/>
  <c r="C5375" i="1"/>
  <c r="F5375" i="1"/>
  <c r="A5376" i="1"/>
  <c r="B5376" i="1"/>
  <c r="C5376" i="1"/>
  <c r="F5376" i="1"/>
  <c r="A5377" i="1"/>
  <c r="B5377" i="1"/>
  <c r="C5377" i="1"/>
  <c r="F5377" i="1"/>
  <c r="A5378" i="1"/>
  <c r="F5378" i="1"/>
  <c r="A5379" i="1"/>
  <c r="F5379" i="1"/>
  <c r="K5379" i="1"/>
  <c r="A5380" i="1"/>
  <c r="F5380" i="1"/>
  <c r="K5380" i="1"/>
  <c r="A5381" i="1"/>
  <c r="F5381" i="1"/>
  <c r="K5381" i="1"/>
  <c r="A5382" i="1"/>
  <c r="F5382" i="1"/>
  <c r="K5382" i="1"/>
  <c r="A5383" i="1"/>
  <c r="F5383" i="1"/>
  <c r="K5383" i="1"/>
  <c r="A5384" i="1"/>
  <c r="B5384" i="1"/>
  <c r="C5384" i="1"/>
  <c r="F5384" i="1"/>
  <c r="K5384" i="1"/>
  <c r="A5385" i="1"/>
  <c r="F5385" i="1"/>
  <c r="K5385" i="1"/>
  <c r="A5386" i="1"/>
  <c r="F5386" i="1"/>
  <c r="K5386" i="1"/>
  <c r="A5387" i="1"/>
  <c r="F5387" i="1"/>
  <c r="K5387" i="1"/>
  <c r="A5388" i="1"/>
  <c r="B5388" i="1"/>
  <c r="C5388" i="1"/>
  <c r="F5388" i="1"/>
  <c r="K5388" i="1"/>
  <c r="A5389" i="1"/>
  <c r="B5389" i="1"/>
  <c r="C5389" i="1"/>
  <c r="F5389" i="1"/>
  <c r="K5389" i="1"/>
  <c r="A5390" i="1"/>
  <c r="F5390" i="1"/>
  <c r="K5390" i="1"/>
  <c r="A5391" i="1"/>
  <c r="F5391" i="1"/>
  <c r="K5391" i="1"/>
  <c r="A5392" i="1"/>
  <c r="F5392" i="1"/>
  <c r="A5393" i="1"/>
  <c r="F5393" i="1"/>
  <c r="A5394" i="1"/>
  <c r="F5394" i="1"/>
  <c r="K5394" i="1"/>
  <c r="A5395" i="1"/>
  <c r="F5395" i="1"/>
  <c r="K5395" i="1"/>
  <c r="A5396" i="1"/>
  <c r="F5396" i="1"/>
  <c r="K5396" i="1"/>
  <c r="A5397" i="1"/>
  <c r="F5397" i="1"/>
  <c r="K5397" i="1"/>
  <c r="A5398" i="1"/>
  <c r="F5398" i="1"/>
  <c r="A5399" i="1"/>
  <c r="F5399" i="1"/>
  <c r="A5400" i="1"/>
  <c r="F5400" i="1"/>
  <c r="A5401" i="1"/>
  <c r="F5401" i="1"/>
  <c r="K5401" i="1"/>
  <c r="A5402" i="1"/>
  <c r="B5402" i="1"/>
  <c r="C5402" i="1"/>
  <c r="F5402" i="1"/>
  <c r="K5402" i="1"/>
  <c r="A5403" i="1"/>
  <c r="F5403" i="1"/>
  <c r="K5403" i="1"/>
  <c r="A5404" i="1"/>
  <c r="F5404" i="1"/>
  <c r="K5404" i="1"/>
  <c r="A5405" i="1"/>
  <c r="F5405" i="1"/>
  <c r="K5405" i="1"/>
  <c r="A5406" i="1"/>
  <c r="B5406" i="1"/>
  <c r="C5406" i="1"/>
  <c r="F5406" i="1"/>
  <c r="A5407" i="1"/>
  <c r="B5407" i="1"/>
  <c r="C5407" i="1"/>
  <c r="F5407" i="1"/>
  <c r="A5408" i="1"/>
  <c r="B5408" i="1"/>
  <c r="C5408" i="1"/>
  <c r="F5408" i="1"/>
  <c r="A5409" i="1"/>
  <c r="B5409" i="1"/>
  <c r="C5409" i="1"/>
  <c r="F5409" i="1"/>
  <c r="A5410" i="1"/>
  <c r="B5410" i="1"/>
  <c r="C5410" i="1"/>
  <c r="F5410" i="1"/>
  <c r="A5411" i="1"/>
  <c r="B5411" i="1"/>
  <c r="C5411" i="1"/>
  <c r="F5411" i="1"/>
  <c r="A5412" i="1"/>
  <c r="B5412" i="1"/>
  <c r="C5412" i="1"/>
  <c r="F5412" i="1"/>
  <c r="A5413" i="1"/>
  <c r="B5413" i="1"/>
  <c r="C5413" i="1"/>
  <c r="F5413" i="1"/>
  <c r="A5414" i="1"/>
  <c r="B5414" i="1"/>
  <c r="C5414" i="1"/>
  <c r="F5414" i="1"/>
  <c r="A5415" i="1"/>
  <c r="B5415" i="1"/>
  <c r="C5415" i="1"/>
  <c r="F5415" i="1"/>
  <c r="A5416" i="1"/>
  <c r="B5416" i="1"/>
  <c r="C5416" i="1"/>
  <c r="F5416" i="1"/>
  <c r="A5417" i="1"/>
  <c r="B5417" i="1"/>
  <c r="C5417" i="1"/>
  <c r="F5417" i="1"/>
  <c r="A5418" i="1"/>
  <c r="F5418" i="1"/>
  <c r="A5419" i="1"/>
  <c r="F5419" i="1"/>
  <c r="A5420" i="1"/>
  <c r="F5420" i="1"/>
  <c r="A5421" i="1"/>
  <c r="F5421" i="1"/>
  <c r="A5422" i="1"/>
  <c r="B5422" i="1"/>
  <c r="C5422" i="1"/>
  <c r="F5422" i="1"/>
  <c r="K5422" i="1"/>
  <c r="A5423" i="1"/>
  <c r="F5423" i="1"/>
  <c r="K5423" i="1"/>
  <c r="A5424" i="1"/>
  <c r="F5424" i="1"/>
  <c r="K5424" i="1"/>
  <c r="A5425" i="1"/>
  <c r="B5425" i="1"/>
  <c r="C5425" i="1"/>
  <c r="F5425" i="1"/>
  <c r="A5426" i="1"/>
  <c r="B5426" i="1"/>
  <c r="C5426" i="1"/>
  <c r="F5426" i="1"/>
  <c r="A5427" i="1"/>
  <c r="F5427" i="1"/>
  <c r="A5428" i="1"/>
  <c r="F5428" i="1"/>
  <c r="A5429" i="1"/>
  <c r="F5429" i="1"/>
  <c r="A5430" i="1"/>
  <c r="B5430" i="1"/>
  <c r="C5430" i="1"/>
  <c r="F5430" i="1"/>
  <c r="K5430" i="1"/>
  <c r="A5431" i="1"/>
  <c r="B5431" i="1"/>
  <c r="C5431" i="1"/>
  <c r="F5431" i="1"/>
  <c r="K5431" i="1"/>
  <c r="A5432" i="1"/>
  <c r="B5432" i="1"/>
  <c r="C5432" i="1"/>
  <c r="F5432" i="1"/>
  <c r="K5432" i="1"/>
  <c r="A5433" i="1"/>
  <c r="B5433" i="1"/>
  <c r="C5433" i="1"/>
  <c r="F5433" i="1"/>
  <c r="K5433" i="1"/>
  <c r="A5434" i="1"/>
  <c r="B5434" i="1"/>
  <c r="C5434" i="1"/>
  <c r="F5434" i="1"/>
  <c r="K5434" i="1"/>
  <c r="A5435" i="1"/>
  <c r="B5435" i="1"/>
  <c r="C5435" i="1"/>
  <c r="F5435" i="1"/>
  <c r="K5435" i="1"/>
  <c r="A5436" i="1"/>
  <c r="B5436" i="1"/>
  <c r="C5436" i="1"/>
  <c r="F5436" i="1"/>
  <c r="K5436" i="1"/>
  <c r="A5437" i="1"/>
  <c r="B5437" i="1"/>
  <c r="C5437" i="1"/>
  <c r="F5437" i="1"/>
  <c r="K5437" i="1"/>
  <c r="A5438" i="1"/>
  <c r="B5438" i="1"/>
  <c r="C5438" i="1"/>
  <c r="F5438" i="1"/>
  <c r="K5438" i="1"/>
  <c r="A5439" i="1"/>
  <c r="B5439" i="1"/>
  <c r="C5439" i="1"/>
  <c r="F5439" i="1"/>
  <c r="K5439" i="1"/>
  <c r="A5440" i="1"/>
  <c r="B5440" i="1"/>
  <c r="C5440" i="1"/>
  <c r="F5440" i="1"/>
  <c r="K5440" i="1"/>
  <c r="A5441" i="1"/>
  <c r="B5441" i="1"/>
  <c r="C5441" i="1"/>
  <c r="F5441" i="1"/>
  <c r="K5441" i="1"/>
  <c r="A5442" i="1"/>
  <c r="B5442" i="1"/>
  <c r="C5442" i="1"/>
  <c r="F5442" i="1"/>
  <c r="K5442" i="1"/>
  <c r="A5443" i="1"/>
  <c r="B5443" i="1"/>
  <c r="C5443" i="1"/>
  <c r="F5443" i="1"/>
  <c r="K5443" i="1"/>
  <c r="A5444" i="1"/>
  <c r="B5444" i="1"/>
  <c r="C5444" i="1"/>
  <c r="F5444" i="1"/>
  <c r="K5444" i="1"/>
  <c r="A5445" i="1"/>
  <c r="B5445" i="1"/>
  <c r="C5445" i="1"/>
  <c r="F5445" i="1"/>
  <c r="K5445" i="1"/>
  <c r="A5446" i="1"/>
  <c r="B5446" i="1"/>
  <c r="C5446" i="1"/>
  <c r="F5446" i="1"/>
  <c r="K5446" i="1"/>
  <c r="A5447" i="1"/>
  <c r="B5447" i="1"/>
  <c r="C5447" i="1"/>
  <c r="F5447" i="1"/>
  <c r="K5447" i="1"/>
  <c r="A5448" i="1"/>
  <c r="B5448" i="1"/>
  <c r="C5448" i="1"/>
  <c r="F5448" i="1"/>
  <c r="K5448" i="1"/>
  <c r="A5449" i="1"/>
  <c r="B5449" i="1"/>
  <c r="C5449" i="1"/>
  <c r="F5449" i="1"/>
  <c r="K5449" i="1"/>
  <c r="A5450" i="1"/>
  <c r="F5450" i="1"/>
  <c r="A5451" i="1"/>
  <c r="F5451" i="1"/>
  <c r="A5452" i="1"/>
  <c r="B5452" i="1"/>
  <c r="C5452" i="1"/>
  <c r="F5452" i="1"/>
  <c r="K5452" i="1"/>
  <c r="A5453" i="1"/>
  <c r="B5453" i="1"/>
  <c r="C5453" i="1"/>
  <c r="F5453" i="1"/>
  <c r="A5454" i="1"/>
  <c r="B5454" i="1"/>
  <c r="C5454" i="1"/>
  <c r="F5454" i="1"/>
  <c r="A5455" i="1"/>
  <c r="B5455" i="1"/>
  <c r="C5455" i="1"/>
  <c r="F5455" i="1"/>
  <c r="A5456" i="1"/>
  <c r="B5456" i="1"/>
  <c r="C5456" i="1"/>
  <c r="F5456" i="1"/>
  <c r="A5457" i="1"/>
  <c r="B5457" i="1"/>
  <c r="C5457" i="1"/>
  <c r="F5457" i="1"/>
  <c r="A5458" i="1"/>
  <c r="B5458" i="1"/>
  <c r="C5458" i="1"/>
  <c r="F5458" i="1"/>
  <c r="A5459" i="1"/>
  <c r="B5459" i="1"/>
  <c r="C5459" i="1"/>
  <c r="F5459" i="1"/>
  <c r="A5460" i="1"/>
  <c r="B5460" i="1"/>
  <c r="C5460" i="1"/>
  <c r="F5460" i="1"/>
  <c r="A5461" i="1"/>
  <c r="B5461" i="1"/>
  <c r="C5461" i="1"/>
  <c r="F5461" i="1"/>
  <c r="A5462" i="1"/>
  <c r="B5462" i="1"/>
  <c r="C5462" i="1"/>
  <c r="F5462" i="1"/>
  <c r="A5463" i="1"/>
  <c r="B5463" i="1"/>
  <c r="C5463" i="1"/>
  <c r="F5463" i="1"/>
  <c r="A5464" i="1"/>
  <c r="B5464" i="1"/>
  <c r="C5464" i="1"/>
  <c r="F5464" i="1"/>
  <c r="A5465" i="1"/>
  <c r="B5465" i="1"/>
  <c r="C5465" i="1"/>
  <c r="F5465" i="1"/>
  <c r="A5466" i="1"/>
  <c r="B5466" i="1"/>
  <c r="C5466" i="1"/>
  <c r="F5466" i="1"/>
  <c r="A5467" i="1"/>
  <c r="B5467" i="1"/>
  <c r="C5467" i="1"/>
  <c r="F5467" i="1"/>
  <c r="A5468" i="1"/>
  <c r="B5468" i="1"/>
  <c r="C5468" i="1"/>
  <c r="F5468" i="1"/>
  <c r="A5469" i="1"/>
  <c r="B5469" i="1"/>
  <c r="C5469" i="1"/>
  <c r="F5469" i="1"/>
  <c r="A5470" i="1"/>
  <c r="B5470" i="1"/>
  <c r="C5470" i="1"/>
  <c r="F5470" i="1"/>
  <c r="A5471" i="1"/>
  <c r="B5471" i="1"/>
  <c r="C5471" i="1"/>
  <c r="F5471" i="1"/>
  <c r="A5472" i="1"/>
  <c r="B5472" i="1"/>
  <c r="C5472" i="1"/>
  <c r="F5472" i="1"/>
  <c r="A5473" i="1"/>
  <c r="B5473" i="1"/>
  <c r="C5473" i="1"/>
  <c r="F5473" i="1"/>
  <c r="A5474" i="1"/>
  <c r="B5474" i="1"/>
  <c r="C5474" i="1"/>
  <c r="F5474" i="1"/>
  <c r="A5475" i="1"/>
  <c r="B5475" i="1"/>
  <c r="C5475" i="1"/>
  <c r="F5475" i="1"/>
  <c r="A5476" i="1"/>
  <c r="B5476" i="1"/>
  <c r="C5476" i="1"/>
  <c r="F5476" i="1"/>
  <c r="A5477" i="1"/>
  <c r="B5477" i="1"/>
  <c r="C5477" i="1"/>
  <c r="F5477" i="1"/>
  <c r="A5478" i="1"/>
  <c r="B5478" i="1"/>
  <c r="C5478" i="1"/>
  <c r="F5478" i="1"/>
  <c r="A5479" i="1"/>
  <c r="B5479" i="1"/>
  <c r="C5479" i="1"/>
  <c r="F5479" i="1"/>
  <c r="A5480" i="1"/>
  <c r="B5480" i="1"/>
  <c r="C5480" i="1"/>
  <c r="F5480" i="1"/>
  <c r="K5480" i="1"/>
  <c r="A5481" i="1"/>
  <c r="B5481" i="1"/>
  <c r="C5481" i="1"/>
  <c r="F5481" i="1"/>
  <c r="A5482" i="1"/>
  <c r="B5482" i="1"/>
  <c r="C5482" i="1"/>
  <c r="F5482" i="1"/>
  <c r="K5482" i="1"/>
  <c r="A5483" i="1"/>
  <c r="B5483" i="1"/>
  <c r="C5483" i="1"/>
  <c r="F5483" i="1"/>
  <c r="K5483" i="1"/>
  <c r="A5484" i="1"/>
  <c r="F5484" i="1"/>
  <c r="A5485" i="1"/>
  <c r="B5485" i="1"/>
  <c r="C5485" i="1"/>
  <c r="F5485" i="1"/>
  <c r="A5486" i="1"/>
  <c r="B5486" i="1"/>
  <c r="C5486" i="1"/>
  <c r="F5486" i="1"/>
  <c r="A5487" i="1"/>
  <c r="B5487" i="1"/>
  <c r="C5487" i="1"/>
  <c r="F5487" i="1"/>
  <c r="K5487" i="1"/>
  <c r="A5488" i="1"/>
  <c r="B5488" i="1"/>
  <c r="C5488" i="1"/>
  <c r="F5488" i="1"/>
  <c r="A5489" i="1"/>
  <c r="F5489" i="1"/>
  <c r="K5489" i="1"/>
  <c r="A5490" i="1"/>
  <c r="B5490" i="1"/>
  <c r="C5490" i="1"/>
  <c r="F5490" i="1"/>
  <c r="A5491" i="1"/>
  <c r="B5491" i="1"/>
  <c r="C5491" i="1"/>
  <c r="F5491" i="1"/>
  <c r="K5491" i="1"/>
  <c r="A5492" i="1"/>
  <c r="B5492" i="1"/>
  <c r="C5492" i="1"/>
  <c r="F5492" i="1"/>
  <c r="K5492" i="1"/>
  <c r="A5493" i="1"/>
  <c r="B5493" i="1"/>
  <c r="C5493" i="1"/>
  <c r="F5493" i="1"/>
  <c r="K5493" i="1"/>
  <c r="A5494" i="1"/>
  <c r="B5494" i="1"/>
  <c r="C5494" i="1"/>
  <c r="F5494" i="1"/>
  <c r="K5494" i="1"/>
  <c r="A5495" i="1"/>
  <c r="B5495" i="1"/>
  <c r="C5495" i="1"/>
  <c r="F5495" i="1"/>
  <c r="K5495" i="1"/>
  <c r="A5496" i="1"/>
  <c r="B5496" i="1"/>
  <c r="C5496" i="1"/>
  <c r="F5496" i="1"/>
  <c r="K5496" i="1"/>
  <c r="A5497" i="1"/>
  <c r="B5497" i="1"/>
  <c r="C5497" i="1"/>
  <c r="F5497" i="1"/>
  <c r="K5497" i="1"/>
  <c r="A5498" i="1"/>
  <c r="B5498" i="1"/>
  <c r="C5498" i="1"/>
  <c r="F5498" i="1"/>
  <c r="K5498" i="1"/>
  <c r="A5499" i="1"/>
  <c r="B5499" i="1"/>
  <c r="C5499" i="1"/>
  <c r="F5499" i="1"/>
  <c r="A5500" i="1"/>
  <c r="B5500" i="1"/>
  <c r="C5500" i="1"/>
  <c r="F5500" i="1"/>
  <c r="K5500" i="1"/>
  <c r="A5501" i="1"/>
  <c r="B5501" i="1"/>
  <c r="C5501" i="1"/>
  <c r="F5501" i="1"/>
  <c r="K5501" i="1"/>
  <c r="A5502" i="1"/>
  <c r="B5502" i="1"/>
  <c r="C5502" i="1"/>
  <c r="F5502" i="1"/>
  <c r="K5502" i="1"/>
  <c r="A5503" i="1"/>
  <c r="B5503" i="1"/>
  <c r="C5503" i="1"/>
  <c r="F5503" i="1"/>
  <c r="A5504" i="1"/>
  <c r="B5504" i="1"/>
  <c r="C5504" i="1"/>
  <c r="F5504" i="1"/>
  <c r="A5505" i="1"/>
  <c r="B5505" i="1"/>
  <c r="C5505" i="1"/>
  <c r="F5505" i="1"/>
  <c r="A5506" i="1"/>
  <c r="B5506" i="1"/>
  <c r="C5506" i="1"/>
  <c r="F5506" i="1"/>
  <c r="A5507" i="1"/>
  <c r="B5507" i="1"/>
  <c r="C5507" i="1"/>
  <c r="F5507" i="1"/>
  <c r="A5508" i="1"/>
  <c r="B5508" i="1"/>
  <c r="C5508" i="1"/>
  <c r="F5508" i="1"/>
  <c r="K5508" i="1"/>
  <c r="A5509" i="1"/>
  <c r="B5509" i="1"/>
  <c r="C5509" i="1"/>
  <c r="F5509" i="1"/>
  <c r="K5509" i="1"/>
  <c r="A5510" i="1"/>
  <c r="B5510" i="1"/>
  <c r="C5510" i="1"/>
  <c r="F5510" i="1"/>
  <c r="K5510" i="1"/>
  <c r="A5511" i="1"/>
  <c r="B5511" i="1"/>
  <c r="C5511" i="1"/>
  <c r="F5511" i="1"/>
  <c r="K5511" i="1"/>
  <c r="A5512" i="1"/>
  <c r="B5512" i="1"/>
  <c r="C5512" i="1"/>
  <c r="F5512" i="1"/>
  <c r="K5512" i="1"/>
  <c r="A5513" i="1"/>
  <c r="B5513" i="1"/>
  <c r="C5513" i="1"/>
  <c r="F5513" i="1"/>
  <c r="K5513" i="1"/>
  <c r="A5514" i="1"/>
  <c r="B5514" i="1"/>
  <c r="C5514" i="1"/>
  <c r="F5514" i="1"/>
  <c r="K5514" i="1"/>
  <c r="A5515" i="1"/>
  <c r="B5515" i="1"/>
  <c r="C5515" i="1"/>
  <c r="F5515" i="1"/>
  <c r="K5515" i="1"/>
  <c r="A5516" i="1"/>
  <c r="B5516" i="1"/>
  <c r="C5516" i="1"/>
  <c r="F5516" i="1"/>
  <c r="K5516" i="1"/>
  <c r="A5517" i="1"/>
  <c r="B5517" i="1"/>
  <c r="C5517" i="1"/>
  <c r="F5517" i="1"/>
  <c r="K5517" i="1"/>
  <c r="A5518" i="1"/>
  <c r="B5518" i="1"/>
  <c r="C5518" i="1"/>
  <c r="F5518" i="1"/>
  <c r="K5518" i="1"/>
  <c r="A5519" i="1"/>
  <c r="B5519" i="1"/>
  <c r="C5519" i="1"/>
  <c r="F5519" i="1"/>
  <c r="K5519" i="1"/>
  <c r="A5520" i="1"/>
  <c r="B5520" i="1"/>
  <c r="C5520" i="1"/>
  <c r="F5520" i="1"/>
  <c r="K5520" i="1"/>
  <c r="A5521" i="1"/>
  <c r="B5521" i="1"/>
  <c r="C5521" i="1"/>
  <c r="F5521" i="1"/>
  <c r="K5521" i="1"/>
  <c r="A5522" i="1"/>
  <c r="B5522" i="1"/>
  <c r="C5522" i="1"/>
  <c r="F5522" i="1"/>
  <c r="K5522" i="1"/>
  <c r="A5523" i="1"/>
  <c r="B5523" i="1"/>
  <c r="C5523" i="1"/>
  <c r="F5523" i="1"/>
  <c r="A5524" i="1"/>
  <c r="B5524" i="1"/>
  <c r="C5524" i="1"/>
  <c r="F5524" i="1"/>
  <c r="K5524" i="1"/>
  <c r="A5525" i="1"/>
  <c r="B5525" i="1"/>
  <c r="C5525" i="1"/>
  <c r="F5525" i="1"/>
  <c r="K5525" i="1"/>
  <c r="A5526" i="1"/>
  <c r="B5526" i="1"/>
  <c r="C5526" i="1"/>
  <c r="F5526" i="1"/>
  <c r="K5526" i="1"/>
  <c r="A5527" i="1"/>
  <c r="B5527" i="1"/>
  <c r="C5527" i="1"/>
  <c r="F5527" i="1"/>
  <c r="K5527" i="1"/>
  <c r="A5528" i="1"/>
  <c r="B5528" i="1"/>
  <c r="C5528" i="1"/>
  <c r="F5528" i="1"/>
  <c r="A5529" i="1"/>
  <c r="B5529" i="1"/>
  <c r="C5529" i="1"/>
  <c r="F5529" i="1"/>
  <c r="K5529" i="1"/>
  <c r="A5530" i="1"/>
  <c r="B5530" i="1"/>
  <c r="C5530" i="1"/>
  <c r="F5530" i="1"/>
  <c r="K5530" i="1"/>
</calcChain>
</file>

<file path=xl/sharedStrings.xml><?xml version="1.0" encoding="utf-8"?>
<sst xmlns="http://schemas.openxmlformats.org/spreadsheetml/2006/main" count="13424" uniqueCount="3608">
  <si>
    <t>W005942</t>
  </si>
  <si>
    <t>WA</t>
  </si>
  <si>
    <t>Bonaparte Basin Petrel Sub-basin</t>
  </si>
  <si>
    <t>Petrel</t>
  </si>
  <si>
    <t>W006092</t>
  </si>
  <si>
    <t>W006093</t>
  </si>
  <si>
    <t>W006094</t>
  </si>
  <si>
    <t>W006095</t>
  </si>
  <si>
    <t>W006097</t>
  </si>
  <si>
    <t>Bonaparte Basin Sahul Platform</t>
  </si>
  <si>
    <t>W001351</t>
  </si>
  <si>
    <t>Canning Basin Betty Terrace</t>
  </si>
  <si>
    <t>Atrax</t>
  </si>
  <si>
    <t>W001356</t>
  </si>
  <si>
    <t>Ngalti</t>
  </si>
  <si>
    <t>W001306</t>
  </si>
  <si>
    <t>Olios</t>
  </si>
  <si>
    <t>W002247</t>
  </si>
  <si>
    <t>Canning Basin Gregory Sub-basin</t>
  </si>
  <si>
    <t>Lake Hevern</t>
  </si>
  <si>
    <t>W001390</t>
  </si>
  <si>
    <t>Canning Basin Lennard Shelf</t>
  </si>
  <si>
    <t>Justago</t>
  </si>
  <si>
    <t>M0003075</t>
  </si>
  <si>
    <t>Kimberley Halls Creek Orogen</t>
  </si>
  <si>
    <t>West Kimberley Merlin Deeps prospect</t>
  </si>
  <si>
    <t>M0003076</t>
  </si>
  <si>
    <t>M0003095</t>
  </si>
  <si>
    <t>M0003015</t>
  </si>
  <si>
    <t xml:space="preserve">Tarraji </t>
  </si>
  <si>
    <t>M0003016</t>
  </si>
  <si>
    <t>Tarraji</t>
  </si>
  <si>
    <t>W001921</t>
  </si>
  <si>
    <t>Northern Bonaparte Basin Petrel Sub-basin</t>
  </si>
  <si>
    <t>W001186</t>
  </si>
  <si>
    <t>Tern</t>
  </si>
  <si>
    <t>W001945</t>
  </si>
  <si>
    <t>W002197</t>
  </si>
  <si>
    <t>W001980</t>
  </si>
  <si>
    <t>Northern Carnarvon Basin Barrow Sub-basin</t>
  </si>
  <si>
    <t>Austin</t>
  </si>
  <si>
    <t>W001863</t>
  </si>
  <si>
    <t>East Spar</t>
  </si>
  <si>
    <t>W001880</t>
  </si>
  <si>
    <t>W000754</t>
  </si>
  <si>
    <t>Pepper</t>
  </si>
  <si>
    <t>W002801</t>
  </si>
  <si>
    <t>Robert Addams</t>
  </si>
  <si>
    <t>W001985</t>
  </si>
  <si>
    <t>Wonnich</t>
  </si>
  <si>
    <t>W002136</t>
  </si>
  <si>
    <t>M0003243</t>
  </si>
  <si>
    <t>Paterson Orogen Musgrave Province</t>
  </si>
  <si>
    <t>Jameson Fault</t>
  </si>
  <si>
    <t>M0003051</t>
  </si>
  <si>
    <t>Paterson Orogen Yeneena Basin</t>
  </si>
  <si>
    <t>Lamil</t>
  </si>
  <si>
    <t>M0003052</t>
  </si>
  <si>
    <t>M0003053</t>
  </si>
  <si>
    <t>NA</t>
  </si>
  <si>
    <t>Nifty</t>
  </si>
  <si>
    <t>Nifty Underground</t>
  </si>
  <si>
    <t>M0002835</t>
  </si>
  <si>
    <t>Paterson</t>
  </si>
  <si>
    <t>M0003050</t>
  </si>
  <si>
    <t>Telfer West</t>
  </si>
  <si>
    <t>W000120</t>
  </si>
  <si>
    <t>Perth Basin Beagle Ridge</t>
  </si>
  <si>
    <t>Cadda</t>
  </si>
  <si>
    <t>W002263</t>
  </si>
  <si>
    <t>Perth Basin Beermullah Trough</t>
  </si>
  <si>
    <t>Gingin</t>
  </si>
  <si>
    <t>W000172</t>
  </si>
  <si>
    <t>Perth Basin Dandaragan Trough</t>
  </si>
  <si>
    <t>Badaminna</t>
  </si>
  <si>
    <t>W000012</t>
  </si>
  <si>
    <t>Eneabba</t>
  </si>
  <si>
    <t>W000792</t>
  </si>
  <si>
    <t>Walyering</t>
  </si>
  <si>
    <t>W000802</t>
  </si>
  <si>
    <t>W000815</t>
  </si>
  <si>
    <t>W000934</t>
  </si>
  <si>
    <t>Warro</t>
  </si>
  <si>
    <t>W003236</t>
  </si>
  <si>
    <t>Wolf</t>
  </si>
  <si>
    <t>W000771</t>
  </si>
  <si>
    <t>Southern Carnarvon Basin Gascoyne Platform</t>
  </si>
  <si>
    <t>Dirk Hartog</t>
  </si>
  <si>
    <t>W002081</t>
  </si>
  <si>
    <t>GSWA Barrabiddy</t>
  </si>
  <si>
    <t>W000711</t>
  </si>
  <si>
    <t>Hamelin Pool</t>
  </si>
  <si>
    <t>W000712</t>
  </si>
  <si>
    <t>W001325</t>
  </si>
  <si>
    <t>Quobba</t>
  </si>
  <si>
    <t>W000032</t>
  </si>
  <si>
    <t>Rough Range</t>
  </si>
  <si>
    <t>W000869</t>
  </si>
  <si>
    <t>Tamala</t>
  </si>
  <si>
    <t>W000007</t>
  </si>
  <si>
    <t>Wandagee</t>
  </si>
  <si>
    <t>W000008</t>
  </si>
  <si>
    <t>W002116</t>
  </si>
  <si>
    <t>Yaringa East</t>
  </si>
  <si>
    <t>W000157</t>
  </si>
  <si>
    <t>Yaringa</t>
  </si>
  <si>
    <t>W001988</t>
  </si>
  <si>
    <t>Southern Carnarvon Basin Merlinleigh Sub-basin</t>
  </si>
  <si>
    <t>GSWA Gneudna 1</t>
  </si>
  <si>
    <t>M0003085</t>
  </si>
  <si>
    <t>Youanmi Terrane Murchison Domain</t>
  </si>
  <si>
    <t>Moyagee Starlight Link prospect</t>
  </si>
  <si>
    <t>M0003086</t>
  </si>
  <si>
    <t>M0003087</t>
  </si>
  <si>
    <t>M0003088</t>
  </si>
  <si>
    <t>M0003089</t>
  </si>
  <si>
    <t>M0003090</t>
  </si>
  <si>
    <t>M0002936</t>
  </si>
  <si>
    <t>Bencubbin</t>
  </si>
  <si>
    <t>M0002937</t>
  </si>
  <si>
    <t>M0002939</t>
  </si>
  <si>
    <t>M0002940</t>
  </si>
  <si>
    <t>M0003193</t>
  </si>
  <si>
    <t>Crossroads</t>
  </si>
  <si>
    <t>M0003194</t>
  </si>
  <si>
    <t>M0003195</t>
  </si>
  <si>
    <t>M0003196</t>
  </si>
  <si>
    <t>M0002996</t>
  </si>
  <si>
    <t>Cue</t>
  </si>
  <si>
    <t>M0002997</t>
  </si>
  <si>
    <t>M0002998</t>
  </si>
  <si>
    <t>M0003247</t>
  </si>
  <si>
    <t>Hammerhead</t>
  </si>
  <si>
    <t>M0003249</t>
  </si>
  <si>
    <t>M0003248</t>
  </si>
  <si>
    <t>M0003250</t>
  </si>
  <si>
    <t>M0003156</t>
  </si>
  <si>
    <t xml:space="preserve">Jinkas </t>
  </si>
  <si>
    <t>M0003177</t>
  </si>
  <si>
    <t>Jinkas</t>
  </si>
  <si>
    <t>M0003178</t>
  </si>
  <si>
    <t>M0002919</t>
  </si>
  <si>
    <t>Katanning Gold Project Regional Drilling</t>
  </si>
  <si>
    <t>M0002920</t>
  </si>
  <si>
    <t>M0002922</t>
  </si>
  <si>
    <t>M0002923</t>
  </si>
  <si>
    <t>M0002924</t>
  </si>
  <si>
    <t>M0002925</t>
  </si>
  <si>
    <t>M0002407</t>
  </si>
  <si>
    <t>Lake Magenta</t>
  </si>
  <si>
    <t>M0002408</t>
  </si>
  <si>
    <t>M0001670</t>
  </si>
  <si>
    <t>Melville</t>
  </si>
  <si>
    <t>M0003318</t>
  </si>
  <si>
    <t>Parks Reef</t>
  </si>
  <si>
    <t>M0003319</t>
  </si>
  <si>
    <t>M0003257</t>
  </si>
  <si>
    <t>Sidewell</t>
  </si>
  <si>
    <t>M0003258</t>
  </si>
  <si>
    <t>M0003259</t>
  </si>
  <si>
    <t>M0003127</t>
  </si>
  <si>
    <t>Wongan Hills</t>
  </si>
  <si>
    <t>M0003251</t>
  </si>
  <si>
    <t>Yandina</t>
  </si>
  <si>
    <t>M0003252</t>
  </si>
  <si>
    <t>M0003253</t>
  </si>
  <si>
    <t>M0002837</t>
  </si>
  <si>
    <t>Youanmi Terrane Southern Cross Domain</t>
  </si>
  <si>
    <t xml:space="preserve">Jimberlana </t>
  </si>
  <si>
    <t>M0000104</t>
  </si>
  <si>
    <t>M0002838</t>
  </si>
  <si>
    <t>Jimberlana</t>
  </si>
  <si>
    <t>M0003197</t>
  </si>
  <si>
    <t>Mt Cattlin</t>
  </si>
  <si>
    <t>M0003198</t>
  </si>
  <si>
    <t>M0003199</t>
  </si>
  <si>
    <t>M0003047</t>
  </si>
  <si>
    <t>AFO South</t>
  </si>
  <si>
    <t>W000019</t>
  </si>
  <si>
    <t>Abbarwardoo</t>
  </si>
  <si>
    <t>Ag Department Yilgarn Hydrogeology Bores</t>
  </si>
  <si>
    <t>W002692</t>
  </si>
  <si>
    <t>Agonis</t>
  </si>
  <si>
    <t>M0002355</t>
  </si>
  <si>
    <t>Albany-Fraser Biranup Zone</t>
  </si>
  <si>
    <t>Salt Creek Joint Venture - Belvedere Prospect</t>
  </si>
  <si>
    <t>M0002617</t>
  </si>
  <si>
    <t>Salt Creek Joint Venture - Rising Dragon Prospect</t>
  </si>
  <si>
    <t>M0001628</t>
  </si>
  <si>
    <t>Albany-Fraser Fraser Zone</t>
  </si>
  <si>
    <t>Symons Hill</t>
  </si>
  <si>
    <t>M0002354</t>
  </si>
  <si>
    <t>Albany-Fraser Tropicana Zone</t>
  </si>
  <si>
    <t>Tropicana West</t>
  </si>
  <si>
    <t>M0001485</t>
  </si>
  <si>
    <t>Albany-Fraser (sub-Eucla Basin)</t>
  </si>
  <si>
    <t>Big Red</t>
  </si>
  <si>
    <t>M0001486</t>
  </si>
  <si>
    <t>M0001389</t>
  </si>
  <si>
    <t>Burkin</t>
  </si>
  <si>
    <t>M0001390</t>
  </si>
  <si>
    <t>M0001484</t>
  </si>
  <si>
    <t>Eucla - Balladonia prospect</t>
  </si>
  <si>
    <t>M0001483</t>
  </si>
  <si>
    <t>Eucla - Bill's prospect</t>
  </si>
  <si>
    <t>M0001482</t>
  </si>
  <si>
    <t>Eucla - Racecourse prospect</t>
  </si>
  <si>
    <t>M0001492</t>
  </si>
  <si>
    <t>Haig</t>
  </si>
  <si>
    <t>M0001493</t>
  </si>
  <si>
    <t>M0001507</t>
  </si>
  <si>
    <t>NSD</t>
  </si>
  <si>
    <t>M0001517</t>
  </si>
  <si>
    <t>The serpent</t>
  </si>
  <si>
    <t>M0001518</t>
  </si>
  <si>
    <t>M0003000</t>
  </si>
  <si>
    <t>Albany-Fraser</t>
  </si>
  <si>
    <t>AFO North Pike prospect</t>
  </si>
  <si>
    <t>M0002784</t>
  </si>
  <si>
    <t>Andromeda</t>
  </si>
  <si>
    <t>M0002433</t>
  </si>
  <si>
    <t>Fairwater</t>
  </si>
  <si>
    <t>M0002434</t>
  </si>
  <si>
    <t>M0002435</t>
  </si>
  <si>
    <t>M0002303</t>
  </si>
  <si>
    <t>Fraser Range</t>
  </si>
  <si>
    <t>M0002304</t>
  </si>
  <si>
    <t>M0002305</t>
  </si>
  <si>
    <t>M0002306</t>
  </si>
  <si>
    <t>M0002436</t>
  </si>
  <si>
    <t>Fraser Range Deep Diamond Drilling</t>
  </si>
  <si>
    <t>M0001593</t>
  </si>
  <si>
    <t>Hercules</t>
  </si>
  <si>
    <t>M0001594</t>
  </si>
  <si>
    <t>M0001595</t>
  </si>
  <si>
    <t>M0001596</t>
  </si>
  <si>
    <t>M0001597</t>
  </si>
  <si>
    <t>M0001598</t>
  </si>
  <si>
    <t>M0001599</t>
  </si>
  <si>
    <t>M0002096</t>
  </si>
  <si>
    <t>Plato</t>
  </si>
  <si>
    <t>M0002097</t>
  </si>
  <si>
    <t>M0002098</t>
  </si>
  <si>
    <t>M0002099</t>
  </si>
  <si>
    <t>M0001553</t>
  </si>
  <si>
    <t>Plumridge - Camaro</t>
  </si>
  <si>
    <t>M0001554</t>
  </si>
  <si>
    <t>M0001555</t>
  </si>
  <si>
    <t>M0001556</t>
  </si>
  <si>
    <t>Plumridge - Cobra</t>
  </si>
  <si>
    <t>M0001557</t>
  </si>
  <si>
    <t>Plumridge - Stingray</t>
  </si>
  <si>
    <t>M0001451</t>
  </si>
  <si>
    <t>Salmon Gums</t>
  </si>
  <si>
    <t>M0001452</t>
  </si>
  <si>
    <t>M0001453</t>
  </si>
  <si>
    <t>M0001454</t>
  </si>
  <si>
    <t>M0001455</t>
  </si>
  <si>
    <t>M0002616</t>
  </si>
  <si>
    <t>M0002618</t>
  </si>
  <si>
    <t>M0001777</t>
  </si>
  <si>
    <t>Splinter</t>
  </si>
  <si>
    <t>M0001778</t>
  </si>
  <si>
    <t>M0002749</t>
  </si>
  <si>
    <t>Springdale Graphite</t>
  </si>
  <si>
    <t>M0002750</t>
  </si>
  <si>
    <t>M0002751</t>
  </si>
  <si>
    <t>M0002752</t>
  </si>
  <si>
    <t>M0002409</t>
  </si>
  <si>
    <t>Symons Hill Nickel EM Target</t>
  </si>
  <si>
    <t>M0002973</t>
  </si>
  <si>
    <t>Woolly</t>
  </si>
  <si>
    <t>M0002974</t>
  </si>
  <si>
    <t>M0002975</t>
  </si>
  <si>
    <t>W000112</t>
  </si>
  <si>
    <t>Arrowsmith</t>
  </si>
  <si>
    <t>W003295</t>
  </si>
  <si>
    <t>M0002119</t>
  </si>
  <si>
    <t>Arunta / Canning Basin</t>
  </si>
  <si>
    <t>Top Up Rise</t>
  </si>
  <si>
    <t>M0002120</t>
  </si>
  <si>
    <t>M0002121</t>
  </si>
  <si>
    <t>M0002122</t>
  </si>
  <si>
    <t>M0002123</t>
  </si>
  <si>
    <t>M0003654</t>
  </si>
  <si>
    <t>M0003655</t>
  </si>
  <si>
    <t>M0003656</t>
  </si>
  <si>
    <t>M0003657</t>
  </si>
  <si>
    <t>M0003658</t>
  </si>
  <si>
    <t>M0003659</t>
  </si>
  <si>
    <t>M0003660</t>
  </si>
  <si>
    <t>M0003661</t>
  </si>
  <si>
    <t>M0003662</t>
  </si>
  <si>
    <t>M0002909</t>
  </si>
  <si>
    <t>Arunta Orogen Aileron Province</t>
  </si>
  <si>
    <t>Arunta</t>
  </si>
  <si>
    <t>M0002911</t>
  </si>
  <si>
    <t>M0002910</t>
  </si>
  <si>
    <t>M0003124</t>
  </si>
  <si>
    <t>Arunta Orogen</t>
  </si>
  <si>
    <t>Aileron</t>
  </si>
  <si>
    <t>M0001500</t>
  </si>
  <si>
    <t>Lake Mackay</t>
  </si>
  <si>
    <t>M0003302</t>
  </si>
  <si>
    <t>M0003296</t>
  </si>
  <si>
    <t>M0003301</t>
  </si>
  <si>
    <t>M0003297</t>
  </si>
  <si>
    <t>M0003298</t>
  </si>
  <si>
    <t>M0003299</t>
  </si>
  <si>
    <t>M0003304</t>
  </si>
  <si>
    <t>M0003303</t>
  </si>
  <si>
    <t>M0003300</t>
  </si>
  <si>
    <t>M0003305</t>
  </si>
  <si>
    <t>M0003307</t>
  </si>
  <si>
    <t>M0003308</t>
  </si>
  <si>
    <t>M0003306</t>
  </si>
  <si>
    <t>M0001540</t>
  </si>
  <si>
    <t>Ashburton Province</t>
  </si>
  <si>
    <t>Mount Olympus</t>
  </si>
  <si>
    <t>M0001541</t>
  </si>
  <si>
    <t>M0001437</t>
  </si>
  <si>
    <t>Nanjigarldy (Ibex/Bacome)</t>
  </si>
  <si>
    <t>M0001743</t>
  </si>
  <si>
    <t>Nanjigarldy (Mount Olympus)</t>
  </si>
  <si>
    <t>M0001744</t>
  </si>
  <si>
    <t>M0001745</t>
  </si>
  <si>
    <t>M0001746</t>
  </si>
  <si>
    <t>M0001747</t>
  </si>
  <si>
    <t>M0001748</t>
  </si>
  <si>
    <t>M0001749</t>
  </si>
  <si>
    <t>M0001750</t>
  </si>
  <si>
    <t>M0001448</t>
  </si>
  <si>
    <t>M0001447</t>
  </si>
  <si>
    <t>M0001372</t>
  </si>
  <si>
    <t>M0001439</t>
  </si>
  <si>
    <t>Nanjigarldy (New Morning)</t>
  </si>
  <si>
    <t>M0001729</t>
  </si>
  <si>
    <t>Nanjigarldy (Olympus-Zeus)</t>
  </si>
  <si>
    <t>M0001751</t>
  </si>
  <si>
    <t>M0001752</t>
  </si>
  <si>
    <t>M0001753</t>
  </si>
  <si>
    <t>M0001730</t>
  </si>
  <si>
    <t>M0001438</t>
  </si>
  <si>
    <t>Nanjigarldy (Romulus)</t>
  </si>
  <si>
    <t>M0001560</t>
  </si>
  <si>
    <t>Ristretto (Kunderong Range)</t>
  </si>
  <si>
    <t>M0001307</t>
  </si>
  <si>
    <t>Bangemall</t>
  </si>
  <si>
    <t>Irregully Creek</t>
  </si>
  <si>
    <t>W000171</t>
  </si>
  <si>
    <t>Beharra</t>
  </si>
  <si>
    <t>W002473</t>
  </si>
  <si>
    <t>Beharra Spings North</t>
  </si>
  <si>
    <t>W001657</t>
  </si>
  <si>
    <t>Beharra Springs</t>
  </si>
  <si>
    <t>W001727</t>
  </si>
  <si>
    <t>W001773</t>
  </si>
  <si>
    <t>W005985</t>
  </si>
  <si>
    <t>Bonaparte Basin</t>
  </si>
  <si>
    <t>Rainier</t>
  </si>
  <si>
    <t>W005887</t>
  </si>
  <si>
    <t>Sunrise</t>
  </si>
  <si>
    <t>W005885</t>
  </si>
  <si>
    <t>Sunset</t>
  </si>
  <si>
    <t>W005886</t>
  </si>
  <si>
    <t>Sunset West</t>
  </si>
  <si>
    <t>W002882</t>
  </si>
  <si>
    <t>Browse Basin</t>
  </si>
  <si>
    <t>Torosa</t>
  </si>
  <si>
    <t>W002972</t>
  </si>
  <si>
    <t>W003095</t>
  </si>
  <si>
    <t>W003035</t>
  </si>
  <si>
    <t>M0002317</t>
  </si>
  <si>
    <t>Bryah Basin</t>
  </si>
  <si>
    <t>Bryah Basin - Neptune</t>
  </si>
  <si>
    <t>M0002318</t>
  </si>
  <si>
    <t>M0002319</t>
  </si>
  <si>
    <t>M0002312</t>
  </si>
  <si>
    <t>Doolgunna</t>
  </si>
  <si>
    <t>M0002313</t>
  </si>
  <si>
    <t>M0003055</t>
  </si>
  <si>
    <t>Livingstone</t>
  </si>
  <si>
    <t>M0003056</t>
  </si>
  <si>
    <t>M0003057</t>
  </si>
  <si>
    <t>M0003058</t>
  </si>
  <si>
    <t>M0003059</t>
  </si>
  <si>
    <t>M0002755</t>
  </si>
  <si>
    <t>Wodger VMS Target</t>
  </si>
  <si>
    <t>W001071</t>
  </si>
  <si>
    <t xml:space="preserve">Canning Basin Barbwire Terrace </t>
  </si>
  <si>
    <t xml:space="preserve">Acacia </t>
  </si>
  <si>
    <t>W001072</t>
  </si>
  <si>
    <t xml:space="preserve">Boab </t>
  </si>
  <si>
    <t>W001073</t>
  </si>
  <si>
    <t xml:space="preserve">Cassia </t>
  </si>
  <si>
    <t>W001075</t>
  </si>
  <si>
    <t xml:space="preserve">Ficus </t>
  </si>
  <si>
    <t>W001277</t>
  </si>
  <si>
    <t xml:space="preserve">Solanum </t>
  </si>
  <si>
    <t>W001177</t>
  </si>
  <si>
    <t>Canning Basin Barbwire Terrace</t>
  </si>
  <si>
    <t>W000832</t>
  </si>
  <si>
    <t xml:space="preserve">Barbwire </t>
  </si>
  <si>
    <t>W001138</t>
  </si>
  <si>
    <t>Eremophila</t>
  </si>
  <si>
    <t>W001273</t>
  </si>
  <si>
    <t xml:space="preserve">Triodia </t>
  </si>
  <si>
    <t>W001344</t>
  </si>
  <si>
    <t>Canning Basin Broome Platform</t>
  </si>
  <si>
    <t xml:space="preserve">Kunzea </t>
  </si>
  <si>
    <t>W002050</t>
  </si>
  <si>
    <t>Looma</t>
  </si>
  <si>
    <t>W003159</t>
  </si>
  <si>
    <t xml:space="preserve">Sally May </t>
  </si>
  <si>
    <t>W001284</t>
  </si>
  <si>
    <t>Santalum</t>
  </si>
  <si>
    <t>W000696</t>
  </si>
  <si>
    <t>Canning Basin Kidson Sub-basin</t>
  </si>
  <si>
    <t>Wilson Cliffs</t>
  </si>
  <si>
    <t>W001107</t>
  </si>
  <si>
    <t xml:space="preserve">Canning Basin Lennard Shelf </t>
  </si>
  <si>
    <t xml:space="preserve">Blina </t>
  </si>
  <si>
    <t>W001140</t>
  </si>
  <si>
    <t>Blina</t>
  </si>
  <si>
    <t>W001446</t>
  </si>
  <si>
    <t>W001064</t>
  </si>
  <si>
    <t>W001088</t>
  </si>
  <si>
    <t>W000055</t>
  </si>
  <si>
    <t>Meda</t>
  </si>
  <si>
    <t>W000088</t>
  </si>
  <si>
    <t>W001066</t>
  </si>
  <si>
    <t>Orange Pool</t>
  </si>
  <si>
    <t>W001179</t>
  </si>
  <si>
    <t>Canning Basin Mowla Terrace</t>
  </si>
  <si>
    <t xml:space="preserve">Canopus </t>
  </si>
  <si>
    <t>W001258</t>
  </si>
  <si>
    <t>Canning Basin Pender Terrace</t>
  </si>
  <si>
    <t xml:space="preserve">Perindi </t>
  </si>
  <si>
    <t>M0000618</t>
  </si>
  <si>
    <t>Canning Basin Willara Sub-basin</t>
  </si>
  <si>
    <t>Admiral Bay</t>
  </si>
  <si>
    <t>W000803</t>
  </si>
  <si>
    <t>Canning Basin</t>
  </si>
  <si>
    <t xml:space="preserve">Bedout </t>
  </si>
  <si>
    <t>M0001533</t>
  </si>
  <si>
    <t>Citadel</t>
  </si>
  <si>
    <t>M0002041</t>
  </si>
  <si>
    <t>W005818</t>
  </si>
  <si>
    <t>Commodore</t>
  </si>
  <si>
    <t>W001074</t>
  </si>
  <si>
    <t>Dampiera 1A</t>
  </si>
  <si>
    <t>M0002086</t>
  </si>
  <si>
    <t>Derby - North Canning</t>
  </si>
  <si>
    <t>M0002087</t>
  </si>
  <si>
    <t>M0002088</t>
  </si>
  <si>
    <t>M0002089</t>
  </si>
  <si>
    <t>M0002090</t>
  </si>
  <si>
    <t>M0002773</t>
  </si>
  <si>
    <t>Devonian Reefs Chronostratigraphy</t>
  </si>
  <si>
    <t>M0002774</t>
  </si>
  <si>
    <t>W001469</t>
  </si>
  <si>
    <t>Dodonea</t>
  </si>
  <si>
    <t>M0003083</t>
  </si>
  <si>
    <t>Frome Rocks</t>
  </si>
  <si>
    <t>M0003084</t>
  </si>
  <si>
    <t>W004214</t>
  </si>
  <si>
    <t>Gibb-Maitland</t>
  </si>
  <si>
    <t>M0000711</t>
  </si>
  <si>
    <t>Gingerah Hill</t>
  </si>
  <si>
    <t>M0000712</t>
  </si>
  <si>
    <t>W000057</t>
  </si>
  <si>
    <t>Goldwyer</t>
  </si>
  <si>
    <t>M0001587</t>
  </si>
  <si>
    <t>Lightjack Coal</t>
  </si>
  <si>
    <t>M0002602</t>
  </si>
  <si>
    <t>Lightjack Hill</t>
  </si>
  <si>
    <t>M0002603</t>
  </si>
  <si>
    <t>M0002604</t>
  </si>
  <si>
    <t>M0002605</t>
  </si>
  <si>
    <t>M0002607</t>
  </si>
  <si>
    <t>M0002608</t>
  </si>
  <si>
    <t>M0002609</t>
  </si>
  <si>
    <t>M0001586</t>
  </si>
  <si>
    <t>M0002612</t>
  </si>
  <si>
    <t>W000741</t>
  </si>
  <si>
    <t>Matches Spring</t>
  </si>
  <si>
    <t>W000693</t>
  </si>
  <si>
    <t>McLarty</t>
  </si>
  <si>
    <t>M0003160</t>
  </si>
  <si>
    <t>Midway Well</t>
  </si>
  <si>
    <t>M0003161</t>
  </si>
  <si>
    <t>W001394</t>
  </si>
  <si>
    <t>Mirbelia</t>
  </si>
  <si>
    <t>W003894</t>
  </si>
  <si>
    <t>Nicolay</t>
  </si>
  <si>
    <t>W005864</t>
  </si>
  <si>
    <t>Olympic</t>
  </si>
  <si>
    <t>W001458</t>
  </si>
  <si>
    <t>Percival</t>
  </si>
  <si>
    <t>W001019</t>
  </si>
  <si>
    <t>Phoenix</t>
  </si>
  <si>
    <t>W001135</t>
  </si>
  <si>
    <t>M0001608</t>
  </si>
  <si>
    <t>Radi Hills</t>
  </si>
  <si>
    <t>M0002128</t>
  </si>
  <si>
    <t>Red Dragon</t>
  </si>
  <si>
    <t>M0002129</t>
  </si>
  <si>
    <t>M0002209</t>
  </si>
  <si>
    <t xml:space="preserve">Sandfire lead-zinc </t>
  </si>
  <si>
    <t>W005891</t>
  </si>
  <si>
    <t>Senagi</t>
  </si>
  <si>
    <t>M0002264</t>
  </si>
  <si>
    <t>South Canning - Pardoo</t>
  </si>
  <si>
    <t>M0002265</t>
  </si>
  <si>
    <t>M0002266</t>
  </si>
  <si>
    <t>M0002267</t>
  </si>
  <si>
    <t>M0002268</t>
  </si>
  <si>
    <t>M0002269</t>
  </si>
  <si>
    <t>M0002270</t>
  </si>
  <si>
    <t>M0002271</t>
  </si>
  <si>
    <t>W000059A</t>
  </si>
  <si>
    <t>Thangoo</t>
  </si>
  <si>
    <t>W005872</t>
  </si>
  <si>
    <t>Theia</t>
  </si>
  <si>
    <t>W005909</t>
  </si>
  <si>
    <t>Ungani Far West</t>
  </si>
  <si>
    <t>W001133</t>
  </si>
  <si>
    <t>White Hills</t>
  </si>
  <si>
    <t>W000115</t>
  </si>
  <si>
    <t>Willara</t>
  </si>
  <si>
    <t>M0002308</t>
  </si>
  <si>
    <t>Capricorn Orogen Ashburton Basin</t>
  </si>
  <si>
    <t>Yarraloola</t>
  </si>
  <si>
    <t>M0002309</t>
  </si>
  <si>
    <t>M0002310</t>
  </si>
  <si>
    <t>M0002278</t>
  </si>
  <si>
    <t>Capricorn Orogen Wyloo Dome</t>
  </si>
  <si>
    <t>Paulsens - Gabbro Offset</t>
  </si>
  <si>
    <t>M0002279</t>
  </si>
  <si>
    <t>M0001538</t>
  </si>
  <si>
    <t>Capricorn Orogen</t>
  </si>
  <si>
    <t>Abra 6 Mile Creek Fault</t>
  </si>
  <si>
    <t>M0003376</t>
  </si>
  <si>
    <t>Copper Hills</t>
  </si>
  <si>
    <t>M0001559</t>
  </si>
  <si>
    <t>Fortnum gravity target</t>
  </si>
  <si>
    <t>M0002346</t>
  </si>
  <si>
    <t>Horseshoe Lights Deep Drilling</t>
  </si>
  <si>
    <t>M0001660</t>
  </si>
  <si>
    <t>Ilgarari Deep Drilling</t>
  </si>
  <si>
    <t>M0001661</t>
  </si>
  <si>
    <t>M0001663</t>
  </si>
  <si>
    <t>M0001662</t>
  </si>
  <si>
    <t>M0002245</t>
  </si>
  <si>
    <t>Mount Clement gold deposit</t>
  </si>
  <si>
    <t>M0002244</t>
  </si>
  <si>
    <t>M0001435</t>
  </si>
  <si>
    <t xml:space="preserve">Nanjilgardy Fault (Ashburton) </t>
  </si>
  <si>
    <t>M0001436</t>
  </si>
  <si>
    <t>M0002311</t>
  </si>
  <si>
    <t>Paulsens Gold Mine</t>
  </si>
  <si>
    <t>M0002048</t>
  </si>
  <si>
    <t>M0002181</t>
  </si>
  <si>
    <t>M0002182</t>
  </si>
  <si>
    <t>M0002183</t>
  </si>
  <si>
    <t>M0002184</t>
  </si>
  <si>
    <t>M0000691</t>
  </si>
  <si>
    <t>Peebeezee</t>
  </si>
  <si>
    <t>M0001629</t>
  </si>
  <si>
    <t>Shelby</t>
  </si>
  <si>
    <t>M0000265</t>
  </si>
  <si>
    <t>WMC Munjang</t>
  </si>
  <si>
    <t>M0000267</t>
  </si>
  <si>
    <t>M0002080</t>
  </si>
  <si>
    <t>Carnarvon Basin</t>
  </si>
  <si>
    <t>Bennet Well Deep South</t>
  </si>
  <si>
    <t>W001793</t>
  </si>
  <si>
    <t xml:space="preserve">Cody </t>
  </si>
  <si>
    <t>M0002081</t>
  </si>
  <si>
    <t>Uaroo (Barradale prospect)</t>
  </si>
  <si>
    <t>M0002082</t>
  </si>
  <si>
    <t>M0002083</t>
  </si>
  <si>
    <t>M0002084</t>
  </si>
  <si>
    <t>W001100</t>
  </si>
  <si>
    <t>Casuarinas</t>
  </si>
  <si>
    <t>W001999</t>
  </si>
  <si>
    <t>Central Yardarino</t>
  </si>
  <si>
    <t>M0001446</t>
  </si>
  <si>
    <t>Centralian Superbasin Amadeus Basin</t>
  </si>
  <si>
    <t>Webb</t>
  </si>
  <si>
    <t>W001579</t>
  </si>
  <si>
    <t>Conder</t>
  </si>
  <si>
    <t>W001581</t>
  </si>
  <si>
    <t>Connolly</t>
  </si>
  <si>
    <t>W002732</t>
  </si>
  <si>
    <t>Corybas</t>
  </si>
  <si>
    <t>W000915</t>
  </si>
  <si>
    <t>Denison</t>
  </si>
  <si>
    <t>W001261</t>
  </si>
  <si>
    <t>Depot Hill</t>
  </si>
  <si>
    <t>W000661</t>
  </si>
  <si>
    <t>Dongara</t>
  </si>
  <si>
    <t>W000735</t>
  </si>
  <si>
    <t>W000739</t>
  </si>
  <si>
    <t>W001056</t>
  </si>
  <si>
    <t>W001061</t>
  </si>
  <si>
    <t>W001065</t>
  </si>
  <si>
    <t>W001655</t>
  </si>
  <si>
    <t>W002935</t>
  </si>
  <si>
    <t>Drakea</t>
  </si>
  <si>
    <t>M0002914</t>
  </si>
  <si>
    <t>Earaheedy Basin</t>
  </si>
  <si>
    <t xml:space="preserve">Earaheedy </t>
  </si>
  <si>
    <t>M0002912</t>
  </si>
  <si>
    <t>Earaheedy</t>
  </si>
  <si>
    <t>M0002913</t>
  </si>
  <si>
    <t>M0001234</t>
  </si>
  <si>
    <t>Teague</t>
  </si>
  <si>
    <t>M0001218</t>
  </si>
  <si>
    <t>M0001233</t>
  </si>
  <si>
    <t>M0001235</t>
  </si>
  <si>
    <t>Yelma dolomities</t>
  </si>
  <si>
    <t>M0002277</t>
  </si>
  <si>
    <t>Eastern Goldfields</t>
  </si>
  <si>
    <t>Agnew Strategic Stratigraphic Drilling</t>
  </si>
  <si>
    <t>M0002290</t>
  </si>
  <si>
    <t>M0002512</t>
  </si>
  <si>
    <t>M0002680</t>
  </si>
  <si>
    <t>M0002681</t>
  </si>
  <si>
    <t>M0002682</t>
  </si>
  <si>
    <t>M0003078</t>
  </si>
  <si>
    <t>Aldiss</t>
  </si>
  <si>
    <t>M0003079</t>
  </si>
  <si>
    <t>M0003080</t>
  </si>
  <si>
    <t>M0003081</t>
  </si>
  <si>
    <t>M0003082</t>
  </si>
  <si>
    <t>M0002291</t>
  </si>
  <si>
    <t>Athena Intrusion strain shadow</t>
  </si>
  <si>
    <t>M0001846</t>
  </si>
  <si>
    <t>Aztec Dome</t>
  </si>
  <si>
    <t>M0001521</t>
  </si>
  <si>
    <t>M0001847</t>
  </si>
  <si>
    <t>M0001848</t>
  </si>
  <si>
    <t>M0002207</t>
  </si>
  <si>
    <t>Banjawarn Cattleman</t>
  </si>
  <si>
    <t>M0002329</t>
  </si>
  <si>
    <t>M0002208</t>
  </si>
  <si>
    <t>M0002789</t>
  </si>
  <si>
    <t>Bellevue</t>
  </si>
  <si>
    <t>M0002970</t>
  </si>
  <si>
    <t xml:space="preserve">Bellevue Gold </t>
  </si>
  <si>
    <t>M0002971</t>
  </si>
  <si>
    <t>M0000018</t>
  </si>
  <si>
    <t>Binduli / Centurion</t>
  </si>
  <si>
    <t>M0002392</t>
  </si>
  <si>
    <t>Binneringie</t>
  </si>
  <si>
    <t>M0000409</t>
  </si>
  <si>
    <t>Birthday South</t>
  </si>
  <si>
    <t>M0002848</t>
  </si>
  <si>
    <t xml:space="preserve">Black Flag Group </t>
  </si>
  <si>
    <t>M0002847</t>
  </si>
  <si>
    <t>Black Flag Group</t>
  </si>
  <si>
    <t>M0002677</t>
  </si>
  <si>
    <t>Blair Dome</t>
  </si>
  <si>
    <t>M0002678</t>
  </si>
  <si>
    <t>M0002679</t>
  </si>
  <si>
    <t>M0001775</t>
  </si>
  <si>
    <t>Blair Nickel</t>
  </si>
  <si>
    <t>M0002722</t>
  </si>
  <si>
    <t>Boorara</t>
  </si>
  <si>
    <t>M0002199</t>
  </si>
  <si>
    <t xml:space="preserve">Breakaway </t>
  </si>
  <si>
    <t>M0002200</t>
  </si>
  <si>
    <t>M0002201</t>
  </si>
  <si>
    <t>M0002240</t>
  </si>
  <si>
    <t>Brindabella Ag-Au</t>
  </si>
  <si>
    <t>M0002239</t>
  </si>
  <si>
    <t>M0002649</t>
  </si>
  <si>
    <t>Broads Dam Johnson's Rest</t>
  </si>
  <si>
    <t>M0003096</t>
  </si>
  <si>
    <t>Bronzewing South</t>
  </si>
  <si>
    <t>M0003103</t>
  </si>
  <si>
    <t>M0001220</t>
  </si>
  <si>
    <t>Buldania</t>
  </si>
  <si>
    <t>M0001221</t>
  </si>
  <si>
    <t>M0000935</t>
  </si>
  <si>
    <t>M0000863</t>
  </si>
  <si>
    <t>M0000873</t>
  </si>
  <si>
    <t>M0000068</t>
  </si>
  <si>
    <t>M0000069</t>
  </si>
  <si>
    <t>M0000874</t>
  </si>
  <si>
    <t>M0000875</t>
  </si>
  <si>
    <t>M0002598</t>
  </si>
  <si>
    <t>Bullabulling Shear</t>
  </si>
  <si>
    <t>M0002599</t>
  </si>
  <si>
    <t>M0002600</t>
  </si>
  <si>
    <t>M0002601</t>
  </si>
  <si>
    <t>M0001143</t>
  </si>
  <si>
    <t>Bullant</t>
  </si>
  <si>
    <t>M0000093</t>
  </si>
  <si>
    <t>Bulong Rotary</t>
  </si>
  <si>
    <t>M0000094</t>
  </si>
  <si>
    <t>M0000095</t>
  </si>
  <si>
    <t>M0003416</t>
  </si>
  <si>
    <t>Burns</t>
  </si>
  <si>
    <t>M0002474</t>
  </si>
  <si>
    <t xml:space="preserve">Burns Prospect </t>
  </si>
  <si>
    <t>M0002475</t>
  </si>
  <si>
    <t>M0002589</t>
  </si>
  <si>
    <t>Callisto</t>
  </si>
  <si>
    <t>M0002590</t>
  </si>
  <si>
    <t>M0002829</t>
  </si>
  <si>
    <t>Carr Boyd</t>
  </si>
  <si>
    <t>M0002830</t>
  </si>
  <si>
    <t>M0000125</t>
  </si>
  <si>
    <t>Carr Boyd Rocks</t>
  </si>
  <si>
    <t>M0002461</t>
  </si>
  <si>
    <t>Central Corridor</t>
  </si>
  <si>
    <t>M0000490</t>
  </si>
  <si>
    <t>Chalice</t>
  </si>
  <si>
    <t>M0000492</t>
  </si>
  <si>
    <t>M0002787</t>
  </si>
  <si>
    <t>Collurabbie</t>
  </si>
  <si>
    <t>M0002785</t>
  </si>
  <si>
    <t>M0002832</t>
  </si>
  <si>
    <t>M0002833</t>
  </si>
  <si>
    <t>M0001132</t>
  </si>
  <si>
    <t>Cundeelee</t>
  </si>
  <si>
    <t>M0001133</t>
  </si>
  <si>
    <t>M0002780</t>
  </si>
  <si>
    <t xml:space="preserve">Daisy Milano </t>
  </si>
  <si>
    <t>M0001490</t>
  </si>
  <si>
    <t>Darkstar</t>
  </si>
  <si>
    <t>M0001491</t>
  </si>
  <si>
    <t>M0003101</t>
  </si>
  <si>
    <t>Desdemona North</t>
  </si>
  <si>
    <t>M0003102</t>
  </si>
  <si>
    <t>M0003182</t>
  </si>
  <si>
    <t>M0001632</t>
  </si>
  <si>
    <t>Duketon JV</t>
  </si>
  <si>
    <t>M0001633</t>
  </si>
  <si>
    <t>M0001634</t>
  </si>
  <si>
    <t>M0002079</t>
  </si>
  <si>
    <t>Dunnsville (Big Red)</t>
  </si>
  <si>
    <t>M0001474</t>
  </si>
  <si>
    <t>M0001475</t>
  </si>
  <si>
    <t>M0001476</t>
  </si>
  <si>
    <t>M0002352</t>
  </si>
  <si>
    <t>East Yilgarn - Robert</t>
  </si>
  <si>
    <t>M0002353</t>
  </si>
  <si>
    <t>M0002292</t>
  </si>
  <si>
    <t>Eastern Zuleika Shear Definition</t>
  </si>
  <si>
    <t>M0002856</t>
  </si>
  <si>
    <t>Edjudina</t>
  </si>
  <si>
    <t>M0002314</t>
  </si>
  <si>
    <t>Erayinia King prospect</t>
  </si>
  <si>
    <t>M0002154</t>
  </si>
  <si>
    <t>Erayinia VTEM Drilling</t>
  </si>
  <si>
    <t>M0002155</t>
  </si>
  <si>
    <t>M0002156</t>
  </si>
  <si>
    <t>M0002348</t>
  </si>
  <si>
    <t>M0002347</t>
  </si>
  <si>
    <t>M0002258</t>
  </si>
  <si>
    <t>Ernest Giles</t>
  </si>
  <si>
    <t>M0002259</t>
  </si>
  <si>
    <t>M0002260</t>
  </si>
  <si>
    <t>M0002261</t>
  </si>
  <si>
    <t>M0002731</t>
  </si>
  <si>
    <t>Feysville</t>
  </si>
  <si>
    <t>M0002732</t>
  </si>
  <si>
    <t>M0002733</t>
  </si>
  <si>
    <t>M0002734</t>
  </si>
  <si>
    <t>M0002735</t>
  </si>
  <si>
    <t>M0002736</t>
  </si>
  <si>
    <t>M0000351</t>
  </si>
  <si>
    <t>Fimiston / Birthday South Lode</t>
  </si>
  <si>
    <t>M0000346</t>
  </si>
  <si>
    <t>Fimiston / Federal Lode</t>
  </si>
  <si>
    <t>M0000239</t>
  </si>
  <si>
    <t xml:space="preserve">Fimiston / Oroya Shoot </t>
  </si>
  <si>
    <t>M0000120</t>
  </si>
  <si>
    <t>Fimiston</t>
  </si>
  <si>
    <t>Fisher East (Camelwood prospect)</t>
  </si>
  <si>
    <t>M0002614</t>
  </si>
  <si>
    <t>M0002615</t>
  </si>
  <si>
    <t>M0002623</t>
  </si>
  <si>
    <t>M0002624</t>
  </si>
  <si>
    <t>Fisher East (Cannonball prospect)</t>
  </si>
  <si>
    <t>Fisher East (Musket prospect)</t>
  </si>
  <si>
    <t>Fisher East (Sabre prospect)</t>
  </si>
  <si>
    <t>M0001505</t>
  </si>
  <si>
    <t>Fisher East</t>
  </si>
  <si>
    <t>M0002728</t>
  </si>
  <si>
    <t>M0002622</t>
  </si>
  <si>
    <t>Fletcher Trend</t>
  </si>
  <si>
    <t>M0000036</t>
  </si>
  <si>
    <t>Forrestania/Cosmic Boy</t>
  </si>
  <si>
    <t>M0000037</t>
  </si>
  <si>
    <t>Forrestania/Diggers Rocks</t>
  </si>
  <si>
    <t>M0001487</t>
  </si>
  <si>
    <t>Foster Hinge</t>
  </si>
  <si>
    <t>M0001504</t>
  </si>
  <si>
    <t>Frog's Legs Deeps</t>
  </si>
  <si>
    <t>Garden Well</t>
  </si>
  <si>
    <t>M0001477</t>
  </si>
  <si>
    <t>Gecko Deeps</t>
  </si>
  <si>
    <t>M0002307</t>
  </si>
  <si>
    <t>Glandore Deep Hole</t>
  </si>
  <si>
    <t>M0001479</t>
  </si>
  <si>
    <t>Golden Mile South</t>
  </si>
  <si>
    <t>M0002108</t>
  </si>
  <si>
    <t>Golden Ridge</t>
  </si>
  <si>
    <t>M0002109</t>
  </si>
  <si>
    <t>M0001087</t>
  </si>
  <si>
    <t>Gosling</t>
  </si>
  <si>
    <t>M0001085</t>
  </si>
  <si>
    <t>Gosling Ni</t>
  </si>
  <si>
    <t>M0001086</t>
  </si>
  <si>
    <t>M0000845</t>
  </si>
  <si>
    <t>M0003062</t>
  </si>
  <si>
    <t>Grevillea</t>
  </si>
  <si>
    <t>M0003063</t>
  </si>
  <si>
    <t>M0003064</t>
  </si>
  <si>
    <t>M0003061</t>
  </si>
  <si>
    <t>M0002516</t>
  </si>
  <si>
    <t>Gruyere deep stratigraphic hole</t>
  </si>
  <si>
    <t>M0000086</t>
  </si>
  <si>
    <t>Gt. Boulder/Western Main Lode</t>
  </si>
  <si>
    <t>M0002771</t>
  </si>
  <si>
    <t xml:space="preserve">Hann Structural Corridor </t>
  </si>
  <si>
    <t>M0002772</t>
  </si>
  <si>
    <t>M0002770</t>
  </si>
  <si>
    <t>Hann Structural Corridor</t>
  </si>
  <si>
    <t>M0002452</t>
  </si>
  <si>
    <t>Hannans North</t>
  </si>
  <si>
    <t>M0000187</t>
  </si>
  <si>
    <t>M0003316</t>
  </si>
  <si>
    <t>Hilditch West</t>
  </si>
  <si>
    <t>M0003317</t>
  </si>
  <si>
    <t>M0002105</t>
  </si>
  <si>
    <t>Horse Well</t>
  </si>
  <si>
    <t>M0002890</t>
  </si>
  <si>
    <t xml:space="preserve">Ivy and Heathrow </t>
  </si>
  <si>
    <t>M0002891</t>
  </si>
  <si>
    <t>M0002889</t>
  </si>
  <si>
    <t>Ivy and Heathrow</t>
  </si>
  <si>
    <t>M0002892</t>
  </si>
  <si>
    <t>M0001655</t>
  </si>
  <si>
    <t>Jaguar</t>
  </si>
  <si>
    <t>M0001656</t>
  </si>
  <si>
    <t>M0001657</t>
  </si>
  <si>
    <t>M0002160</t>
  </si>
  <si>
    <t>Jaurdi Hills</t>
  </si>
  <si>
    <t>M0001501</t>
  </si>
  <si>
    <t>Kalahari Polymetalic anomaly</t>
  </si>
  <si>
    <t>M0002340</t>
  </si>
  <si>
    <t>Kalgoorlie (Hannans Lake)</t>
  </si>
  <si>
    <t>M0002341</t>
  </si>
  <si>
    <t>M0002410</t>
  </si>
  <si>
    <t>M0002411</t>
  </si>
  <si>
    <t>M0001488</t>
  </si>
  <si>
    <t>Kalgoorlie Stratigraphy Project</t>
  </si>
  <si>
    <t>M0001489</t>
  </si>
  <si>
    <t>M0001494</t>
  </si>
  <si>
    <t>M0001495</t>
  </si>
  <si>
    <t>M0001496</t>
  </si>
  <si>
    <t>M0001497</t>
  </si>
  <si>
    <t>M0001498</t>
  </si>
  <si>
    <t>M0001499</t>
  </si>
  <si>
    <t>M0002257</t>
  </si>
  <si>
    <t>M0002526</t>
  </si>
  <si>
    <t>M0002527</t>
  </si>
  <si>
    <t>M0000003</t>
  </si>
  <si>
    <t>Kambalda</t>
  </si>
  <si>
    <t>M0000038</t>
  </si>
  <si>
    <t>Kanowna Belle</t>
  </si>
  <si>
    <t>M0002280</t>
  </si>
  <si>
    <t>Kelly Deep Drilling Initiative</t>
  </si>
  <si>
    <t>M0001585</t>
  </si>
  <si>
    <t>Lake Lefroy</t>
  </si>
  <si>
    <t>M0002663</t>
  </si>
  <si>
    <t>Lake Roe - Bombara Prospect</t>
  </si>
  <si>
    <t>M0002664</t>
  </si>
  <si>
    <t>M0002665</t>
  </si>
  <si>
    <t>M0002666</t>
  </si>
  <si>
    <t>M0002667</t>
  </si>
  <si>
    <t>M0002668</t>
  </si>
  <si>
    <t>M0002669</t>
  </si>
  <si>
    <t>M0002670</t>
  </si>
  <si>
    <t>M0002671</t>
  </si>
  <si>
    <t>M0002672</t>
  </si>
  <si>
    <t>M0002673</t>
  </si>
  <si>
    <t>M0002674</t>
  </si>
  <si>
    <t>M0000083</t>
  </si>
  <si>
    <t>Lake View/Eastern Main Lode</t>
  </si>
  <si>
    <t>M0002560</t>
  </si>
  <si>
    <t>Lake Wells</t>
  </si>
  <si>
    <t>M0002562</t>
  </si>
  <si>
    <t>M0002739</t>
  </si>
  <si>
    <t>Lefroy - Zanex Prospect</t>
  </si>
  <si>
    <t>M0002741</t>
  </si>
  <si>
    <t>M0001996</t>
  </si>
  <si>
    <t>Leonora</t>
  </si>
  <si>
    <t>M0001997</t>
  </si>
  <si>
    <t>M0000217</t>
  </si>
  <si>
    <t>Londonderry</t>
  </si>
  <si>
    <t>M0000218</t>
  </si>
  <si>
    <t>M0000219</t>
  </si>
  <si>
    <t>M0000220</t>
  </si>
  <si>
    <t>M0000221</t>
  </si>
  <si>
    <t>M0000222</t>
  </si>
  <si>
    <t>M0000223</t>
  </si>
  <si>
    <t>M0000224</t>
  </si>
  <si>
    <t>M0000225</t>
  </si>
  <si>
    <t>M0000226</t>
  </si>
  <si>
    <t>M0000227</t>
  </si>
  <si>
    <t>M0000228</t>
  </si>
  <si>
    <t>M0001547</t>
  </si>
  <si>
    <t>Long Deeps</t>
  </si>
  <si>
    <t>M0002896</t>
  </si>
  <si>
    <t>Lucky Strike</t>
  </si>
  <si>
    <t>M0002897</t>
  </si>
  <si>
    <t>M0002898</t>
  </si>
  <si>
    <t>MacPhersons Reward Gold Deposit</t>
  </si>
  <si>
    <t>M0002357</t>
  </si>
  <si>
    <t>McLeay South</t>
  </si>
  <si>
    <t>M0002358</t>
  </si>
  <si>
    <t>M0002359</t>
  </si>
  <si>
    <t>M0002929</t>
  </si>
  <si>
    <t>Melbourne</t>
  </si>
  <si>
    <t>Moolart Well</t>
  </si>
  <si>
    <t>M0001308</t>
  </si>
  <si>
    <t>Mount Venn</t>
  </si>
  <si>
    <t>M0002315</t>
  </si>
  <si>
    <t>Mount Weld Carbonatite</t>
  </si>
  <si>
    <t>M0003149</t>
  </si>
  <si>
    <t>Mt Alexander</t>
  </si>
  <si>
    <t>M0000242</t>
  </si>
  <si>
    <t>Mt Charlotte</t>
  </si>
  <si>
    <t>M0002293</t>
  </si>
  <si>
    <t>Mt Thirsty</t>
  </si>
  <si>
    <t>Mt Weld</t>
  </si>
  <si>
    <t>M003192</t>
  </si>
  <si>
    <t>Mt Weld fresh carbonatite</t>
  </si>
  <si>
    <t>M0001645</t>
  </si>
  <si>
    <t>Mulga Tank</t>
  </si>
  <si>
    <t>M0001646</t>
  </si>
  <si>
    <t>M0001647</t>
  </si>
  <si>
    <t>M0001648</t>
  </si>
  <si>
    <t>M0001649</t>
  </si>
  <si>
    <t>M0001650</t>
  </si>
  <si>
    <t>M0001651</t>
  </si>
  <si>
    <t>M0001652</t>
  </si>
  <si>
    <t>M0002393</t>
  </si>
  <si>
    <t>Mustang VMS</t>
  </si>
  <si>
    <t>M0002394</t>
  </si>
  <si>
    <t>M0002508</t>
  </si>
  <si>
    <t>Nambi Deep Drilling</t>
  </si>
  <si>
    <t>M0002509</t>
  </si>
  <si>
    <t>M0000444</t>
  </si>
  <si>
    <t>Nepean</t>
  </si>
  <si>
    <t>M0000016</t>
  </si>
  <si>
    <t>New Celebration / Ghost crab</t>
  </si>
  <si>
    <t>M0000015</t>
  </si>
  <si>
    <t>New Celebration Hampton Boulder</t>
  </si>
  <si>
    <t>M0002675</t>
  </si>
  <si>
    <t>New Waverley</t>
  </si>
  <si>
    <t>M0002676</t>
  </si>
  <si>
    <t>M0001506</t>
  </si>
  <si>
    <t>Nimbus Ag</t>
  </si>
  <si>
    <t>M0002241</t>
  </si>
  <si>
    <t>Nimbus</t>
  </si>
  <si>
    <t>M0001130</t>
  </si>
  <si>
    <t>North Star/Malcom</t>
  </si>
  <si>
    <t>M0000343</t>
  </si>
  <si>
    <t>Ora Banda Sill</t>
  </si>
  <si>
    <t>M0002704</t>
  </si>
  <si>
    <t>Paris Gold</t>
  </si>
  <si>
    <t>M0000229</t>
  </si>
  <si>
    <t>Perserverance (Leinster U.G.)</t>
  </si>
  <si>
    <t>M0002933</t>
  </si>
  <si>
    <t>Pioneer Dome</t>
  </si>
  <si>
    <t>M0002934</t>
  </si>
  <si>
    <t>M0002935</t>
  </si>
  <si>
    <t>M0003066</t>
  </si>
  <si>
    <t>Polar Bear</t>
  </si>
  <si>
    <t>M0000024</t>
  </si>
  <si>
    <t>Ponton Creek / Cundeelee</t>
  </si>
  <si>
    <t>M0001144</t>
  </si>
  <si>
    <t xml:space="preserve">Quarters Mine </t>
  </si>
  <si>
    <t>M0002930</t>
  </si>
  <si>
    <t>Queen Margaret</t>
  </si>
  <si>
    <t>M0002931</t>
  </si>
  <si>
    <t>M0002137</t>
  </si>
  <si>
    <t>Red Eye</t>
  </si>
  <si>
    <t>M0002138</t>
  </si>
  <si>
    <t>M0001513</t>
  </si>
  <si>
    <t>Red October</t>
  </si>
  <si>
    <t>M0001514</t>
  </si>
  <si>
    <t>M0001515</t>
  </si>
  <si>
    <t>M0001516</t>
  </si>
  <si>
    <t>M0002476</t>
  </si>
  <si>
    <t>M0001508</t>
  </si>
  <si>
    <t>Roe Hills</t>
  </si>
  <si>
    <t>M0001509</t>
  </si>
  <si>
    <t>M0001510</t>
  </si>
  <si>
    <t>M0001511</t>
  </si>
  <si>
    <t>M0000383</t>
  </si>
  <si>
    <t>Scotia Mine</t>
  </si>
  <si>
    <t>M0002511</t>
  </si>
  <si>
    <t>Smokebush</t>
  </si>
  <si>
    <t>M0002338</t>
  </si>
  <si>
    <t>South End (Hannans Lake)</t>
  </si>
  <si>
    <t>M0002339</t>
  </si>
  <si>
    <t>M0002744</t>
  </si>
  <si>
    <t>St Ives</t>
  </si>
  <si>
    <t>M0002745</t>
  </si>
  <si>
    <t>M0002746</t>
  </si>
  <si>
    <t>M0002928</t>
  </si>
  <si>
    <t>Strathfield</t>
  </si>
  <si>
    <t>M0002883</t>
  </si>
  <si>
    <t xml:space="preserve">Sunrise Dam </t>
  </si>
  <si>
    <t>M0002882</t>
  </si>
  <si>
    <t>M0000230</t>
  </si>
  <si>
    <t>Swanson Hill</t>
  </si>
  <si>
    <t>M0000231</t>
  </si>
  <si>
    <t>M0000025</t>
  </si>
  <si>
    <t>M0000232</t>
  </si>
  <si>
    <t>M0000233</t>
  </si>
  <si>
    <t>M0000234</t>
  </si>
  <si>
    <t>M0000235</t>
  </si>
  <si>
    <t>M0000026</t>
  </si>
  <si>
    <t>M0000236</t>
  </si>
  <si>
    <t>M0000237</t>
  </si>
  <si>
    <t>M0001837</t>
  </si>
  <si>
    <t>Talc Lake</t>
  </si>
  <si>
    <t>M0001838</t>
  </si>
  <si>
    <t>M0001182</t>
  </si>
  <si>
    <t>Teutonic Bore</t>
  </si>
  <si>
    <t>M0001184</t>
  </si>
  <si>
    <t>M0001186</t>
  </si>
  <si>
    <t>M0001188</t>
  </si>
  <si>
    <t>M0001178</t>
  </si>
  <si>
    <t>M0001179</t>
  </si>
  <si>
    <t>M0001180</t>
  </si>
  <si>
    <t>M0001181</t>
  </si>
  <si>
    <t>M0001183</t>
  </si>
  <si>
    <t>M0001185</t>
  </si>
  <si>
    <t>M0001187</t>
  </si>
  <si>
    <t>M0001566</t>
  </si>
  <si>
    <t>Titus Target (Lake Violet)</t>
  </si>
  <si>
    <t>M0001567</t>
  </si>
  <si>
    <t>M0001568</t>
  </si>
  <si>
    <t>M0001569</t>
  </si>
  <si>
    <t>M0002510</t>
  </si>
  <si>
    <t>Toppin Hill</t>
  </si>
  <si>
    <t>M0002413</t>
  </si>
  <si>
    <t>Valdez prospect</t>
  </si>
  <si>
    <t>M0001519</t>
  </si>
  <si>
    <t>Wattle Dam North</t>
  </si>
  <si>
    <t>M0001520</t>
  </si>
  <si>
    <t>M0003032</t>
  </si>
  <si>
    <t>Wattle Dam</t>
  </si>
  <si>
    <t>M0003033</t>
  </si>
  <si>
    <t>M0003026</t>
  </si>
  <si>
    <t>M0002630</t>
  </si>
  <si>
    <t xml:space="preserve">West Kundana EM Anomaly Drilling </t>
  </si>
  <si>
    <t>M0002631</t>
  </si>
  <si>
    <t>M0002629</t>
  </si>
  <si>
    <t>West Kundana EM Anomaly</t>
  </si>
  <si>
    <t>M0003054</t>
  </si>
  <si>
    <t xml:space="preserve">Western Tarmoola Trondhjemite </t>
  </si>
  <si>
    <t>M0003045</t>
  </si>
  <si>
    <t xml:space="preserve">Winchester </t>
  </si>
  <si>
    <t>M0003046</t>
  </si>
  <si>
    <t>Winchester</t>
  </si>
  <si>
    <t>M0001512</t>
  </si>
  <si>
    <t>Windarra (Weebo Well Intrusion)</t>
  </si>
  <si>
    <t>M0001473</t>
  </si>
  <si>
    <t>Yamarna (Dorothy Hills)</t>
  </si>
  <si>
    <t>M0001478</t>
  </si>
  <si>
    <t>M0002873</t>
  </si>
  <si>
    <t>Yamarna - Eastern Mafic Complex</t>
  </si>
  <si>
    <t>M0002874</t>
  </si>
  <si>
    <t>M0002875</t>
  </si>
  <si>
    <t>M0002712</t>
  </si>
  <si>
    <t>Yamarna</t>
  </si>
  <si>
    <t>M0002713</t>
  </si>
  <si>
    <t>M0002714</t>
  </si>
  <si>
    <t>M0002715</t>
  </si>
  <si>
    <t>M0002716</t>
  </si>
  <si>
    <t>M0002717</t>
  </si>
  <si>
    <t>M0002331</t>
  </si>
  <si>
    <t>Zanthus</t>
  </si>
  <si>
    <t>M0002332</t>
  </si>
  <si>
    <t>M0002333</t>
  </si>
  <si>
    <t>M0002334</t>
  </si>
  <si>
    <t>M0002335</t>
  </si>
  <si>
    <t>M0001583</t>
  </si>
  <si>
    <t>Edmund Basin</t>
  </si>
  <si>
    <t>Abra Greater Hyperion</t>
  </si>
  <si>
    <t>M0002846</t>
  </si>
  <si>
    <t xml:space="preserve">Blue Billy </t>
  </si>
  <si>
    <t>M0002845</t>
  </si>
  <si>
    <t>Blue Billy</t>
  </si>
  <si>
    <t>M0001368</t>
  </si>
  <si>
    <t>Brumby Creek</t>
  </si>
  <si>
    <t>M0001369</t>
  </si>
  <si>
    <t>M0002513</t>
  </si>
  <si>
    <t>Bulloo Downs</t>
  </si>
  <si>
    <t>M0002514</t>
  </si>
  <si>
    <t>M0002515</t>
  </si>
  <si>
    <t>M0001030</t>
  </si>
  <si>
    <t>Jillawarra exploration</t>
  </si>
  <si>
    <t>M0001315</t>
  </si>
  <si>
    <t>Mount Vernon</t>
  </si>
  <si>
    <t>M0001316</t>
  </si>
  <si>
    <t>M0001317</t>
  </si>
  <si>
    <t>W001063</t>
  </si>
  <si>
    <t>Ejarno</t>
  </si>
  <si>
    <t>W002588</t>
  </si>
  <si>
    <t>Eremia</t>
  </si>
  <si>
    <t>W000147</t>
  </si>
  <si>
    <t>Erregulla</t>
  </si>
  <si>
    <t>M0001592</t>
  </si>
  <si>
    <t>Eucla Basin</t>
  </si>
  <si>
    <t xml:space="preserve">Eucla Basement </t>
  </si>
  <si>
    <t>M0001614</t>
  </si>
  <si>
    <t>M0001613</t>
  </si>
  <si>
    <t>M0002613</t>
  </si>
  <si>
    <t>Eucla</t>
  </si>
  <si>
    <t>M0001707</t>
  </si>
  <si>
    <t>Eucla drilling</t>
  </si>
  <si>
    <t>M0001708</t>
  </si>
  <si>
    <t>M0001709</t>
  </si>
  <si>
    <t>M0001710</t>
  </si>
  <si>
    <t>M0001711</t>
  </si>
  <si>
    <t>M0002295</t>
  </si>
  <si>
    <t>Loongana</t>
  </si>
  <si>
    <t>M0002296</t>
  </si>
  <si>
    <t>M0002024</t>
  </si>
  <si>
    <t>Moodini</t>
  </si>
  <si>
    <t>M0002025</t>
  </si>
  <si>
    <t>M0002991</t>
  </si>
  <si>
    <t>Nullarbor</t>
  </si>
  <si>
    <t>W000116</t>
  </si>
  <si>
    <t>Eurangoa</t>
  </si>
  <si>
    <t>W002775</t>
  </si>
  <si>
    <t>Evandra</t>
  </si>
  <si>
    <t>M0000679</t>
  </si>
  <si>
    <t>Fortescue Basin</t>
  </si>
  <si>
    <t>Archean Biosphere Drilling (Pilbara Japanese Drilling)</t>
  </si>
  <si>
    <t>M0000680</t>
  </si>
  <si>
    <t>M0000682</t>
  </si>
  <si>
    <t>M0002810</t>
  </si>
  <si>
    <t>Balmoral</t>
  </si>
  <si>
    <t>M0002834</t>
  </si>
  <si>
    <t>M0000763</t>
  </si>
  <si>
    <t>Bellary</t>
  </si>
  <si>
    <t>M0000635</t>
  </si>
  <si>
    <t>Saddle Hill</t>
  </si>
  <si>
    <t>W003038</t>
  </si>
  <si>
    <t>Freshwater Point</t>
  </si>
  <si>
    <t>M0001570</t>
  </si>
  <si>
    <t>Gascoyne Province</t>
  </si>
  <si>
    <t>Frederick</t>
  </si>
  <si>
    <t>Glenburgh Gold</t>
  </si>
  <si>
    <t>M0002130</t>
  </si>
  <si>
    <t>Maroonah - Chararoo Prospect</t>
  </si>
  <si>
    <t>M0002131</t>
  </si>
  <si>
    <t>M0002133</t>
  </si>
  <si>
    <t>Maroonah - Harry Bore</t>
  </si>
  <si>
    <t>M0002132</t>
  </si>
  <si>
    <t>Maroonah - Mailbox Prospect</t>
  </si>
  <si>
    <t>M0001851</t>
  </si>
  <si>
    <t>Minnie Creek</t>
  </si>
  <si>
    <t>M0001424</t>
  </si>
  <si>
    <t>M0001425</t>
  </si>
  <si>
    <t>M0001426</t>
  </si>
  <si>
    <t>M0001427</t>
  </si>
  <si>
    <t>M0001428</t>
  </si>
  <si>
    <t>M0000898</t>
  </si>
  <si>
    <t>Minnie Springs</t>
  </si>
  <si>
    <t>M0000899</t>
  </si>
  <si>
    <t>M0000900</t>
  </si>
  <si>
    <t>M0001433</t>
  </si>
  <si>
    <t>Mombo Bore</t>
  </si>
  <si>
    <t>M0001434</t>
  </si>
  <si>
    <t>Yangibana - Siphon Well Prospect</t>
  </si>
  <si>
    <t>M0002994</t>
  </si>
  <si>
    <t>Granites-Tanami Orogen</t>
  </si>
  <si>
    <t>Gremlin</t>
  </si>
  <si>
    <t>M0002995</t>
  </si>
  <si>
    <t>W002351</t>
  </si>
  <si>
    <t>Hakia</t>
  </si>
  <si>
    <t>W002767</t>
  </si>
  <si>
    <t>M0002412</t>
  </si>
  <si>
    <t>Hamersley Basin</t>
  </si>
  <si>
    <t>Anomaly B</t>
  </si>
  <si>
    <t>M0002000</t>
  </si>
  <si>
    <t>Archean Biosphere Drilling (Deep Time Drilling)</t>
  </si>
  <si>
    <t>M0002002</t>
  </si>
  <si>
    <t>Australian Pilbara Drilling</t>
  </si>
  <si>
    <t>M0002003</t>
  </si>
  <si>
    <t>M0000762</t>
  </si>
  <si>
    <t>M0000764</t>
  </si>
  <si>
    <t>M0000765</t>
  </si>
  <si>
    <t>M0000766</t>
  </si>
  <si>
    <t>M0000767</t>
  </si>
  <si>
    <t>M0002472</t>
  </si>
  <si>
    <t>Dales Gorge Stratigraphic hole</t>
  </si>
  <si>
    <t>M0001723</t>
  </si>
  <si>
    <t>Ethel Creek</t>
  </si>
  <si>
    <t>M0000777</t>
  </si>
  <si>
    <t>Fortescue Group</t>
  </si>
  <si>
    <t>M0000612</t>
  </si>
  <si>
    <t>Fortescue Valley</t>
  </si>
  <si>
    <t>M0002960</t>
  </si>
  <si>
    <t>Hope Downs</t>
  </si>
  <si>
    <t>M0002957</t>
  </si>
  <si>
    <t>M0001739</t>
  </si>
  <si>
    <t>Mesa A</t>
  </si>
  <si>
    <t>M0000776</t>
  </si>
  <si>
    <t>Pilbara</t>
  </si>
  <si>
    <t>M0002517</t>
  </si>
  <si>
    <t>Prairie Downs</t>
  </si>
  <si>
    <t>M0002518</t>
  </si>
  <si>
    <t>M0001121</t>
  </si>
  <si>
    <t>Ripon Hills</t>
  </si>
  <si>
    <t>M0001361</t>
  </si>
  <si>
    <t>Rocklea Dome</t>
  </si>
  <si>
    <t>M0001362</t>
  </si>
  <si>
    <t>M0000611</t>
  </si>
  <si>
    <t>Silvergrass</t>
  </si>
  <si>
    <t>M0002460</t>
  </si>
  <si>
    <t>Silvergrass Peak</t>
  </si>
  <si>
    <t>M0001687</t>
  </si>
  <si>
    <t>Turee Creek (Labex UnivEarth)</t>
  </si>
  <si>
    <t>M0001688</t>
  </si>
  <si>
    <t>M0001689</t>
  </si>
  <si>
    <t>W002544</t>
  </si>
  <si>
    <t>Hovea</t>
  </si>
  <si>
    <t>W005863</t>
  </si>
  <si>
    <t>Irwin</t>
  </si>
  <si>
    <t>W002672</t>
  </si>
  <si>
    <t>Jingemia</t>
  </si>
  <si>
    <t>M0002708</t>
  </si>
  <si>
    <t>Black Rock Graphite (Barracuda prospect)</t>
  </si>
  <si>
    <t>M0002707</t>
  </si>
  <si>
    <t>Black Rock Graphite (Cobia prospect)</t>
  </si>
  <si>
    <t>M0002709</t>
  </si>
  <si>
    <t>Black Rock Graphite (Emporer deposit)</t>
  </si>
  <si>
    <t>M0002710</t>
  </si>
  <si>
    <t>M0002706</t>
  </si>
  <si>
    <t>Black Rock Graphite (Mackeral prospect)</t>
  </si>
  <si>
    <t>M0002100</t>
  </si>
  <si>
    <t>Chasing the Savannah Intrusion</t>
  </si>
  <si>
    <t>M0000633</t>
  </si>
  <si>
    <t>Cummins Range</t>
  </si>
  <si>
    <t>M0000634</t>
  </si>
  <si>
    <t>M0002634</t>
  </si>
  <si>
    <t>Garnet Hills</t>
  </si>
  <si>
    <t>M0001572</t>
  </si>
  <si>
    <t xml:space="preserve">Halls Creek Copper </t>
  </si>
  <si>
    <t>M0001573</t>
  </si>
  <si>
    <t>M0001574</t>
  </si>
  <si>
    <t>M0001575</t>
  </si>
  <si>
    <t>M0001576</t>
  </si>
  <si>
    <t>M0001577</t>
  </si>
  <si>
    <t>M0001578</t>
  </si>
  <si>
    <t>M0001579</t>
  </si>
  <si>
    <t>M0001580</t>
  </si>
  <si>
    <t>M0002298</t>
  </si>
  <si>
    <t>Killarney 3</t>
  </si>
  <si>
    <t>M0002299</t>
  </si>
  <si>
    <t>M0002855</t>
  </si>
  <si>
    <t>Savannah - Frog Hollow</t>
  </si>
  <si>
    <t>Savannah</t>
  </si>
  <si>
    <t>M0002451</t>
  </si>
  <si>
    <t>M0002426</t>
  </si>
  <si>
    <t>M0002427</t>
  </si>
  <si>
    <t>M0002520</t>
  </si>
  <si>
    <t>M0002521</t>
  </si>
  <si>
    <t>M0002029</t>
  </si>
  <si>
    <t>Speewah</t>
  </si>
  <si>
    <t>M0002030</t>
  </si>
  <si>
    <t>M0002031</t>
  </si>
  <si>
    <t>M0002032</t>
  </si>
  <si>
    <t>M0002033</t>
  </si>
  <si>
    <t>M0002034</t>
  </si>
  <si>
    <t>M0002035</t>
  </si>
  <si>
    <t>M0002036</t>
  </si>
  <si>
    <t>M0002049</t>
  </si>
  <si>
    <t>M0001756</t>
  </si>
  <si>
    <t>M0001757</t>
  </si>
  <si>
    <t>M0001758</t>
  </si>
  <si>
    <t>M0001759</t>
  </si>
  <si>
    <t>M0001760</t>
  </si>
  <si>
    <t>M0002851</t>
  </si>
  <si>
    <t>Kimberley King Leopold Orogen</t>
  </si>
  <si>
    <t>Double Magic - Merlin Prospect</t>
  </si>
  <si>
    <t>M0002689</t>
  </si>
  <si>
    <t>Double Magic</t>
  </si>
  <si>
    <t>M0002711</t>
  </si>
  <si>
    <t>M0002091</t>
  </si>
  <si>
    <t>Mt Carson (Magnetic anomaly 1)</t>
  </si>
  <si>
    <t>M0002092</t>
  </si>
  <si>
    <t>M0002093</t>
  </si>
  <si>
    <t>M0002095</t>
  </si>
  <si>
    <t>Mt Carson (Magnetic anomaly 2)</t>
  </si>
  <si>
    <t>M0002094</t>
  </si>
  <si>
    <t>M0002505</t>
  </si>
  <si>
    <t xml:space="preserve">West Kimberley Nickel </t>
  </si>
  <si>
    <t>M0002506</t>
  </si>
  <si>
    <t>M0002507</t>
  </si>
  <si>
    <t>M0000782</t>
  </si>
  <si>
    <t>Kimberley Speewah Basin</t>
  </si>
  <si>
    <t>Mount Bell Prospect</t>
  </si>
  <si>
    <t>M0002850</t>
  </si>
  <si>
    <t>Kimberley</t>
  </si>
  <si>
    <t>M0002852</t>
  </si>
  <si>
    <t>M0002853</t>
  </si>
  <si>
    <t>M0002854</t>
  </si>
  <si>
    <t>M0000727</t>
  </si>
  <si>
    <t>Mount Elizabeth</t>
  </si>
  <si>
    <t>M0000760</t>
  </si>
  <si>
    <t>M0001754</t>
  </si>
  <si>
    <t xml:space="preserve">Speewah </t>
  </si>
  <si>
    <t>M0001618</t>
  </si>
  <si>
    <t>M0002185</t>
  </si>
  <si>
    <t>M0001619</t>
  </si>
  <si>
    <t>M0001620</t>
  </si>
  <si>
    <t>M0001621</t>
  </si>
  <si>
    <t>M0001622</t>
  </si>
  <si>
    <t>M0001623</t>
  </si>
  <si>
    <t>M0001624</t>
  </si>
  <si>
    <t>M0001625</t>
  </si>
  <si>
    <t>M0001626</t>
  </si>
  <si>
    <t>M0001627</t>
  </si>
  <si>
    <t>M0002037</t>
  </si>
  <si>
    <t>M0002038</t>
  </si>
  <si>
    <t>M0002206</t>
  </si>
  <si>
    <t>M0001755</t>
  </si>
  <si>
    <t>M0001615</t>
  </si>
  <si>
    <t>M0001616</t>
  </si>
  <si>
    <t>M0001617</t>
  </si>
  <si>
    <t>W002654</t>
  </si>
  <si>
    <t>Kingia</t>
  </si>
  <si>
    <t>Eliwana / Western Hub</t>
  </si>
  <si>
    <t>?</t>
  </si>
  <si>
    <t>Youanmi Terrane</t>
  </si>
  <si>
    <t>K Deeps Deposit (Yilgarn BIF)</t>
  </si>
  <si>
    <t>Marvel Loch - O'Brien Lode</t>
  </si>
  <si>
    <t>Perth Basin</t>
  </si>
  <si>
    <t>Vasse Shelf</t>
  </si>
  <si>
    <t>W002192</t>
  </si>
  <si>
    <t>Lockyer</t>
  </si>
  <si>
    <t>M0002636</t>
  </si>
  <si>
    <t>Marymia Inlier</t>
  </si>
  <si>
    <t xml:space="preserve">Curara Well </t>
  </si>
  <si>
    <t>M0002637</t>
  </si>
  <si>
    <t>M0002638</t>
  </si>
  <si>
    <t>M0002857</t>
  </si>
  <si>
    <t xml:space="preserve">Doolgunna </t>
  </si>
  <si>
    <t>M0002858</t>
  </si>
  <si>
    <t>M0002859</t>
  </si>
  <si>
    <t>M0002860</t>
  </si>
  <si>
    <t>M0002861</t>
  </si>
  <si>
    <t>M0002862</t>
  </si>
  <si>
    <t>M0002863</t>
  </si>
  <si>
    <t>M0002864</t>
  </si>
  <si>
    <t>W000715</t>
  </si>
  <si>
    <t>Mondarra</t>
  </si>
  <si>
    <t>W000736</t>
  </si>
  <si>
    <t>W003257</t>
  </si>
  <si>
    <t>W001838</t>
  </si>
  <si>
    <t>Mountain Bridge</t>
  </si>
  <si>
    <t>W000146</t>
  </si>
  <si>
    <t>Mt Adams</t>
  </si>
  <si>
    <t>W000102</t>
  </si>
  <si>
    <t>Mt Hill</t>
  </si>
  <si>
    <t>W000103</t>
  </si>
  <si>
    <t>Mt Horner</t>
  </si>
  <si>
    <t>W001513</t>
  </si>
  <si>
    <t>W002248</t>
  </si>
  <si>
    <t>Mungenooka</t>
  </si>
  <si>
    <t>M0001219</t>
  </si>
  <si>
    <t>Nabberu</t>
  </si>
  <si>
    <t>W000823</t>
  </si>
  <si>
    <t>Narlinue</t>
  </si>
  <si>
    <t>M0001539</t>
  </si>
  <si>
    <t>Narryer Terrane</t>
  </si>
  <si>
    <t>Melun Bore (Byro East)</t>
  </si>
  <si>
    <t>M0002113</t>
  </si>
  <si>
    <t>Milly Milly Intrusion (Byro East)</t>
  </si>
  <si>
    <t>M0002110</t>
  </si>
  <si>
    <t>Milly Milly Intrusion</t>
  </si>
  <si>
    <t>M0002111</t>
  </si>
  <si>
    <t>M0002112</t>
  </si>
  <si>
    <t>M0002401</t>
  </si>
  <si>
    <t>North Australian Craton</t>
  </si>
  <si>
    <t>Ellendale</t>
  </si>
  <si>
    <t>M0002400</t>
  </si>
  <si>
    <t>M0002398</t>
  </si>
  <si>
    <t>M0002399</t>
  </si>
  <si>
    <t>W000676</t>
  </si>
  <si>
    <t>North Erregulla</t>
  </si>
  <si>
    <t>North Tanami Browns Range Dome</t>
  </si>
  <si>
    <t>Browns Range - Area 5</t>
  </si>
  <si>
    <t>Browns Range - Gambit Central</t>
  </si>
  <si>
    <t>Browns Range - Wolverine</t>
  </si>
  <si>
    <t>M0001735</t>
  </si>
  <si>
    <t>W001062</t>
  </si>
  <si>
    <t>North Yardarino</t>
  </si>
  <si>
    <t>W002036</t>
  </si>
  <si>
    <t>Northern Bonaparte Basin</t>
  </si>
  <si>
    <t>Laminaria East</t>
  </si>
  <si>
    <t>W001309</t>
  </si>
  <si>
    <t xml:space="preserve">Turtle </t>
  </si>
  <si>
    <t>W002844</t>
  </si>
  <si>
    <t>Northern Carnarvon Basin Investigator Sub-basin</t>
  </si>
  <si>
    <t>Io</t>
  </si>
  <si>
    <t>W003145</t>
  </si>
  <si>
    <t>Jansz</t>
  </si>
  <si>
    <t>W002437</t>
  </si>
  <si>
    <t>Northern Carnarvon Basin Kangaroo Trough</t>
  </si>
  <si>
    <t>W002604</t>
  </si>
  <si>
    <t>W001245</t>
  </si>
  <si>
    <t>Northern Carnarvon Basin</t>
  </si>
  <si>
    <t>Bluebell</t>
  </si>
  <si>
    <t>W001266</t>
  </si>
  <si>
    <t>Central Gorgon</t>
  </si>
  <si>
    <t>W003192</t>
  </si>
  <si>
    <t>Chandon</t>
  </si>
  <si>
    <t>W003148</t>
  </si>
  <si>
    <t>Clio</t>
  </si>
  <si>
    <t>W002203</t>
  </si>
  <si>
    <t>Dockrell</t>
  </si>
  <si>
    <t>W000955</t>
  </si>
  <si>
    <t>Goodwyn</t>
  </si>
  <si>
    <t>W001089</t>
  </si>
  <si>
    <t>W000953</t>
  </si>
  <si>
    <t>Gorgon</t>
  </si>
  <si>
    <t>M0000649</t>
  </si>
  <si>
    <t>Minderoo South</t>
  </si>
  <si>
    <t>W002249</t>
  </si>
  <si>
    <t>Mutineer</t>
  </si>
  <si>
    <t>W002553</t>
  </si>
  <si>
    <t>W001894</t>
  </si>
  <si>
    <t>North Gorgon</t>
  </si>
  <si>
    <t>W000778</t>
  </si>
  <si>
    <t>North Rankin</t>
  </si>
  <si>
    <t>W002025</t>
  </si>
  <si>
    <t>Perseus</t>
  </si>
  <si>
    <t>W002154</t>
  </si>
  <si>
    <t>Reindeer</t>
  </si>
  <si>
    <t>W003078</t>
  </si>
  <si>
    <t>W003024</t>
  </si>
  <si>
    <t>Thebe</t>
  </si>
  <si>
    <t>W001597</t>
  </si>
  <si>
    <t>Wanaea</t>
  </si>
  <si>
    <t>W001082</t>
  </si>
  <si>
    <t>West Tryal Rocks</t>
  </si>
  <si>
    <t>W000854</t>
  </si>
  <si>
    <t>West Tyral Rocks</t>
  </si>
  <si>
    <t>W002135</t>
  </si>
  <si>
    <t>Yodel</t>
  </si>
  <si>
    <t>W000886</t>
  </si>
  <si>
    <t>Northern Carnarvon</t>
  </si>
  <si>
    <t>Poissonnier</t>
  </si>
  <si>
    <t>W002179</t>
  </si>
  <si>
    <t>Officer Basin Blake Sub-basin</t>
  </si>
  <si>
    <t>Akubra</t>
  </si>
  <si>
    <t>W002178</t>
  </si>
  <si>
    <t>Boondawari</t>
  </si>
  <si>
    <t>W002166</t>
  </si>
  <si>
    <t>Mundadjini</t>
  </si>
  <si>
    <t>M0003013</t>
  </si>
  <si>
    <t>Officer Basin</t>
  </si>
  <si>
    <t>Behemoth</t>
  </si>
  <si>
    <t>M0003014</t>
  </si>
  <si>
    <t>W002146</t>
  </si>
  <si>
    <t>Empress</t>
  </si>
  <si>
    <t>M0000011</t>
  </si>
  <si>
    <t xml:space="preserve">Lake Disappointment </t>
  </si>
  <si>
    <t>W002643</t>
  </si>
  <si>
    <t>Lancer</t>
  </si>
  <si>
    <t>M0002195</t>
  </si>
  <si>
    <t xml:space="preserve">Neal Junction </t>
  </si>
  <si>
    <t>M0002210</t>
  </si>
  <si>
    <t>M0002211</t>
  </si>
  <si>
    <t>M0001532</t>
  </si>
  <si>
    <t>Savory (SAV08)</t>
  </si>
  <si>
    <t>M0001412</t>
  </si>
  <si>
    <t>Table Hill</t>
  </si>
  <si>
    <t>M0001414</t>
  </si>
  <si>
    <t>M0001463</t>
  </si>
  <si>
    <t>M0001464</t>
  </si>
  <si>
    <t>M0001465</t>
  </si>
  <si>
    <t>M0001461</t>
  </si>
  <si>
    <t>M0001462</t>
  </si>
  <si>
    <t>M0001460</t>
  </si>
  <si>
    <t>W002034</t>
  </si>
  <si>
    <t>Trainor</t>
  </si>
  <si>
    <t>W002375</t>
  </si>
  <si>
    <t>Vines</t>
  </si>
  <si>
    <t>M0003141</t>
  </si>
  <si>
    <t>Paterson Orogan Yeneena Basin</t>
  </si>
  <si>
    <t>M0003142</t>
  </si>
  <si>
    <t>M0003143</t>
  </si>
  <si>
    <t>M0003144</t>
  </si>
  <si>
    <t>M0003145</t>
  </si>
  <si>
    <t>M0003146</t>
  </si>
  <si>
    <t>M0003147</t>
  </si>
  <si>
    <t>M0001636</t>
  </si>
  <si>
    <t>Camel (W Musgrave)</t>
  </si>
  <si>
    <t>M0001637</t>
  </si>
  <si>
    <t>Jameson (W Myusgrave)</t>
  </si>
  <si>
    <t>M0001588</t>
  </si>
  <si>
    <t>Latitude Hills</t>
  </si>
  <si>
    <t>M0001589</t>
  </si>
  <si>
    <t>M0001590</t>
  </si>
  <si>
    <t>M0002342</t>
  </si>
  <si>
    <t>Pandora</t>
  </si>
  <si>
    <t>M0001591</t>
  </si>
  <si>
    <t>Roquefort</t>
  </si>
  <si>
    <t>M0002297</t>
  </si>
  <si>
    <t>Succoth Prospect</t>
  </si>
  <si>
    <t>M0001658</t>
  </si>
  <si>
    <t>Warburton</t>
  </si>
  <si>
    <t>M0001659</t>
  </si>
  <si>
    <t>M0001742</t>
  </si>
  <si>
    <t>Paterson Orogen Rudall Province</t>
  </si>
  <si>
    <t>Beadell</t>
  </si>
  <si>
    <t>M0002528</t>
  </si>
  <si>
    <t>M0002529</t>
  </si>
  <si>
    <t>M0001529</t>
  </si>
  <si>
    <t>Kintyre Rocks (Area 1 Prospect)</t>
  </si>
  <si>
    <t>M0001528</t>
  </si>
  <si>
    <t>Kintyre Rocks (Glen Eagle Prospect)</t>
  </si>
  <si>
    <t>M0002691</t>
  </si>
  <si>
    <t>Rudall West</t>
  </si>
  <si>
    <t>M0002692</t>
  </si>
  <si>
    <t>M0002693</t>
  </si>
  <si>
    <t>M0002694</t>
  </si>
  <si>
    <t>M0002696</t>
  </si>
  <si>
    <t>Separation East</t>
  </si>
  <si>
    <t>M0002697</t>
  </si>
  <si>
    <t>M0002695</t>
  </si>
  <si>
    <t>Separation Graben</t>
  </si>
  <si>
    <t>M0001314</t>
  </si>
  <si>
    <t>Black Hills East Havieron Prospect</t>
  </si>
  <si>
    <t>M0001631</t>
  </si>
  <si>
    <t xml:space="preserve">Citadel </t>
  </si>
  <si>
    <t>M0001550</t>
  </si>
  <si>
    <t>M0001551</t>
  </si>
  <si>
    <t>M0001552</t>
  </si>
  <si>
    <t>M0002737</t>
  </si>
  <si>
    <t>Finch Prospect</t>
  </si>
  <si>
    <t>M0002242</t>
  </si>
  <si>
    <t>Matthew's Dome</t>
  </si>
  <si>
    <t>M0002243</t>
  </si>
  <si>
    <t>M0002343</t>
  </si>
  <si>
    <t>Nifty district exploration</t>
  </si>
  <si>
    <t>Paterson North</t>
  </si>
  <si>
    <t>M0002849</t>
  </si>
  <si>
    <t>M0002316</t>
  </si>
  <si>
    <t>Plains Dome</t>
  </si>
  <si>
    <t>M0002840</t>
  </si>
  <si>
    <t xml:space="preserve">Telfer </t>
  </si>
  <si>
    <t>M0002841</t>
  </si>
  <si>
    <t>M0002839</t>
  </si>
  <si>
    <t>Telfer</t>
  </si>
  <si>
    <t>M0002781</t>
  </si>
  <si>
    <t xml:space="preserve">Telfer West </t>
  </si>
  <si>
    <t>M0002782</t>
  </si>
  <si>
    <t>M0002686</t>
  </si>
  <si>
    <t>M0002687</t>
  </si>
  <si>
    <t>M0002688</t>
  </si>
  <si>
    <t>M0002783</t>
  </si>
  <si>
    <t>M0001604</t>
  </si>
  <si>
    <t>Throssell</t>
  </si>
  <si>
    <t>M0001605</t>
  </si>
  <si>
    <t>M0001561</t>
  </si>
  <si>
    <t xml:space="preserve">Yeneena </t>
  </si>
  <si>
    <t>M0002625</t>
  </si>
  <si>
    <t>Yeneena - Aria Prospect</t>
  </si>
  <si>
    <t>M0002626</t>
  </si>
  <si>
    <t>M0002685</t>
  </si>
  <si>
    <t>Yeneena - BM2 / Millennium Propsects</t>
  </si>
  <si>
    <t>M0001562</t>
  </si>
  <si>
    <t>Yeneena - BM2 Prospect</t>
  </si>
  <si>
    <t>M0001563</t>
  </si>
  <si>
    <t>M0001564</t>
  </si>
  <si>
    <t>M0001565</t>
  </si>
  <si>
    <t>M0002440</t>
  </si>
  <si>
    <t>Yeneena - BM7 / BM7 East Prospects</t>
  </si>
  <si>
    <t>M0002441</t>
  </si>
  <si>
    <t>M0002442</t>
  </si>
  <si>
    <t>M0002117</t>
  </si>
  <si>
    <t>Yeneena - Fishhook Prospect</t>
  </si>
  <si>
    <t>M0002683</t>
  </si>
  <si>
    <t>M0002684</t>
  </si>
  <si>
    <t>M0002443</t>
  </si>
  <si>
    <t>Yeneena - Lookout Rocks South</t>
  </si>
  <si>
    <t>M0002444</t>
  </si>
  <si>
    <t>M0002134</t>
  </si>
  <si>
    <t>Yeneena - Millenium Prospect</t>
  </si>
  <si>
    <t>M0002135</t>
  </si>
  <si>
    <t>M0002136</t>
  </si>
  <si>
    <t>M0002627</t>
  </si>
  <si>
    <t>Yeneena - Millennium Deeps</t>
  </si>
  <si>
    <t>M0002628</t>
  </si>
  <si>
    <t>M0002118</t>
  </si>
  <si>
    <t>Yeneena - Stirling Prospect</t>
  </si>
  <si>
    <t>M0001456</t>
  </si>
  <si>
    <t>Yeneena</t>
  </si>
  <si>
    <t>M0001457</t>
  </si>
  <si>
    <t>M0001458</t>
  </si>
  <si>
    <t>M0001459</t>
  </si>
  <si>
    <t>M0002300</t>
  </si>
  <si>
    <t>Yeneena Geochemical Vectors</t>
  </si>
  <si>
    <t>M0002301</t>
  </si>
  <si>
    <t>M0002477</t>
  </si>
  <si>
    <t>Paterson Orogen</t>
  </si>
  <si>
    <t>Kiwi Copper</t>
  </si>
  <si>
    <t>M0002478</t>
  </si>
  <si>
    <t>M0002479</t>
  </si>
  <si>
    <t>M0002480</t>
  </si>
  <si>
    <t>M0002481</t>
  </si>
  <si>
    <t>M0002482</t>
  </si>
  <si>
    <t>M0002483</t>
  </si>
  <si>
    <t>M0002484</t>
  </si>
  <si>
    <t>M0002485</t>
  </si>
  <si>
    <t>M0002486</t>
  </si>
  <si>
    <t>M0002487</t>
  </si>
  <si>
    <t>M0002488</t>
  </si>
  <si>
    <t>M0002489</t>
  </si>
  <si>
    <t>M0002490</t>
  </si>
  <si>
    <t>M0002491</t>
  </si>
  <si>
    <t>M0002492</t>
  </si>
  <si>
    <t>M0002493</t>
  </si>
  <si>
    <t>M0002494</t>
  </si>
  <si>
    <t>M0002495</t>
  </si>
  <si>
    <t>M0002496</t>
  </si>
  <si>
    <t>M0002497</t>
  </si>
  <si>
    <t>M0002498</t>
  </si>
  <si>
    <t>M0002499</t>
  </si>
  <si>
    <t>M0002500</t>
  </si>
  <si>
    <t>M0002501</t>
  </si>
  <si>
    <t>M0002502</t>
  </si>
  <si>
    <t>M0002503</t>
  </si>
  <si>
    <t>M0002504</t>
  </si>
  <si>
    <t>M0002738</t>
  </si>
  <si>
    <t>Paterson Province</t>
  </si>
  <si>
    <t>W002736</t>
  </si>
  <si>
    <t>Perth Basin Abrolhos Sub-basin</t>
  </si>
  <si>
    <t xml:space="preserve">Cliff Head </t>
  </si>
  <si>
    <t>W001080</t>
  </si>
  <si>
    <t>Point Louise</t>
  </si>
  <si>
    <t>W001944</t>
  </si>
  <si>
    <t>Woodada</t>
  </si>
  <si>
    <t>W001058</t>
  </si>
  <si>
    <t>Bootine</t>
  </si>
  <si>
    <t>W000090</t>
  </si>
  <si>
    <t>W000119</t>
  </si>
  <si>
    <t>M0002336</t>
  </si>
  <si>
    <t>Perth Basin Bunbury Trough</t>
  </si>
  <si>
    <t>Bunbury Port Engineering</t>
  </si>
  <si>
    <t>M0002337</t>
  </si>
  <si>
    <t>M0002368</t>
  </si>
  <si>
    <t>M0002369</t>
  </si>
  <si>
    <t>M0002370</t>
  </si>
  <si>
    <t>M0002371</t>
  </si>
  <si>
    <t>M0002372</t>
  </si>
  <si>
    <t>M0002373</t>
  </si>
  <si>
    <t>M0002374</t>
  </si>
  <si>
    <t>M0002375</t>
  </si>
  <si>
    <t>M0002376</t>
  </si>
  <si>
    <t>M0002377</t>
  </si>
  <si>
    <t>M0002378</t>
  </si>
  <si>
    <t>M0002379</t>
  </si>
  <si>
    <t>M0002380</t>
  </si>
  <si>
    <t>M0002381</t>
  </si>
  <si>
    <t>M0002382</t>
  </si>
  <si>
    <t>M0002383</t>
  </si>
  <si>
    <t>M0002384</t>
  </si>
  <si>
    <t>M0002385</t>
  </si>
  <si>
    <t>M0002386</t>
  </si>
  <si>
    <t>M0002387</t>
  </si>
  <si>
    <t>M0002388</t>
  </si>
  <si>
    <t>M0002389</t>
  </si>
  <si>
    <t>M0001068</t>
  </si>
  <si>
    <t>Government Quarry</t>
  </si>
  <si>
    <t>M0001069</t>
  </si>
  <si>
    <t>M0001070</t>
  </si>
  <si>
    <t>M0001071</t>
  </si>
  <si>
    <t>W000141</t>
  </si>
  <si>
    <t>Sue</t>
  </si>
  <si>
    <t>W000690</t>
  </si>
  <si>
    <t>Whicher Range</t>
  </si>
  <si>
    <t>W002677</t>
  </si>
  <si>
    <t>Apium</t>
  </si>
  <si>
    <t>W001099</t>
  </si>
  <si>
    <t>Beekeeper</t>
  </si>
  <si>
    <t>W000686</t>
  </si>
  <si>
    <t>W000718</t>
  </si>
  <si>
    <t>W000721</t>
  </si>
  <si>
    <t>W003272</t>
  </si>
  <si>
    <t>Red Gully</t>
  </si>
  <si>
    <t>W000729</t>
  </si>
  <si>
    <t>Strawberry Hill</t>
  </si>
  <si>
    <t>W005873</t>
  </si>
  <si>
    <t>Waitsia</t>
  </si>
  <si>
    <t>W005977</t>
  </si>
  <si>
    <t>W006025</t>
  </si>
  <si>
    <t>West Erregulla 2</t>
  </si>
  <si>
    <t>W001668</t>
  </si>
  <si>
    <t>West Erregulla</t>
  </si>
  <si>
    <t>W000793</t>
  </si>
  <si>
    <t>West White Point</t>
  </si>
  <si>
    <t>W000067</t>
  </si>
  <si>
    <t>Wicherina</t>
  </si>
  <si>
    <t>W001044</t>
  </si>
  <si>
    <t>W001055</t>
  </si>
  <si>
    <t>W000099</t>
  </si>
  <si>
    <t>Perth Basin Dongara Saddle</t>
  </si>
  <si>
    <t>Allanooka</t>
  </si>
  <si>
    <t>W000101</t>
  </si>
  <si>
    <t>W000170</t>
  </si>
  <si>
    <t>Perth Basin Mandurah Terrace</t>
  </si>
  <si>
    <t>Geothermal (CSIRO-Curtin)</t>
  </si>
  <si>
    <t>M0000029</t>
  </si>
  <si>
    <t>Ambania</t>
  </si>
  <si>
    <t>W005822</t>
  </si>
  <si>
    <t>CO2 capture and storage</t>
  </si>
  <si>
    <t>W005860</t>
  </si>
  <si>
    <t>W005861</t>
  </si>
  <si>
    <t>W000127</t>
  </si>
  <si>
    <t>M0001024</t>
  </si>
  <si>
    <t>CRA Irwin River</t>
  </si>
  <si>
    <t>W002698</t>
  </si>
  <si>
    <t>Centella</t>
  </si>
  <si>
    <t>W005800</t>
  </si>
  <si>
    <t>Drover 1</t>
  </si>
  <si>
    <t>W003260</t>
  </si>
  <si>
    <t>M0001602</t>
  </si>
  <si>
    <t xml:space="preserve">Oxley Potash </t>
  </si>
  <si>
    <t>M0001603</t>
  </si>
  <si>
    <t>Oxley Potash - Maiden Drilling</t>
  </si>
  <si>
    <t>M0001600</t>
  </si>
  <si>
    <t>Oxley Potash</t>
  </si>
  <si>
    <t>M0001601</t>
  </si>
  <si>
    <t>W005804</t>
  </si>
  <si>
    <t>Senecio</t>
  </si>
  <si>
    <t>M0002537</t>
  </si>
  <si>
    <t>Vassa Shelf - Rosabrook Prospect</t>
  </si>
  <si>
    <t>M0002532</t>
  </si>
  <si>
    <t>Vasse Shelf - Carbunup River Prospect</t>
  </si>
  <si>
    <t>M0002533</t>
  </si>
  <si>
    <t>M0002534</t>
  </si>
  <si>
    <t>M0002535</t>
  </si>
  <si>
    <t>Vasse Shelf - Metricup Prospect</t>
  </si>
  <si>
    <t>M0002536</t>
  </si>
  <si>
    <t>M0002540</t>
  </si>
  <si>
    <t>Vasse Shelf - Rosabrook Prospect</t>
  </si>
  <si>
    <t>M0002539</t>
  </si>
  <si>
    <t>M0002538</t>
  </si>
  <si>
    <t>Vasse Shelf - Vasse Prospect</t>
  </si>
  <si>
    <t>W005862</t>
  </si>
  <si>
    <t>W001051</t>
  </si>
  <si>
    <t>Warradong</t>
  </si>
  <si>
    <t>W003217</t>
  </si>
  <si>
    <t>Woodada Deep</t>
  </si>
  <si>
    <t>W000074</t>
  </si>
  <si>
    <t>Yardarino</t>
  </si>
  <si>
    <t>W000079</t>
  </si>
  <si>
    <t>M0001450</t>
  </si>
  <si>
    <t>Pilbara Rocklea Dome</t>
  </si>
  <si>
    <t>M0000677</t>
  </si>
  <si>
    <t xml:space="preserve">Pilbara Craton Marble Bar </t>
  </si>
  <si>
    <t>M0002046</t>
  </si>
  <si>
    <t xml:space="preserve">Pilbara Craton North Pole Dome </t>
  </si>
  <si>
    <t>Pilbara Drilling</t>
  </si>
  <si>
    <t>M0002047</t>
  </si>
  <si>
    <t>M0001195</t>
  </si>
  <si>
    <t>Pilbara Craton North Pole Dome</t>
  </si>
  <si>
    <t>M0002044</t>
  </si>
  <si>
    <t xml:space="preserve">Pilbara Craton Tumbiana Formation </t>
  </si>
  <si>
    <t>M0001998</t>
  </si>
  <si>
    <t xml:space="preserve">Pilbara Craton </t>
  </si>
  <si>
    <t>M0001999</t>
  </si>
  <si>
    <t>M0000678</t>
  </si>
  <si>
    <t>M0000681</t>
  </si>
  <si>
    <t>M0002272</t>
  </si>
  <si>
    <t>M0002001</t>
  </si>
  <si>
    <t>M0001536</t>
  </si>
  <si>
    <t>Pilbara Craton</t>
  </si>
  <si>
    <t>Anomaly Hill</t>
  </si>
  <si>
    <t>M0002899</t>
  </si>
  <si>
    <t>Bartons</t>
  </si>
  <si>
    <t>M0002356</t>
  </si>
  <si>
    <t>Beatons Creek Deep Drill Hole</t>
  </si>
  <si>
    <t>M0003205</t>
  </si>
  <si>
    <t>Bonney Downs</t>
  </si>
  <si>
    <t>M0001393</t>
  </si>
  <si>
    <t>Cleaverville-Dixon Island</t>
  </si>
  <si>
    <t>M0001394</t>
  </si>
  <si>
    <t>M0002197</t>
  </si>
  <si>
    <t>M0001392</t>
  </si>
  <si>
    <t>M0001537</t>
  </si>
  <si>
    <t>Copper Gorge</t>
  </si>
  <si>
    <t>M0002043</t>
  </si>
  <si>
    <t>Hickman Crater</t>
  </si>
  <si>
    <t>M0001584</t>
  </si>
  <si>
    <t>Karlawinda</t>
  </si>
  <si>
    <t>M0002790</t>
  </si>
  <si>
    <t>King Col Pegmatite</t>
  </si>
  <si>
    <t>M0002791</t>
  </si>
  <si>
    <t>M0002805</t>
  </si>
  <si>
    <t xml:space="preserve">Klondyke </t>
  </si>
  <si>
    <t>M0002806</t>
  </si>
  <si>
    <t>Klondyke</t>
  </si>
  <si>
    <t>M0002804</t>
  </si>
  <si>
    <t>M0003400</t>
  </si>
  <si>
    <t>Mallina</t>
  </si>
  <si>
    <t>M0003401</t>
  </si>
  <si>
    <t>M0003402</t>
  </si>
  <si>
    <t>M0003403</t>
  </si>
  <si>
    <t>M0002039</t>
  </si>
  <si>
    <t>McCameys North (Boolgeeda Fm)</t>
  </si>
  <si>
    <t>M0000640</t>
  </si>
  <si>
    <t>McPhee Dome - Copper Gorge</t>
  </si>
  <si>
    <t>M0000641</t>
  </si>
  <si>
    <t>M0000642</t>
  </si>
  <si>
    <t>M0002101</t>
  </si>
  <si>
    <t>Midway</t>
  </si>
  <si>
    <t>M0002102</t>
  </si>
  <si>
    <t>M0002103</t>
  </si>
  <si>
    <t>M0002104</t>
  </si>
  <si>
    <t>M0002344</t>
  </si>
  <si>
    <t>Pardoo Ni-Cu</t>
  </si>
  <si>
    <t>M0003325</t>
  </si>
  <si>
    <t xml:space="preserve">Pilgangoora </t>
  </si>
  <si>
    <t>M0000631</t>
  </si>
  <si>
    <t xml:space="preserve">Rocklea </t>
  </si>
  <si>
    <t>M0000632</t>
  </si>
  <si>
    <t>M0001609</t>
  </si>
  <si>
    <t>Roy Hill South (Fortescue Valley Strat Drilling)</t>
  </si>
  <si>
    <t>M0001306</t>
  </si>
  <si>
    <t>Sherlock Bay</t>
  </si>
  <si>
    <t>M0003067</t>
  </si>
  <si>
    <t>Toweranna</t>
  </si>
  <si>
    <t>M0002040</t>
  </si>
  <si>
    <t>Watershed (20km north of Bullo Downs Station)</t>
  </si>
  <si>
    <t>M0002729</t>
  </si>
  <si>
    <t>Pinjarra Orogen</t>
  </si>
  <si>
    <t>Caesar</t>
  </si>
  <si>
    <t>W002656</t>
  </si>
  <si>
    <t>Redback</t>
  </si>
  <si>
    <t>W003220</t>
  </si>
  <si>
    <t>W006021</t>
  </si>
  <si>
    <t>Roebuck Basin</t>
  </si>
  <si>
    <t>Dorado</t>
  </si>
  <si>
    <t>W006028</t>
  </si>
  <si>
    <t>W005966</t>
  </si>
  <si>
    <t>Roc</t>
  </si>
  <si>
    <t>M0000585</t>
  </si>
  <si>
    <t>Salvation Basin</t>
  </si>
  <si>
    <t>Stanley - Nabberu East</t>
  </si>
  <si>
    <t>M0003128</t>
  </si>
  <si>
    <t>South West Terrane</t>
  </si>
  <si>
    <t>Woodanilling Intrusive Red Hill prospect</t>
  </si>
  <si>
    <t>M0003129</t>
  </si>
  <si>
    <t>M0002866</t>
  </si>
  <si>
    <t>Asgard</t>
  </si>
  <si>
    <t>M0002865</t>
  </si>
  <si>
    <t>M0002799</t>
  </si>
  <si>
    <t>Boddington</t>
  </si>
  <si>
    <t>M0002807</t>
  </si>
  <si>
    <t>M0002808</t>
  </si>
  <si>
    <t>M0002802</t>
  </si>
  <si>
    <t>M0002809</t>
  </si>
  <si>
    <t>M0002797</t>
  </si>
  <si>
    <t>M0002826</t>
  </si>
  <si>
    <t>M0002796</t>
  </si>
  <si>
    <t>M0002825</t>
  </si>
  <si>
    <t>M0002800</t>
  </si>
  <si>
    <t>M0002801</t>
  </si>
  <si>
    <t>M0002157</t>
  </si>
  <si>
    <t>Calingiri Diamond</t>
  </si>
  <si>
    <t>M0002158</t>
  </si>
  <si>
    <t>M0002418</t>
  </si>
  <si>
    <t>M0001534</t>
  </si>
  <si>
    <t>Calingiri-Dasher</t>
  </si>
  <si>
    <t>M0002159</t>
  </si>
  <si>
    <t>M0001535</t>
  </si>
  <si>
    <t>M0002469</t>
  </si>
  <si>
    <t>Chitterberrin</t>
  </si>
  <si>
    <t>M0002013</t>
  </si>
  <si>
    <t>Donnybrook</t>
  </si>
  <si>
    <t>M0002202</t>
  </si>
  <si>
    <t>M0002021</t>
  </si>
  <si>
    <t>M0002786</t>
  </si>
  <si>
    <t>Greenbushes</t>
  </si>
  <si>
    <t>M0003236</t>
  </si>
  <si>
    <t>M0001449</t>
  </si>
  <si>
    <t>Jubuk</t>
  </si>
  <si>
    <t>M0002747</t>
  </si>
  <si>
    <t>M0002753</t>
  </si>
  <si>
    <t>M0002748</t>
  </si>
  <si>
    <t>M0002754</t>
  </si>
  <si>
    <t>M0002743</t>
  </si>
  <si>
    <t>M0002350</t>
  </si>
  <si>
    <t>Kauring</t>
  </si>
  <si>
    <t>M0002322</t>
  </si>
  <si>
    <t>Southern Brook</t>
  </si>
  <si>
    <t>M0002757</t>
  </si>
  <si>
    <t xml:space="preserve">Stanley </t>
  </si>
  <si>
    <t>M0002758</t>
  </si>
  <si>
    <t>M0002759</t>
  </si>
  <si>
    <t>M0002760</t>
  </si>
  <si>
    <t>M0002761</t>
  </si>
  <si>
    <t>M0002762</t>
  </si>
  <si>
    <t>M0002763</t>
  </si>
  <si>
    <t>M0002764</t>
  </si>
  <si>
    <t>M0002765</t>
  </si>
  <si>
    <t>M0002766</t>
  </si>
  <si>
    <t>M0002767</t>
  </si>
  <si>
    <t>M0002768</t>
  </si>
  <si>
    <t>M0002769</t>
  </si>
  <si>
    <t>M0002887</t>
  </si>
  <si>
    <t xml:space="preserve">Tampia Hill </t>
  </si>
  <si>
    <t>M0002888</t>
  </si>
  <si>
    <t>M0002886</t>
  </si>
  <si>
    <t>Tampia Hill</t>
  </si>
  <si>
    <t>M0002321</t>
  </si>
  <si>
    <t>Ularring Rock</t>
  </si>
  <si>
    <t>M0001407</t>
  </si>
  <si>
    <t>Wheatley (Kingsley)</t>
  </si>
  <si>
    <t>M0001396</t>
  </si>
  <si>
    <t>M0001397</t>
  </si>
  <si>
    <t>M0001398</t>
  </si>
  <si>
    <t>M0001401</t>
  </si>
  <si>
    <t>M0003246</t>
  </si>
  <si>
    <t>Yarawindah Brook</t>
  </si>
  <si>
    <t>W000737</t>
  </si>
  <si>
    <t>Pendock</t>
  </si>
  <si>
    <t>W000051</t>
  </si>
  <si>
    <t>Quail</t>
  </si>
  <si>
    <t>W002117</t>
  </si>
  <si>
    <t>Southern Carnarvon Basin</t>
  </si>
  <si>
    <t>Coburn</t>
  </si>
  <si>
    <t>W002316</t>
  </si>
  <si>
    <t>GSWA stratigraphic</t>
  </si>
  <si>
    <t>W000166</t>
  </si>
  <si>
    <t>Kennedy Range</t>
  </si>
  <si>
    <t>M0002139</t>
  </si>
  <si>
    <t>Nyang</t>
  </si>
  <si>
    <t>M0002140</t>
  </si>
  <si>
    <t>M0002141</t>
  </si>
  <si>
    <t>M0002142</t>
  </si>
  <si>
    <t>M0002143</t>
  </si>
  <si>
    <t>M0002144</t>
  </si>
  <si>
    <t>M0002145</t>
  </si>
  <si>
    <t>M0002146</t>
  </si>
  <si>
    <t>M0002147</t>
  </si>
  <si>
    <t>M0002148</t>
  </si>
  <si>
    <t>W002711</t>
  </si>
  <si>
    <t>Wendy</t>
  </si>
  <si>
    <t>M0002730</t>
  </si>
  <si>
    <t>Sylvania Inlier (Pilbara)</t>
  </si>
  <si>
    <t>W005979</t>
  </si>
  <si>
    <t>W006030</t>
  </si>
  <si>
    <t>Waukarlycarly Embayment Stratigraphic Drilling</t>
  </si>
  <si>
    <t>W002202</t>
  </si>
  <si>
    <t>Wayvanerry</t>
  </si>
  <si>
    <t>M0003388</t>
  </si>
  <si>
    <t>Western Tanami</t>
  </si>
  <si>
    <t xml:space="preserve">West Tanami Afghan prospect </t>
  </si>
  <si>
    <t>M0001558</t>
  </si>
  <si>
    <t>Coyote Deeps</t>
  </si>
  <si>
    <t>M0002530</t>
  </si>
  <si>
    <t>W005982</t>
  </si>
  <si>
    <t>Xanadu</t>
  </si>
  <si>
    <t>W002707</t>
  </si>
  <si>
    <t>Xyris South</t>
  </si>
  <si>
    <t>M0002701</t>
  </si>
  <si>
    <t>Yerrida Basin</t>
  </si>
  <si>
    <t>Contessa Gold Prospect</t>
  </si>
  <si>
    <t>M0002702</t>
  </si>
  <si>
    <t>M0001635</t>
  </si>
  <si>
    <t>Thaduna</t>
  </si>
  <si>
    <t>M0003171</t>
  </si>
  <si>
    <t>M0002989</t>
  </si>
  <si>
    <t>Yilgarn Craton</t>
  </si>
  <si>
    <t>M0002893</t>
  </si>
  <si>
    <t>M0000019</t>
  </si>
  <si>
    <t>Abernethy Prospect</t>
  </si>
  <si>
    <t>M0000020</t>
  </si>
  <si>
    <t>M0002198</t>
  </si>
  <si>
    <t>Andy Well Drilling</t>
  </si>
  <si>
    <t>M0002867</t>
  </si>
  <si>
    <t>Apollo Hill</t>
  </si>
  <si>
    <t>M0002868</t>
  </si>
  <si>
    <t>M0001542</t>
  </si>
  <si>
    <t>Austin Deeps</t>
  </si>
  <si>
    <t>M0002938</t>
  </si>
  <si>
    <t>M0002661</t>
  </si>
  <si>
    <t>Curara Well</t>
  </si>
  <si>
    <t>M0002662</t>
  </si>
  <si>
    <t>M0002635</t>
  </si>
  <si>
    <t>Gearless Well Stratigraphy</t>
  </si>
  <si>
    <t>M0002162</t>
  </si>
  <si>
    <t>Genesis - Jillewarra</t>
  </si>
  <si>
    <t>M0002163</t>
  </si>
  <si>
    <t>M0002164</t>
  </si>
  <si>
    <t>M0002632</t>
  </si>
  <si>
    <t>Gilbeys Prospect</t>
  </si>
  <si>
    <t>M0002633</t>
  </si>
  <si>
    <t>M0002275</t>
  </si>
  <si>
    <t>Gnaweeda - Bunarra</t>
  </si>
  <si>
    <t>M0002276</t>
  </si>
  <si>
    <t>M0002273</t>
  </si>
  <si>
    <t>Gnaweeda Far East</t>
  </si>
  <si>
    <t>M0002274</t>
  </si>
  <si>
    <t>M0001731</t>
  </si>
  <si>
    <t>Golden Grove</t>
  </si>
  <si>
    <t>M0001732</t>
  </si>
  <si>
    <t>M0001733</t>
  </si>
  <si>
    <t>M0001734</t>
  </si>
  <si>
    <t>M0001736</t>
  </si>
  <si>
    <t>M0001728</t>
  </si>
  <si>
    <t>M0002391</t>
  </si>
  <si>
    <t>Jundee Deeps</t>
  </si>
  <si>
    <t>M0001664</t>
  </si>
  <si>
    <t>M0002390</t>
  </si>
  <si>
    <t>M0002921</t>
  </si>
  <si>
    <t>M0002428</t>
  </si>
  <si>
    <t>Manindi</t>
  </si>
  <si>
    <t>M0002429</t>
  </si>
  <si>
    <t>M0002430</t>
  </si>
  <si>
    <t>M0002431</t>
  </si>
  <si>
    <t>M0002432</t>
  </si>
  <si>
    <t>M0002727</t>
  </si>
  <si>
    <t>Morning Star Deeps</t>
  </si>
  <si>
    <t>Mt Mulgine</t>
  </si>
  <si>
    <t>M0002262</t>
  </si>
  <si>
    <t>Nanadie Well</t>
  </si>
  <si>
    <t>M0002263</t>
  </si>
  <si>
    <t>M0002161</t>
  </si>
  <si>
    <t>Phoenix - Jillewarra</t>
  </si>
  <si>
    <t>Quinns (Austin)</t>
  </si>
  <si>
    <t>M0001522</t>
  </si>
  <si>
    <t>Quinns (Dickson)</t>
  </si>
  <si>
    <t>M0001523</t>
  </si>
  <si>
    <t>M0001524</t>
  </si>
  <si>
    <t>Quinns (Franklin)</t>
  </si>
  <si>
    <t>M0001525</t>
  </si>
  <si>
    <t>Quinns (Herbert)</t>
  </si>
  <si>
    <t>M0001531</t>
  </si>
  <si>
    <t>Quinns (T&amp;J)</t>
  </si>
  <si>
    <t>M0001630</t>
  </si>
  <si>
    <t>Ram Well anomaly</t>
  </si>
  <si>
    <t>M0001774</t>
  </si>
  <si>
    <t>M0002196</t>
  </si>
  <si>
    <t>Saturn Deeps (Mt Magnet)</t>
  </si>
  <si>
    <t>M0001571</t>
  </si>
  <si>
    <t>M0001638</t>
  </si>
  <si>
    <t>Ulysses East Gold</t>
  </si>
  <si>
    <t>M0001639</t>
  </si>
  <si>
    <t>M0001640</t>
  </si>
  <si>
    <t>M0001641</t>
  </si>
  <si>
    <t>M0001642</t>
  </si>
  <si>
    <t>M0001720</t>
  </si>
  <si>
    <t>Weld Range</t>
  </si>
  <si>
    <t>M0001721</t>
  </si>
  <si>
    <t>M0001722</t>
  </si>
  <si>
    <t>M0001727</t>
  </si>
  <si>
    <t>M0001724</t>
  </si>
  <si>
    <t>Windimurra</t>
  </si>
  <si>
    <t>M0001725</t>
  </si>
  <si>
    <t>M0002045</t>
  </si>
  <si>
    <t>M0001726</t>
  </si>
  <si>
    <t>M0001526</t>
  </si>
  <si>
    <t>Yagahong (Copper Hills)</t>
  </si>
  <si>
    <t>M0001527</t>
  </si>
  <si>
    <t>M0001530</t>
  </si>
  <si>
    <t>Yagahong (Lady Alma)</t>
  </si>
  <si>
    <t>Yalgoo-Bilberatha</t>
  </si>
  <si>
    <t>M0002778</t>
  </si>
  <si>
    <t>Yuinmery</t>
  </si>
  <si>
    <t>M0002775</t>
  </si>
  <si>
    <t>M0002779</t>
  </si>
  <si>
    <t>M0002776</t>
  </si>
  <si>
    <t>M0002777</t>
  </si>
  <si>
    <t>M0001502</t>
  </si>
  <si>
    <t>Lake Giles - DSO "magnetite"</t>
  </si>
  <si>
    <t>M0001503</t>
  </si>
  <si>
    <t>M0002420</t>
  </si>
  <si>
    <t>Copperhead Magnetic Targets</t>
  </si>
  <si>
    <t>M0002421</t>
  </si>
  <si>
    <t>M0002422</t>
  </si>
  <si>
    <t>M0002423</t>
  </si>
  <si>
    <t>M0002453</t>
  </si>
  <si>
    <t xml:space="preserve">Emily Ann - Lake Johnson </t>
  </si>
  <si>
    <t>M0002454</t>
  </si>
  <si>
    <t>M0002455</t>
  </si>
  <si>
    <t>M0000163</t>
  </si>
  <si>
    <t>Fraser Southern Cross</t>
  </si>
  <si>
    <t>M0000183</t>
  </si>
  <si>
    <t>Golden Pig Southern Cross</t>
  </si>
  <si>
    <t>M0002284</t>
  </si>
  <si>
    <t>Jupiter</t>
  </si>
  <si>
    <t>M0002285</t>
  </si>
  <si>
    <t>M0001644</t>
  </si>
  <si>
    <t>Lake Percy</t>
  </si>
  <si>
    <t>M0001653</t>
  </si>
  <si>
    <t>M0001654</t>
  </si>
  <si>
    <t>M0001643</t>
  </si>
  <si>
    <t>Leopard Moth (Sandstone)</t>
  </si>
  <si>
    <t>Marvel Loch</t>
  </si>
  <si>
    <t>M0001610</t>
  </si>
  <si>
    <t>Mount Short (Ravensthorpe)</t>
  </si>
  <si>
    <t>M0001611</t>
  </si>
  <si>
    <t>M0001612</t>
  </si>
  <si>
    <t>M0002351</t>
  </si>
  <si>
    <t>Mt Finnerty - Green Dam</t>
  </si>
  <si>
    <t>M0002077</t>
  </si>
  <si>
    <t>Mt Finnerty</t>
  </si>
  <si>
    <t>M0002078</t>
  </si>
  <si>
    <t>M0001481</t>
  </si>
  <si>
    <t>Mt. Finnerty</t>
  </si>
  <si>
    <t>M0001546</t>
  </si>
  <si>
    <t>M0000283</t>
  </si>
  <si>
    <t>Pincher Well</t>
  </si>
  <si>
    <t>M0000284</t>
  </si>
  <si>
    <t>M0000285</t>
  </si>
  <si>
    <t>M0000286</t>
  </si>
  <si>
    <t>M0000288</t>
  </si>
  <si>
    <t>M0000289</t>
  </si>
  <si>
    <t>M0000290</t>
  </si>
  <si>
    <t>M0000291</t>
  </si>
  <si>
    <t>M0000292</t>
  </si>
  <si>
    <t>M0001145</t>
  </si>
  <si>
    <t>M0001839</t>
  </si>
  <si>
    <t>Ravensthorpe</t>
  </si>
  <si>
    <t>M0001606</t>
  </si>
  <si>
    <t xml:space="preserve">Ravensthorpe RAV8 </t>
  </si>
  <si>
    <t>M0001607</t>
  </si>
  <si>
    <t>M0002698</t>
  </si>
  <si>
    <t>Two Mile Hill BIF Deeps</t>
  </si>
  <si>
    <t>M0002699</t>
  </si>
  <si>
    <t>M0002700</t>
  </si>
  <si>
    <t>Yilgarn BIF Windarling mines</t>
  </si>
  <si>
    <t>Yilgarn BIF</t>
  </si>
  <si>
    <t>M0003036</t>
  </si>
  <si>
    <t>Mioyagee Lake Austin North prospect</t>
  </si>
  <si>
    <t>M0003037</t>
  </si>
  <si>
    <t>M0003038</t>
  </si>
  <si>
    <t>M0003039</t>
  </si>
  <si>
    <t>M0003002</t>
  </si>
  <si>
    <t>Thundelarra</t>
  </si>
  <si>
    <t>SA</t>
  </si>
  <si>
    <t>285472_ACEDD002</t>
  </si>
  <si>
    <t>NT</t>
  </si>
  <si>
    <t>Aileron Province</t>
  </si>
  <si>
    <t>Amadeus Basin</t>
  </si>
  <si>
    <t>Arafura Basin</t>
  </si>
  <si>
    <t>Birrindudu Basin</t>
  </si>
  <si>
    <t>Carpentaria Basin</t>
  </si>
  <si>
    <t>Daly Basin</t>
  </si>
  <si>
    <t>Dunmurra Basin</t>
  </si>
  <si>
    <t>Georgina Basin</t>
  </si>
  <si>
    <t>Irindina Province</t>
  </si>
  <si>
    <t>Lake Woods</t>
  </si>
  <si>
    <t>Lawn Hill Platform</t>
  </si>
  <si>
    <t>McArthur Basin</t>
  </si>
  <si>
    <t>Murphy Inlier</t>
  </si>
  <si>
    <t>Ngalia Basin</t>
  </si>
  <si>
    <t>Pedirka Basin</t>
  </si>
  <si>
    <t>Pine Creek Orogen</t>
  </si>
  <si>
    <t>South Nicholson Basin</t>
  </si>
  <si>
    <t>Tanami Region</t>
  </si>
  <si>
    <t>Tennant Creek Region</t>
  </si>
  <si>
    <t>Tennant Inlier</t>
  </si>
  <si>
    <t>Tennant Region</t>
  </si>
  <si>
    <t>Tomkinson Province</t>
  </si>
  <si>
    <t>Victoria - Birrindudu Basin</t>
  </si>
  <si>
    <t>Victoria-Birrindudu Basin</t>
  </si>
  <si>
    <t>Warramunga Province</t>
  </si>
  <si>
    <t>Western Arunta</t>
  </si>
  <si>
    <t>Wiso Basin</t>
  </si>
  <si>
    <t>Qld</t>
  </si>
  <si>
    <t xml:space="preserve"> 2.25406e+033</t>
  </si>
  <si>
    <t xml:space="preserve"> 1.00000e+007</t>
  </si>
  <si>
    <t>Calgoa</t>
  </si>
  <si>
    <t>MIN_005269</t>
  </si>
  <si>
    <t>NSW</t>
  </si>
  <si>
    <t>Ace-Underlay / Nelson Mine Area NL1</t>
  </si>
  <si>
    <t>MIN_022234</t>
  </si>
  <si>
    <t>Alectown</t>
  </si>
  <si>
    <t>MIN_063148</t>
  </si>
  <si>
    <t>MIN_063149</t>
  </si>
  <si>
    <t>MIN_063150</t>
  </si>
  <si>
    <t>MIN_063151</t>
  </si>
  <si>
    <t>MIN_063152</t>
  </si>
  <si>
    <t>MIN_063153</t>
  </si>
  <si>
    <t>MIN_063154</t>
  </si>
  <si>
    <t>MIN_063155</t>
  </si>
  <si>
    <t>MIN_063156</t>
  </si>
  <si>
    <t>MIN_134131</t>
  </si>
  <si>
    <t>MIN_145289</t>
  </si>
  <si>
    <t>MIN_134132</t>
  </si>
  <si>
    <t>MIN_134133</t>
  </si>
  <si>
    <t>MIN_001943</t>
  </si>
  <si>
    <t>Allendale Mine</t>
  </si>
  <si>
    <t>MIN_005540</t>
  </si>
  <si>
    <t>Anomaly 2 KDH1</t>
  </si>
  <si>
    <t>MIN_005819</t>
  </si>
  <si>
    <t>Anomaly A - The Glen</t>
  </si>
  <si>
    <t>MIN_005820</t>
  </si>
  <si>
    <t>MIN_005821</t>
  </si>
  <si>
    <t>MIN_005822</t>
  </si>
  <si>
    <t>MIN_005823</t>
  </si>
  <si>
    <t>MIN_005824</t>
  </si>
  <si>
    <t>MIN_005022</t>
  </si>
  <si>
    <t>Ardwest - Ardlethan Tin Mine</t>
  </si>
  <si>
    <t>MIN_165421</t>
  </si>
  <si>
    <t>MIN_108570</t>
  </si>
  <si>
    <t>Avoca Tank - Girilambone</t>
  </si>
  <si>
    <t>MIN_108583</t>
  </si>
  <si>
    <t>MIN_074720</t>
  </si>
  <si>
    <t>Bald Hill - Calarie</t>
  </si>
  <si>
    <t>MIN_060155</t>
  </si>
  <si>
    <t>Barmedman BAR09-01</t>
  </si>
  <si>
    <t>MIN_060157</t>
  </si>
  <si>
    <t>Barmedman BAR09-03</t>
  </si>
  <si>
    <t>MIN_060160</t>
  </si>
  <si>
    <t>Barmedman BAR10-01</t>
  </si>
  <si>
    <t>MIN_060162</t>
  </si>
  <si>
    <t>Barmedman BAR10-03</t>
  </si>
  <si>
    <t>MIN_006831</t>
  </si>
  <si>
    <t>Barney Anomaly Mundoe - Mount Hope MPH1</t>
  </si>
  <si>
    <t>MIN_003557</t>
  </si>
  <si>
    <t>Bauloora - Cootamundra</t>
  </si>
  <si>
    <t>MIN_123110</t>
  </si>
  <si>
    <t>MIN_123111</t>
  </si>
  <si>
    <t>MIN_003285</t>
  </si>
  <si>
    <t>Big Cadia - Cadia PC178</t>
  </si>
  <si>
    <t>MIN_008266</t>
  </si>
  <si>
    <t>Billagoe DD93BIL1</t>
  </si>
  <si>
    <t>MIN_001474</t>
  </si>
  <si>
    <t>Black Prince</t>
  </si>
  <si>
    <t>MIN_255728</t>
  </si>
  <si>
    <t>Blayney</t>
  </si>
  <si>
    <t>MIN_255729</t>
  </si>
  <si>
    <t>MIN_040883</t>
  </si>
  <si>
    <t>Blue Mountain - Gilgunnia</t>
  </si>
  <si>
    <t>MIN_040884</t>
  </si>
  <si>
    <t>MIN_040854</t>
  </si>
  <si>
    <t>Blue Mountain - Wonawinta</t>
  </si>
  <si>
    <t>MIN_336108</t>
  </si>
  <si>
    <t>Bodangora KSDD006</t>
  </si>
  <si>
    <t>MIN_117574</t>
  </si>
  <si>
    <t>Boonoo Boonoo</t>
  </si>
  <si>
    <t>MIN_117575</t>
  </si>
  <si>
    <t>MIN_117576</t>
  </si>
  <si>
    <t>MIN_019694</t>
  </si>
  <si>
    <t>Boundary - Fairholme DR003</t>
  </si>
  <si>
    <t>MIN_019725</t>
  </si>
  <si>
    <t>Boundary - Fairholme DR034</t>
  </si>
  <si>
    <t>MIN_019730</t>
  </si>
  <si>
    <t>Boundary - Fairholme DR039</t>
  </si>
  <si>
    <t>MIN_019731</t>
  </si>
  <si>
    <t>Boundary - Fairholme DR040</t>
  </si>
  <si>
    <t>MIN_019733</t>
  </si>
  <si>
    <t>Boundary - Fairholme DR042</t>
  </si>
  <si>
    <t>MIN_019734</t>
  </si>
  <si>
    <t>Boundary - Fairholme DR043</t>
  </si>
  <si>
    <t>MIN_016433</t>
  </si>
  <si>
    <t>Bowdens Gift - Lue</t>
  </si>
  <si>
    <t>MIN_016441</t>
  </si>
  <si>
    <t>MIN_074719</t>
  </si>
  <si>
    <t>Brandy</t>
  </si>
  <si>
    <t>MIN_004945</t>
  </si>
  <si>
    <t>Browns Reef - Lake Cargelligo BR009</t>
  </si>
  <si>
    <t>MIN_004953</t>
  </si>
  <si>
    <t>Browns Reef - Lake Cargelligo</t>
  </si>
  <si>
    <t>MIN_004955</t>
  </si>
  <si>
    <t>Browns Reef - Lake Cargelligo BR018</t>
  </si>
  <si>
    <t>MIN_004956</t>
  </si>
  <si>
    <t>Browns Reef - Lake Cargelligo BR019</t>
  </si>
  <si>
    <t>MIN_004935</t>
  </si>
  <si>
    <t>MIN_004936</t>
  </si>
  <si>
    <t>Browns Reef - Lake Cargelligo BR2</t>
  </si>
  <si>
    <t>MIN_004937</t>
  </si>
  <si>
    <t>MIN_004940</t>
  </si>
  <si>
    <t>MIN_004941</t>
  </si>
  <si>
    <t>Browns Reef - Lake Cargelligo BR5</t>
  </si>
  <si>
    <t>MIN_004942</t>
  </si>
  <si>
    <t>MIN_010898</t>
  </si>
  <si>
    <t>Bulgoo Anomaly - The Meadows MPH1A</t>
  </si>
  <si>
    <t>MIN_018408</t>
  </si>
  <si>
    <t>Burley Jack</t>
  </si>
  <si>
    <t>MIN_018409</t>
  </si>
  <si>
    <t>MIN_018410</t>
  </si>
  <si>
    <t>MIN_016972</t>
  </si>
  <si>
    <t>Burri-Cnw1</t>
  </si>
  <si>
    <t>MIN_016973</t>
  </si>
  <si>
    <t>MIN_022227</t>
  </si>
  <si>
    <t>Buryan - Alectown</t>
  </si>
  <si>
    <t>MIN_022228</t>
  </si>
  <si>
    <t>MIN_022229</t>
  </si>
  <si>
    <t>MIN_022231</t>
  </si>
  <si>
    <t>MIN_022232</t>
  </si>
  <si>
    <t>MIN_022233</t>
  </si>
  <si>
    <t>MIN_020535</t>
  </si>
  <si>
    <t>Bushranger/Racecourse Creek - Oberon</t>
  </si>
  <si>
    <t>MIN_020536</t>
  </si>
  <si>
    <t>MIN_020465</t>
  </si>
  <si>
    <t>MIN_020506</t>
  </si>
  <si>
    <t>MIN_016552</t>
  </si>
  <si>
    <t>CNW3 - Arrawa</t>
  </si>
  <si>
    <t>MIN_137263</t>
  </si>
  <si>
    <t>CSA Mine Surface Exploration Drilling</t>
  </si>
  <si>
    <t>MIN_171792</t>
  </si>
  <si>
    <t>MIN_160370</t>
  </si>
  <si>
    <t>CSA Mine</t>
  </si>
  <si>
    <t>MIN_171812</t>
  </si>
  <si>
    <t>MIN_003286</t>
  </si>
  <si>
    <t>Cadia Monzonite PC179</t>
  </si>
  <si>
    <t>MIN_003288</t>
  </si>
  <si>
    <t>Cadia Monzonite PC181</t>
  </si>
  <si>
    <t>MIN_003289</t>
  </si>
  <si>
    <t>Cadia Monzonite PC182</t>
  </si>
  <si>
    <t>MIN_003301</t>
  </si>
  <si>
    <t>Cadia Monzonite PC194</t>
  </si>
  <si>
    <t>MIN_003303</t>
  </si>
  <si>
    <t>Cadia PC196</t>
  </si>
  <si>
    <t>MIN_028741</t>
  </si>
  <si>
    <t>Caledonian - Yalwal</t>
  </si>
  <si>
    <t>MIN_074946</t>
  </si>
  <si>
    <t>Canbelego - Burra</t>
  </si>
  <si>
    <t>MIN_074949</t>
  </si>
  <si>
    <t>MIN_074952</t>
  </si>
  <si>
    <t>MIN_158559</t>
  </si>
  <si>
    <t>MIN_039644</t>
  </si>
  <si>
    <t>Canbelego - C5 Magnetic Anomaly</t>
  </si>
  <si>
    <t>MIN_039633</t>
  </si>
  <si>
    <t>Canbelego C2A</t>
  </si>
  <si>
    <t>MIN_039634</t>
  </si>
  <si>
    <t>MIN_039636</t>
  </si>
  <si>
    <t>MIN_024547</t>
  </si>
  <si>
    <t>Canonba - Nyngan</t>
  </si>
  <si>
    <t>MIN_024548</t>
  </si>
  <si>
    <t>MIN_024549</t>
  </si>
  <si>
    <t>MIN_003495</t>
  </si>
  <si>
    <t>Captains Flat</t>
  </si>
  <si>
    <t>MIN_003496</t>
  </si>
  <si>
    <t>MIN_017461</t>
  </si>
  <si>
    <t>Cargo</t>
  </si>
  <si>
    <t>MIN_017462</t>
  </si>
  <si>
    <t>MIN_017463</t>
  </si>
  <si>
    <t>MIN_017464</t>
  </si>
  <si>
    <t>MIN_017465</t>
  </si>
  <si>
    <t>MIN_017466</t>
  </si>
  <si>
    <t>MIN_017485</t>
  </si>
  <si>
    <t>MIN_017486</t>
  </si>
  <si>
    <t>MIN_017487</t>
  </si>
  <si>
    <t>MIN_017488</t>
  </si>
  <si>
    <t>MIN_017489</t>
  </si>
  <si>
    <t>MIN_003024</t>
  </si>
  <si>
    <t>Caroline Mine (Extension Drilling) - Tottenham A1</t>
  </si>
  <si>
    <t>MIN_003025</t>
  </si>
  <si>
    <t>Caroline Mine (Extension Drilling) - Tottenham A2</t>
  </si>
  <si>
    <t>MIN_003026</t>
  </si>
  <si>
    <t>Caroline Mine (Extension Drilling) - Tottenham A3</t>
  </si>
  <si>
    <t>MIN_003027</t>
  </si>
  <si>
    <t>Caroline Mine (Extension Drilling) - Tottenham B</t>
  </si>
  <si>
    <t>MIN_069099</t>
  </si>
  <si>
    <t>Central Area - Cobar</t>
  </si>
  <si>
    <t>MIN_155793</t>
  </si>
  <si>
    <t>Central Area</t>
  </si>
  <si>
    <t>MIN_173327</t>
  </si>
  <si>
    <t>MIN_155796</t>
  </si>
  <si>
    <t>MIN_155797</t>
  </si>
  <si>
    <t>MIN_155798</t>
  </si>
  <si>
    <t>MIN_173334</t>
  </si>
  <si>
    <t>MIN_173345</t>
  </si>
  <si>
    <t>MIN_173511</t>
  </si>
  <si>
    <t>MIN_006423</t>
  </si>
  <si>
    <t>Central Pachmarhi - Burrandana</t>
  </si>
  <si>
    <t>MIN_017459</t>
  </si>
  <si>
    <t>Central Zone - Cargo</t>
  </si>
  <si>
    <t>MIN_001945</t>
  </si>
  <si>
    <t>Champion Mine</t>
  </si>
  <si>
    <t>MIN_031042</t>
  </si>
  <si>
    <t>Chesney - Cobar DD97CH19</t>
  </si>
  <si>
    <t>MIN_031035</t>
  </si>
  <si>
    <t>Chesney DD92CH13</t>
  </si>
  <si>
    <t>MIN_005270</t>
  </si>
  <si>
    <t>Chris Watson Mine - Tottenham CW1</t>
  </si>
  <si>
    <t>MIN_116297</t>
  </si>
  <si>
    <t>Christmas Gift - Cullinga</t>
  </si>
  <si>
    <t>COAL_027746</t>
  </si>
  <si>
    <t>Cobbora</t>
  </si>
  <si>
    <t>MIN_013116</t>
  </si>
  <si>
    <t>Cockatoo Creek Grid - Batlow</t>
  </si>
  <si>
    <t>MIN_013117</t>
  </si>
  <si>
    <t>MIN_230563</t>
  </si>
  <si>
    <t>Collerina</t>
  </si>
  <si>
    <t>MIN_230582</t>
  </si>
  <si>
    <t>MIN_010886</t>
  </si>
  <si>
    <t>Commonwealth Mine - Wellington</t>
  </si>
  <si>
    <t>MIN_010889</t>
  </si>
  <si>
    <t>MIN_010856</t>
  </si>
  <si>
    <t>MIN_010866</t>
  </si>
  <si>
    <t>MIN_068202</t>
  </si>
  <si>
    <t>Condobolin</t>
  </si>
  <si>
    <t>MIN_068206</t>
  </si>
  <si>
    <t>MIN_068207</t>
  </si>
  <si>
    <t>MIN_001205</t>
  </si>
  <si>
    <t>Cone - Tindara</t>
  </si>
  <si>
    <t>Cone - Tindara TD9204</t>
  </si>
  <si>
    <t>MIN_067911</t>
  </si>
  <si>
    <t>Conrad Mine - Malachite Resources</t>
  </si>
  <si>
    <t>MIN_067912</t>
  </si>
  <si>
    <t>MIN_067927</t>
  </si>
  <si>
    <t>MIN_067928</t>
  </si>
  <si>
    <t>MIN_025242</t>
  </si>
  <si>
    <t>MIN_025243</t>
  </si>
  <si>
    <t>MIN_025244</t>
  </si>
  <si>
    <t>MIN_025245</t>
  </si>
  <si>
    <t>MIN_017476</t>
  </si>
  <si>
    <t>Consuls - Cargo</t>
  </si>
  <si>
    <t>MIN_017477</t>
  </si>
  <si>
    <t>MIN_017484</t>
  </si>
  <si>
    <t>MIN_002000</t>
  </si>
  <si>
    <t>Copper Blow</t>
  </si>
  <si>
    <t>Min_002001</t>
  </si>
  <si>
    <t>MIN_032901</t>
  </si>
  <si>
    <t>Copper Hill</t>
  </si>
  <si>
    <t>MIN_032903</t>
  </si>
  <si>
    <t>MIN_032909</t>
  </si>
  <si>
    <t>PET_000208</t>
  </si>
  <si>
    <t>Corella</t>
  </si>
  <si>
    <t>MIN_010737</t>
  </si>
  <si>
    <t>Cullinga</t>
  </si>
  <si>
    <t>MIN_010762</t>
  </si>
  <si>
    <t>MIN_010684</t>
  </si>
  <si>
    <t>MIN_010677</t>
  </si>
  <si>
    <t>MIN_024552</t>
  </si>
  <si>
    <t>Currowong Hills</t>
  </si>
  <si>
    <t>MIN_019102</t>
  </si>
  <si>
    <t>MIN_019103</t>
  </si>
  <si>
    <t>MIN_019104</t>
  </si>
  <si>
    <t>MIN_019105</t>
  </si>
  <si>
    <t>Currowong Hills CHD008</t>
  </si>
  <si>
    <t>MIN_019106</t>
  </si>
  <si>
    <t>MIN_019098</t>
  </si>
  <si>
    <t>MIN_019099</t>
  </si>
  <si>
    <t>MIN_137100</t>
  </si>
  <si>
    <t>Currumburrama CBMD001</t>
  </si>
  <si>
    <t>MIN_137101</t>
  </si>
  <si>
    <t>Currumburrama CBMD002</t>
  </si>
  <si>
    <t>MIN_137102</t>
  </si>
  <si>
    <t>Currumburrama CBMD003</t>
  </si>
  <si>
    <t>MIN_137103</t>
  </si>
  <si>
    <t>Currumburrama CBMD005</t>
  </si>
  <si>
    <t>MIN_137104</t>
  </si>
  <si>
    <t>Currumburrama CBMD006</t>
  </si>
  <si>
    <t>MIN_137105</t>
  </si>
  <si>
    <t>Currumburrama CBMD007</t>
  </si>
  <si>
    <t>MIN_024519</t>
  </si>
  <si>
    <t>Cuttaburra</t>
  </si>
  <si>
    <t>MIN_069150</t>
  </si>
  <si>
    <t>MIN_031625</t>
  </si>
  <si>
    <t>MIN_031626</t>
  </si>
  <si>
    <t>MIN_031649</t>
  </si>
  <si>
    <t>MIN_031323</t>
  </si>
  <si>
    <t>MIN_017448</t>
  </si>
  <si>
    <t>Dalcoath West - Cargo</t>
  </si>
  <si>
    <t>MIN_036005</t>
  </si>
  <si>
    <t>Dam - Lilydale</t>
  </si>
  <si>
    <t>MIN_036010</t>
  </si>
  <si>
    <t>MIN_036018</t>
  </si>
  <si>
    <t>MIN_036037</t>
  </si>
  <si>
    <t>MIN_001467</t>
  </si>
  <si>
    <t>Diamond Jubilee</t>
  </si>
  <si>
    <t>MIN_250465</t>
  </si>
  <si>
    <t>Discovery Ridge</t>
  </si>
  <si>
    <t>MIN_250466</t>
  </si>
  <si>
    <t>MIN_255727</t>
  </si>
  <si>
    <t>MIN_250485</t>
  </si>
  <si>
    <t>MIN_009763</t>
  </si>
  <si>
    <t>Dobroyde</t>
  </si>
  <si>
    <t>MIN_009769</t>
  </si>
  <si>
    <t>MIN_009771</t>
  </si>
  <si>
    <t>MIN_009779</t>
  </si>
  <si>
    <t>Dobroyde Hill</t>
  </si>
  <si>
    <t>MIN_229711</t>
  </si>
  <si>
    <t>MIN_001776</t>
  </si>
  <si>
    <t>Dome 2 Magnetic Anomaly - Mundi Mundi Plains</t>
  </si>
  <si>
    <t>MIN_001782</t>
  </si>
  <si>
    <t>MIN_033910</t>
  </si>
  <si>
    <t>Doradilla</t>
  </si>
  <si>
    <t>MIN_033911</t>
  </si>
  <si>
    <t>MIN_033921</t>
  </si>
  <si>
    <t>Doradilla Lode</t>
  </si>
  <si>
    <t>MIN_033926</t>
  </si>
  <si>
    <t>MIN_019692</t>
  </si>
  <si>
    <t>Dungarvan - Fairholme DR001</t>
  </si>
  <si>
    <t>MIN_019728</t>
  </si>
  <si>
    <t>Dungarvan - Fairholme DR037</t>
  </si>
  <si>
    <t>MIN_019738</t>
  </si>
  <si>
    <t>Dungarvan - Fairholme DR046</t>
  </si>
  <si>
    <t>MIN_234247</t>
  </si>
  <si>
    <t>EL6286</t>
  </si>
  <si>
    <t>MIN_234249</t>
  </si>
  <si>
    <t>MIN_234250</t>
  </si>
  <si>
    <t>MIN_034018</t>
  </si>
  <si>
    <t>East Midway - Doradilla</t>
  </si>
  <si>
    <t>MIN_034010</t>
  </si>
  <si>
    <t>MIN_161844</t>
  </si>
  <si>
    <t>Endeavor (Elura) Mine</t>
  </si>
  <si>
    <t>MIN_071908</t>
  </si>
  <si>
    <t>Endeavor (Elura) North &amp; South</t>
  </si>
  <si>
    <t>MIN_004788</t>
  </si>
  <si>
    <t>Euabalong EUN-73-2</t>
  </si>
  <si>
    <t>MIN_152616</t>
  </si>
  <si>
    <t>Fairholme FHD001</t>
  </si>
  <si>
    <t>MIN_152618</t>
  </si>
  <si>
    <t>Fairholme FHD003</t>
  </si>
  <si>
    <t>MIN_165307</t>
  </si>
  <si>
    <t>Fairholme FHD004</t>
  </si>
  <si>
    <t>MIN_165308</t>
  </si>
  <si>
    <t>Fairholme FHD005</t>
  </si>
  <si>
    <t>MIN_165309</t>
  </si>
  <si>
    <t>Fairholme FHD006</t>
  </si>
  <si>
    <t>MIN_072355</t>
  </si>
  <si>
    <t>Federal FED001</t>
  </si>
  <si>
    <t>MIN_072356</t>
  </si>
  <si>
    <t>Federal FED002_RC</t>
  </si>
  <si>
    <t>MIN_072357</t>
  </si>
  <si>
    <t>Federal FED003_RC</t>
  </si>
  <si>
    <t>MIN_072358</t>
  </si>
  <si>
    <t>Federal FED004_RC</t>
  </si>
  <si>
    <t>MIN_040443</t>
  </si>
  <si>
    <t>Fence Line - Anomaly C DDHTFLD3</t>
  </si>
  <si>
    <t>MIN_040441</t>
  </si>
  <si>
    <t>Fence Line DDHNFLD1</t>
  </si>
  <si>
    <t>MIN_040442</t>
  </si>
  <si>
    <t>Fence Line DDHTFLD2</t>
  </si>
  <si>
    <t>MIN_040444</t>
  </si>
  <si>
    <t>Fence Line DDHTFLD4</t>
  </si>
  <si>
    <t>MIN_074106</t>
  </si>
  <si>
    <t>Finns Crossing - Wellington</t>
  </si>
  <si>
    <t>MIN_093329</t>
  </si>
  <si>
    <t>Finns Crossing - Wong 4 NEWELD0018</t>
  </si>
  <si>
    <t>MIN_093330</t>
  </si>
  <si>
    <t>Finns Crossing - Wong 4 NEWELD0019</t>
  </si>
  <si>
    <t>MIN_003537</t>
  </si>
  <si>
    <t>Fontenoy - Cootamundra</t>
  </si>
  <si>
    <t>MIN_003542</t>
  </si>
  <si>
    <t>MIN_003546</t>
  </si>
  <si>
    <t>MIN_003533</t>
  </si>
  <si>
    <t>MIN_040006</t>
  </si>
  <si>
    <t>Four Corners - Kershaws</t>
  </si>
  <si>
    <t>MIN_040009</t>
  </si>
  <si>
    <t>MIN_012395</t>
  </si>
  <si>
    <t>Furneys tank</t>
  </si>
  <si>
    <t>MIN_037772</t>
  </si>
  <si>
    <t>G74W - Leadville</t>
  </si>
  <si>
    <t>MIN_037775</t>
  </si>
  <si>
    <t>MIN_001539</t>
  </si>
  <si>
    <t>Gairdners Creek - Tuckwell Lode</t>
  </si>
  <si>
    <t>MIN_025083</t>
  </si>
  <si>
    <t>Galwadgere - Wellington DDH-G10</t>
  </si>
  <si>
    <t>MIN_025099</t>
  </si>
  <si>
    <t>Galwadgere - Wellington DDH-G25</t>
  </si>
  <si>
    <t>MIN_025100</t>
  </si>
  <si>
    <t>Galwadgere - Wellington DDH-G26</t>
  </si>
  <si>
    <t>MIN_025104</t>
  </si>
  <si>
    <t>Galwadgere - Wellington DDH-G30</t>
  </si>
  <si>
    <t>Min_030647</t>
  </si>
  <si>
    <t>Gannons Tank</t>
  </si>
  <si>
    <t>MIN_019693</t>
  </si>
  <si>
    <t>Gateway - Fairholme DR002</t>
  </si>
  <si>
    <t>MIN_019726</t>
  </si>
  <si>
    <t>Gateway - Fairholme DR035</t>
  </si>
  <si>
    <t>MIN_019727</t>
  </si>
  <si>
    <t>Gateway - Fairholme DR036</t>
  </si>
  <si>
    <t>MIN_137146</t>
  </si>
  <si>
    <t>Genaren GAMD001</t>
  </si>
  <si>
    <t>MIN_034369</t>
  </si>
  <si>
    <t>Gidgingbung Mine</t>
  </si>
  <si>
    <t>MIN_034370</t>
  </si>
  <si>
    <t>MIN_034384</t>
  </si>
  <si>
    <t>MIN_034388</t>
  </si>
  <si>
    <t>MIN_027252</t>
  </si>
  <si>
    <t>Glen Eden</t>
  </si>
  <si>
    <t>MIN_027254</t>
  </si>
  <si>
    <t>MIN_027255</t>
  </si>
  <si>
    <t>MIN_027256</t>
  </si>
  <si>
    <t>MIN_027257</t>
  </si>
  <si>
    <t>MIN_027258</t>
  </si>
  <si>
    <t>MIN_027259</t>
  </si>
  <si>
    <t>MIN_027900</t>
  </si>
  <si>
    <t>Glen Innes</t>
  </si>
  <si>
    <t>MIN_027901</t>
  </si>
  <si>
    <t>MIN_027902</t>
  </si>
  <si>
    <t>MIN_000539</t>
  </si>
  <si>
    <t>Glenmore - Broken Hill GLENMORE1</t>
  </si>
  <si>
    <t>MIN_044056</t>
  </si>
  <si>
    <t>Grasmere - Koonenberry</t>
  </si>
  <si>
    <t>MIN_000180</t>
  </si>
  <si>
    <t>MIN_037860</t>
  </si>
  <si>
    <t>Grosvenor and Extended Workings - Leadville</t>
  </si>
  <si>
    <t>MIN_006747</t>
  </si>
  <si>
    <t>Ground Magnetic-Old Grid</t>
  </si>
  <si>
    <t>MIN_016082</t>
  </si>
  <si>
    <t>Gulgong - Springfield</t>
  </si>
  <si>
    <t>MIN_038899</t>
  </si>
  <si>
    <t>Gunawyle Prospect - Mineral Hill GD123</t>
  </si>
  <si>
    <t>MIN_038915</t>
  </si>
  <si>
    <t>Gunawyle Prospect - Mineral Hill GD139</t>
  </si>
  <si>
    <t>MIN_038917</t>
  </si>
  <si>
    <t>Gunawyle Prospect - Mineral Hill GD141</t>
  </si>
  <si>
    <t>MIN_038930</t>
  </si>
  <si>
    <t>Gunawyle Prospect - Mineral Hill GD154</t>
  </si>
  <si>
    <t>MIN_005711</t>
  </si>
  <si>
    <t>Gwynemma-Red Cross - Dullah Option Area</t>
  </si>
  <si>
    <t>MIN_044044</t>
  </si>
  <si>
    <t>Harts Mine - Torrington</t>
  </si>
  <si>
    <t>MIN_044045</t>
  </si>
  <si>
    <t>MIN_077294</t>
  </si>
  <si>
    <t>Hera</t>
  </si>
  <si>
    <t>MIN_077316</t>
  </si>
  <si>
    <t>MIN_165366</t>
  </si>
  <si>
    <t>MIN_172377</t>
  </si>
  <si>
    <t>MIN_042422</t>
  </si>
  <si>
    <t>Hickory - Woodlawn</t>
  </si>
  <si>
    <t>MIN_009118</t>
  </si>
  <si>
    <t>Hickory Hill</t>
  </si>
  <si>
    <t>MIN_009132</t>
  </si>
  <si>
    <t>MIN_018418</t>
  </si>
  <si>
    <t>Highway - Adelong</t>
  </si>
  <si>
    <t>MIN_028742</t>
  </si>
  <si>
    <t>Homeward Bound - Yalwal</t>
  </si>
  <si>
    <t>MIN_013032</t>
  </si>
  <si>
    <t>Huntley</t>
  </si>
  <si>
    <t>MIN_013035</t>
  </si>
  <si>
    <t>MIN_013040</t>
  </si>
  <si>
    <t>MIN_018500</t>
  </si>
  <si>
    <t>Idylway IDY8</t>
  </si>
  <si>
    <t>MIN_003277</t>
  </si>
  <si>
    <t>Iron Duke Mine - Cadia PC170</t>
  </si>
  <si>
    <t>MIN_024491</t>
  </si>
  <si>
    <t>Ironbark - Croakers</t>
  </si>
  <si>
    <t>MIN_024492</t>
  </si>
  <si>
    <t>Ironbark - Styles</t>
  </si>
  <si>
    <t>COAL_046005</t>
  </si>
  <si>
    <t>Jerrys Plains Hot Rocks</t>
  </si>
  <si>
    <t>MIN_003921</t>
  </si>
  <si>
    <t>Jimmy Woodser - Tottenham TH296D504</t>
  </si>
  <si>
    <t>MIN_030500</t>
  </si>
  <si>
    <t>Just in Time Mine - Coaldale</t>
  </si>
  <si>
    <t>MIN_030501</t>
  </si>
  <si>
    <t>MIN_129689</t>
  </si>
  <si>
    <t>Kadungle</t>
  </si>
  <si>
    <t>MIN_119571</t>
  </si>
  <si>
    <t>MIN_036654</t>
  </si>
  <si>
    <t>Kaiser Mine - Wellington DDH02</t>
  </si>
  <si>
    <t>MIN_036655</t>
  </si>
  <si>
    <t>Kaiser Mine - Wellington DDH03</t>
  </si>
  <si>
    <t>MIN_036656</t>
  </si>
  <si>
    <t>Kaiser Mine - Wellington DDH04</t>
  </si>
  <si>
    <t>MIN_036657</t>
  </si>
  <si>
    <t>Kaiser Mine - Wellington DDH05</t>
  </si>
  <si>
    <t>MIN_036658</t>
  </si>
  <si>
    <t>Kaiser Mine - Wellington DDH06</t>
  </si>
  <si>
    <t>MIN_036660</t>
  </si>
  <si>
    <t>Kaiser Mine - Wellington DDH07A</t>
  </si>
  <si>
    <t>MIN_036661</t>
  </si>
  <si>
    <t>Kaiser Mine - Wellington DDH08</t>
  </si>
  <si>
    <t>MIN_036662</t>
  </si>
  <si>
    <t>Kaiser Mine - Wellington DDH08A</t>
  </si>
  <si>
    <t>MIN_036665</t>
  </si>
  <si>
    <t>Kaiser Mine - Wellington DDH11</t>
  </si>
  <si>
    <t>MIN_036675</t>
  </si>
  <si>
    <t>Kaiser Mine - Wellington DDHPP6</t>
  </si>
  <si>
    <t>MIN_036762</t>
  </si>
  <si>
    <t>Kaiser Mine - Wellington</t>
  </si>
  <si>
    <t>MIN_036763</t>
  </si>
  <si>
    <t>MIN_036764</t>
  </si>
  <si>
    <t>MIN_036765</t>
  </si>
  <si>
    <t>Kaiser Mine - Wellington NKD004</t>
  </si>
  <si>
    <t>MIN_007750</t>
  </si>
  <si>
    <t>Kangaroo Dick Mine - Temora</t>
  </si>
  <si>
    <t>MIN_007751</t>
  </si>
  <si>
    <t>MIN_010404</t>
  </si>
  <si>
    <t>Kangiara Mine</t>
  </si>
  <si>
    <t>MIN_010405</t>
  </si>
  <si>
    <t>MIN_027728</t>
  </si>
  <si>
    <t>Kara - Tangoa</t>
  </si>
  <si>
    <t>MIN_003444</t>
  </si>
  <si>
    <t>Kelvin Grove Intrusion</t>
  </si>
  <si>
    <t>MIN_003445</t>
  </si>
  <si>
    <t>MIN_003446</t>
  </si>
  <si>
    <t>MIN_003447</t>
  </si>
  <si>
    <t>MIN_167589</t>
  </si>
  <si>
    <t>Kilparney Magnetic Anomaly KPDD002</t>
  </si>
  <si>
    <t>MIN_009656</t>
  </si>
  <si>
    <t>Kiri Grid DDHK2</t>
  </si>
  <si>
    <t>MIN_009659</t>
  </si>
  <si>
    <t>Kiri Grid</t>
  </si>
  <si>
    <t>MIN_009660</t>
  </si>
  <si>
    <t>MIN_009662</t>
  </si>
  <si>
    <t>Kiri Grid DDHK7A</t>
  </si>
  <si>
    <t>MIN_009663</t>
  </si>
  <si>
    <t>MIN_009655</t>
  </si>
  <si>
    <t>Kiri Grid K1</t>
  </si>
  <si>
    <t>MIN_001769</t>
  </si>
  <si>
    <t>La Sparanza North Grid</t>
  </si>
  <si>
    <t>MIN_057068</t>
  </si>
  <si>
    <t>Lake Cargelligo DDHA1-1</t>
  </si>
  <si>
    <t>MIN_057070</t>
  </si>
  <si>
    <t>Lake Cargelligo DDHA1-2</t>
  </si>
  <si>
    <t>MIN_037869</t>
  </si>
  <si>
    <t>Latimer Group Gosans - Leadville LV13</t>
  </si>
  <si>
    <t>MIN_158544</t>
  </si>
  <si>
    <t>Lignum Tank LTRC14003</t>
  </si>
  <si>
    <t>MIN_158548</t>
  </si>
  <si>
    <t>Lignum Tank LTRC14007</t>
  </si>
  <si>
    <t>MIN_036074</t>
  </si>
  <si>
    <t>Lilydale - Mine Lease</t>
  </si>
  <si>
    <t>1-0-5D</t>
  </si>
  <si>
    <t>Cowal</t>
  </si>
  <si>
    <t>Cobar</t>
  </si>
  <si>
    <t>OsterleyDowns</t>
  </si>
  <si>
    <t>MPH1</t>
  </si>
  <si>
    <t>BarneyAnomalyMundoe-MountHope</t>
  </si>
  <si>
    <t>Achilles</t>
  </si>
  <si>
    <t>BBD-1</t>
  </si>
  <si>
    <t>BBD-2</t>
  </si>
  <si>
    <t>BBD-4</t>
  </si>
  <si>
    <t>Beanbah</t>
  </si>
  <si>
    <t>BH1</t>
  </si>
  <si>
    <t>TheSisters</t>
  </si>
  <si>
    <t>BH81-5</t>
  </si>
  <si>
    <t>Rupee/Thorndale-AnomalyA</t>
  </si>
  <si>
    <t>BO-1</t>
  </si>
  <si>
    <t>Bobadah</t>
  </si>
  <si>
    <t>BR016</t>
  </si>
  <si>
    <t>BrownsReef-LakeCargelligo</t>
  </si>
  <si>
    <t>BR-1</t>
  </si>
  <si>
    <t>BR-3</t>
  </si>
  <si>
    <t>BR-4A</t>
  </si>
  <si>
    <t>Bancannia_South_1</t>
  </si>
  <si>
    <t>BancanniaSouth</t>
  </si>
  <si>
    <t>C2A-5</t>
  </si>
  <si>
    <t>Canbelego</t>
  </si>
  <si>
    <t>C2A-5Wedge</t>
  </si>
  <si>
    <t>C2A-8A</t>
  </si>
  <si>
    <t>C2B-1</t>
  </si>
  <si>
    <t>CC10</t>
  </si>
  <si>
    <t>CC-11</t>
  </si>
  <si>
    <t>CC-3</t>
  </si>
  <si>
    <t>CC-4</t>
  </si>
  <si>
    <t>CC-5</t>
  </si>
  <si>
    <t>CC-6</t>
  </si>
  <si>
    <t>CC-7</t>
  </si>
  <si>
    <t>CC-8</t>
  </si>
  <si>
    <t>CC-9</t>
  </si>
  <si>
    <t>CD-1</t>
  </si>
  <si>
    <t>CD-2</t>
  </si>
  <si>
    <t>CND001A</t>
  </si>
  <si>
    <t>Cundumbul-BakersSwamp</t>
  </si>
  <si>
    <t>CND001B</t>
  </si>
  <si>
    <t>CND002</t>
  </si>
  <si>
    <t>COM002D</t>
  </si>
  <si>
    <t>NorthComobella</t>
  </si>
  <si>
    <t>CP2</t>
  </si>
  <si>
    <t>Wahratta</t>
  </si>
  <si>
    <t>CP3</t>
  </si>
  <si>
    <t>Willeila</t>
  </si>
  <si>
    <t>CUTAD01</t>
  </si>
  <si>
    <t>Coona_Coona_2</t>
  </si>
  <si>
    <t>CoonaCoona</t>
  </si>
  <si>
    <t>Coona_Coona_1</t>
  </si>
  <si>
    <t>Chesney</t>
  </si>
  <si>
    <t>DD08QB0024A</t>
  </si>
  <si>
    <t>QueenBee</t>
  </si>
  <si>
    <t>DH119113</t>
  </si>
  <si>
    <t>Koonenberry-MountArrowsmithEast</t>
  </si>
  <si>
    <t>DD13GC0007A</t>
  </si>
  <si>
    <t>CentralArea</t>
  </si>
  <si>
    <t>DD13GC0007B</t>
  </si>
  <si>
    <t>DD16WG003</t>
  </si>
  <si>
    <t>Wonga</t>
  </si>
  <si>
    <t>DD16WG004</t>
  </si>
  <si>
    <t>DD3</t>
  </si>
  <si>
    <t>BigWertagoMine-Koonenberry</t>
  </si>
  <si>
    <t>RestdownGoldMine</t>
  </si>
  <si>
    <t>DD79EC1</t>
  </si>
  <si>
    <t>DD80RW2_1</t>
  </si>
  <si>
    <t>Rockwell</t>
  </si>
  <si>
    <t>DD81EC7</t>
  </si>
  <si>
    <t>DD85PK10B</t>
  </si>
  <si>
    <t>Peak</t>
  </si>
  <si>
    <t>DD87Tl1</t>
  </si>
  <si>
    <t>Tindary-YandaCreek</t>
  </si>
  <si>
    <t>DD90GR09</t>
  </si>
  <si>
    <t>Grasmere-Koonenberry</t>
  </si>
  <si>
    <t>CarpinaRidge</t>
  </si>
  <si>
    <t>DD92DL22</t>
  </si>
  <si>
    <t>ScopesRangePb/Zn</t>
  </si>
  <si>
    <t>DD92DL23</t>
  </si>
  <si>
    <t>DD94PK55</t>
  </si>
  <si>
    <t>DD95EHK1</t>
  </si>
  <si>
    <t>Eaglehawk</t>
  </si>
  <si>
    <t>DD95EHK2</t>
  </si>
  <si>
    <t>DD95EHK3</t>
  </si>
  <si>
    <t>DD95NO1I</t>
  </si>
  <si>
    <t>NewOccidental</t>
  </si>
  <si>
    <t>DD95NO0001M</t>
  </si>
  <si>
    <t>DD96NO12A</t>
  </si>
  <si>
    <t>DD96WA3</t>
  </si>
  <si>
    <t>WahrattaAnomaly</t>
  </si>
  <si>
    <t>DDH1</t>
  </si>
  <si>
    <t>BlindCalf-Melrose</t>
  </si>
  <si>
    <t>DDH1_Woodlands</t>
  </si>
  <si>
    <t>DDH1_Yanda</t>
  </si>
  <si>
    <t>DDH2_Deerina</t>
  </si>
  <si>
    <t>DDHBDB-1</t>
  </si>
  <si>
    <t>Nyngan-BoganRiver-MagneticAnomalyP45</t>
  </si>
  <si>
    <t>DDHBDB-4</t>
  </si>
  <si>
    <t>DDHBDB-6</t>
  </si>
  <si>
    <t>DDHC-1</t>
  </si>
  <si>
    <t>GoodrichMine-Yeoval</t>
  </si>
  <si>
    <t>DDHOPH1</t>
  </si>
  <si>
    <t>PeakHill</t>
  </si>
  <si>
    <t>DDHOPH2</t>
  </si>
  <si>
    <t>DDHPP4</t>
  </si>
  <si>
    <t>DDHPP5</t>
  </si>
  <si>
    <t>DDRHK1</t>
  </si>
  <si>
    <t>DDHRW-15</t>
  </si>
  <si>
    <t>DDHTS-3</t>
  </si>
  <si>
    <t>StephenTrigSouth</t>
  </si>
  <si>
    <t>DH119114</t>
  </si>
  <si>
    <t>DH119115</t>
  </si>
  <si>
    <t>Koonenberry-MountArrowsmithCuAg</t>
  </si>
  <si>
    <t>DND001</t>
  </si>
  <si>
    <t>Dunmore</t>
  </si>
  <si>
    <t>DR33C</t>
  </si>
  <si>
    <t>DicksReward-Bodangora</t>
  </si>
  <si>
    <t>Dan004</t>
  </si>
  <si>
    <t>Dandaloo</t>
  </si>
  <si>
    <t>Dan005</t>
  </si>
  <si>
    <t>E27D248</t>
  </si>
  <si>
    <t>Cowal-Endeavour41</t>
  </si>
  <si>
    <t>Cowal-Endeavour42</t>
  </si>
  <si>
    <t>NorthParkes</t>
  </si>
  <si>
    <t>ENRC-005</t>
  </si>
  <si>
    <t>Endeavor(Elura)North&amp;South</t>
  </si>
  <si>
    <t>GD120</t>
  </si>
  <si>
    <t>GD140</t>
  </si>
  <si>
    <t>GRDD01</t>
  </si>
  <si>
    <t>Goodrich-Yoeval</t>
  </si>
  <si>
    <t>GRDD02</t>
  </si>
  <si>
    <t>GRDD03</t>
  </si>
  <si>
    <t>GRDD04</t>
  </si>
  <si>
    <t>GRDD05</t>
  </si>
  <si>
    <t>GRDD06</t>
  </si>
  <si>
    <t>GRDD07</t>
  </si>
  <si>
    <t>Goodrich-Yeoval</t>
  </si>
  <si>
    <t>GRRC03</t>
  </si>
  <si>
    <t>Goodrich</t>
  </si>
  <si>
    <t>GalwayRegalE46</t>
  </si>
  <si>
    <t>GSRD054</t>
  </si>
  <si>
    <t>GSRD073</t>
  </si>
  <si>
    <t>GXD001</t>
  </si>
  <si>
    <t>Gleneden</t>
  </si>
  <si>
    <t>HRD003</t>
  </si>
  <si>
    <t>HeraProject</t>
  </si>
  <si>
    <t>HRD019</t>
  </si>
  <si>
    <t>KB1</t>
  </si>
  <si>
    <t>KD-1</t>
  </si>
  <si>
    <t>KangarooDickMine-Temora</t>
  </si>
  <si>
    <t>KD-2</t>
  </si>
  <si>
    <t>Mcguinness-Florida</t>
  </si>
  <si>
    <t>MKD-29</t>
  </si>
  <si>
    <t>MckinnonsMine</t>
  </si>
  <si>
    <t>MKD34</t>
  </si>
  <si>
    <t>MKD68</t>
  </si>
  <si>
    <t>MKD69</t>
  </si>
  <si>
    <t>MKD731</t>
  </si>
  <si>
    <t>NBH004</t>
  </si>
  <si>
    <t>NBH005</t>
  </si>
  <si>
    <t>NBH007</t>
  </si>
  <si>
    <t>NBH009</t>
  </si>
  <si>
    <t>NBH010</t>
  </si>
  <si>
    <t>NBH011</t>
  </si>
  <si>
    <t>NBH012</t>
  </si>
  <si>
    <t>NC2</t>
  </si>
  <si>
    <t>Nulla_Nulla_1</t>
  </si>
  <si>
    <t>NullaNulla</t>
  </si>
  <si>
    <t>ORD006</t>
  </si>
  <si>
    <t>Faith-Brandy</t>
  </si>
  <si>
    <t>ORW1</t>
  </si>
  <si>
    <t>PC402</t>
  </si>
  <si>
    <t>PC408</t>
  </si>
  <si>
    <t>A2AnomalyBedoobaGrid-Crowl</t>
  </si>
  <si>
    <t>PEGT001</t>
  </si>
  <si>
    <t>PHD1</t>
  </si>
  <si>
    <t>PHD2</t>
  </si>
  <si>
    <t>PHD3</t>
  </si>
  <si>
    <t>PHD4</t>
  </si>
  <si>
    <t>PHD4A</t>
  </si>
  <si>
    <t>HawkesburyBunnerong1-PHKB1</t>
  </si>
  <si>
    <t>HawkesburyBunnerong</t>
  </si>
  <si>
    <t>PHKE1</t>
  </si>
  <si>
    <t>SydneyBasinStudy</t>
  </si>
  <si>
    <t>POK1</t>
  </si>
  <si>
    <t>RD84P04</t>
  </si>
  <si>
    <t>Polygonum-Woolshed</t>
  </si>
  <si>
    <t>RD86P010</t>
  </si>
  <si>
    <t>Polygonum-BlackGate</t>
  </si>
  <si>
    <t>Bedooba</t>
  </si>
  <si>
    <t>Molong</t>
  </si>
  <si>
    <t>UD07PE0165</t>
  </si>
  <si>
    <t>Perseverance-PeakGoldMine</t>
  </si>
  <si>
    <t>UD07PE0185</t>
  </si>
  <si>
    <t>UD99PE0027</t>
  </si>
  <si>
    <t>UD99PE0029</t>
  </si>
  <si>
    <t>WY337</t>
  </si>
  <si>
    <t>Tomingley</t>
  </si>
  <si>
    <t>WY407</t>
  </si>
  <si>
    <t>WY411</t>
  </si>
  <si>
    <t>WY572</t>
  </si>
  <si>
    <t>WY789</t>
  </si>
  <si>
    <t>WY807</t>
  </si>
  <si>
    <t>WY821</t>
  </si>
  <si>
    <t>WY842D</t>
  </si>
  <si>
    <t>WY843D</t>
  </si>
  <si>
    <t>WY848D</t>
  </si>
  <si>
    <t>WYGT002</t>
  </si>
  <si>
    <t>WYGT018</t>
  </si>
  <si>
    <t>WYGT020</t>
  </si>
  <si>
    <t>Wilkurra1</t>
  </si>
  <si>
    <t>Wilkurra</t>
  </si>
  <si>
    <t>YD-16</t>
  </si>
  <si>
    <t>EL7474-22011DrillingProgram</t>
  </si>
  <si>
    <t>MIN_025061</t>
  </si>
  <si>
    <t>Long Tunnel</t>
  </si>
  <si>
    <t>MIN_003420</t>
  </si>
  <si>
    <t>Louth L1</t>
  </si>
  <si>
    <t>MIN_003421</t>
  </si>
  <si>
    <t>Louth L2</t>
  </si>
  <si>
    <t>MIN_003422</t>
  </si>
  <si>
    <t>Louth L3</t>
  </si>
  <si>
    <t>MIN_003423</t>
  </si>
  <si>
    <t>Louth L4</t>
  </si>
  <si>
    <t>MIN_039931</t>
  </si>
  <si>
    <t>Lowan North</t>
  </si>
  <si>
    <t>MIN_039933</t>
  </si>
  <si>
    <t>MIN_039937</t>
  </si>
  <si>
    <t>Lowan South - Shuttleton</t>
  </si>
  <si>
    <t>MIN_080449</t>
  </si>
  <si>
    <t>MOORILDA KPD003</t>
  </si>
  <si>
    <t>MIN_006745</t>
  </si>
  <si>
    <t>Magnetic Anomaly P47</t>
  </si>
  <si>
    <t>MIN_024744</t>
  </si>
  <si>
    <t>Majors Creek - Dargues Reef</t>
  </si>
  <si>
    <t>MIN_024746</t>
  </si>
  <si>
    <t>MIN_024747</t>
  </si>
  <si>
    <t>MIN_118846</t>
  </si>
  <si>
    <t>MIN_069759</t>
  </si>
  <si>
    <t>MIN_069785</t>
  </si>
  <si>
    <t>MIN_085087</t>
  </si>
  <si>
    <t>Mallee Bull</t>
  </si>
  <si>
    <t>MIN_085091</t>
  </si>
  <si>
    <t>MIN_171886</t>
  </si>
  <si>
    <t>MIN_011391</t>
  </si>
  <si>
    <t>Mandamah - Barmedman</t>
  </si>
  <si>
    <t>MIN_011392</t>
  </si>
  <si>
    <t>MIN_011399</t>
  </si>
  <si>
    <t>MIN_057340</t>
  </si>
  <si>
    <t>Marsden</t>
  </si>
  <si>
    <t>MIN_057343</t>
  </si>
  <si>
    <t>Marsden ACDMN066</t>
  </si>
  <si>
    <t>MIN_040668</t>
  </si>
  <si>
    <t>May Day - Gilgunnia</t>
  </si>
  <si>
    <t>MIN_040669</t>
  </si>
  <si>
    <t>MIN_040670</t>
  </si>
  <si>
    <t>MIN_008225</t>
  </si>
  <si>
    <t>McMahons Reef Grid - Harden</t>
  </si>
  <si>
    <t>MIN_008226</t>
  </si>
  <si>
    <t>MIN_008228</t>
  </si>
  <si>
    <t>MIN_008217</t>
  </si>
  <si>
    <t>MIN_008219</t>
  </si>
  <si>
    <t>MIN_008220</t>
  </si>
  <si>
    <t>MIN_008224</t>
  </si>
  <si>
    <t>MIN_232621</t>
  </si>
  <si>
    <t>McPhillamys LMPDD113</t>
  </si>
  <si>
    <t>MIN_232624</t>
  </si>
  <si>
    <t>McPhillamys LMPDD116</t>
  </si>
  <si>
    <t>MIN_232635</t>
  </si>
  <si>
    <t>McPhillamys</t>
  </si>
  <si>
    <t>MIN_232647</t>
  </si>
  <si>
    <t>MIN_232659</t>
  </si>
  <si>
    <t>McPhillamys LMPDD151</t>
  </si>
  <si>
    <t>MIN_232662</t>
  </si>
  <si>
    <t>McPhillamys LMPDD154</t>
  </si>
  <si>
    <t>MIN_000610</t>
  </si>
  <si>
    <t>Mcdougals Well BU-1</t>
  </si>
  <si>
    <t>MIN_044089</t>
  </si>
  <si>
    <t>Mckinnons Mine</t>
  </si>
  <si>
    <t>MIN_044090</t>
  </si>
  <si>
    <t>MIN_040036</t>
  </si>
  <si>
    <t>Melrose Magnetic Anomaly - Nymagee</t>
  </si>
  <si>
    <t>MIN_040037</t>
  </si>
  <si>
    <t>MIN_017200</t>
  </si>
  <si>
    <t>Mendooran 1</t>
  </si>
  <si>
    <t>MIN_017201</t>
  </si>
  <si>
    <t>MIN_017202</t>
  </si>
  <si>
    <t>MIN_033968</t>
  </si>
  <si>
    <t>Midway - Doradilla</t>
  </si>
  <si>
    <t>MIN_033969</t>
  </si>
  <si>
    <t>MIN_038976</t>
  </si>
  <si>
    <t>Mineral Hill GD200</t>
  </si>
  <si>
    <t>MIN_038978</t>
  </si>
  <si>
    <t>Mineral Hill GD202</t>
  </si>
  <si>
    <t>MIN_038798</t>
  </si>
  <si>
    <t>Mineral Hill</t>
  </si>
  <si>
    <t>MIN_038800</t>
  </si>
  <si>
    <t>Mineral Hill K3</t>
  </si>
  <si>
    <t>MIN_079110</t>
  </si>
  <si>
    <t>MIN_079113</t>
  </si>
  <si>
    <t>MIN_079118</t>
  </si>
  <si>
    <t>MIN_079120</t>
  </si>
  <si>
    <t>MIN_079121</t>
  </si>
  <si>
    <t>MIN_079123</t>
  </si>
  <si>
    <t>MIN_005705</t>
  </si>
  <si>
    <t>Minore MT-1</t>
  </si>
  <si>
    <t>MIN_005706</t>
  </si>
  <si>
    <t>Minore MT-2</t>
  </si>
  <si>
    <t>MIN_005707</t>
  </si>
  <si>
    <t>Minore MT-3</t>
  </si>
  <si>
    <t>MIN_009021</t>
  </si>
  <si>
    <t>Mitchells Creek Mine - Bodangora</t>
  </si>
  <si>
    <t>MIN_105573</t>
  </si>
  <si>
    <t>Mooilda RLMPDD051</t>
  </si>
  <si>
    <t>MIN_014170</t>
  </si>
  <si>
    <t>Mooney Mooney DDHMM-2</t>
  </si>
  <si>
    <t>MIN_242724</t>
  </si>
  <si>
    <t>Moorilda - EL5760</t>
  </si>
  <si>
    <t>MIN_242733</t>
  </si>
  <si>
    <t>MIN_242737</t>
  </si>
  <si>
    <t>MIN_153463</t>
  </si>
  <si>
    <t>Moorilda</t>
  </si>
  <si>
    <t>MIN_018391</t>
  </si>
  <si>
    <t>Morning Star Mine - Sebastopol</t>
  </si>
  <si>
    <t>MIN_018392</t>
  </si>
  <si>
    <t>MIN_007619</t>
  </si>
  <si>
    <t>Mount Adrah</t>
  </si>
  <si>
    <t>MIN_138214</t>
  </si>
  <si>
    <t>MIN_007633</t>
  </si>
  <si>
    <t>MIN_007637</t>
  </si>
  <si>
    <t>MIN_006462</t>
  </si>
  <si>
    <t>Mount Dijou</t>
  </si>
  <si>
    <t>MIN_008261</t>
  </si>
  <si>
    <t>Mount Drysdale</t>
  </si>
  <si>
    <t>MIN_008262</t>
  </si>
  <si>
    <t>MIN_040467</t>
  </si>
  <si>
    <t>Mount Hope - BMW Anomaly S-DMA-2A</t>
  </si>
  <si>
    <t>MIN_040518</t>
  </si>
  <si>
    <t>Mount Hope - Comet Mine Area</t>
  </si>
  <si>
    <t>MIN_040511</t>
  </si>
  <si>
    <t>Mount Hope - Great Central Mine Area</t>
  </si>
  <si>
    <t>MIN_040513</t>
  </si>
  <si>
    <t>MIN_040496</t>
  </si>
  <si>
    <t>Mount Hope - Great Central South</t>
  </si>
  <si>
    <t>MIN_040497</t>
  </si>
  <si>
    <t>MIN_040474</t>
  </si>
  <si>
    <t>Mount Hope - Mount Allen Gold Mine</t>
  </si>
  <si>
    <t>MIN_040522</t>
  </si>
  <si>
    <t>Mount Hope - Quarry Hill</t>
  </si>
  <si>
    <t>MIN_024846</t>
  </si>
  <si>
    <t>Mount Royal Mine - Tottenham DDHR1</t>
  </si>
  <si>
    <t>MIN_024847</t>
  </si>
  <si>
    <t>Mount Royal Mine - Tottenham DDHR2</t>
  </si>
  <si>
    <t>MIN_024848</t>
  </si>
  <si>
    <t>Mount Royal Mine - Tottenham DDHR3</t>
  </si>
  <si>
    <t>MIN_037864</t>
  </si>
  <si>
    <t>Mount Scott - Leadville</t>
  </si>
  <si>
    <t>MIN_040782</t>
  </si>
  <si>
    <t>Mount Solar</t>
  </si>
  <si>
    <t>MIN_040796</t>
  </si>
  <si>
    <t>MIN_024363</t>
  </si>
  <si>
    <t>Mullengudgery</t>
  </si>
  <si>
    <t>MIN_024365</t>
  </si>
  <si>
    <t>MIN_024366</t>
  </si>
  <si>
    <t>MIN_305246</t>
  </si>
  <si>
    <t>Mundarlo</t>
  </si>
  <si>
    <t>MIN_006824</t>
  </si>
  <si>
    <t>Mundoe South DDHMU-1</t>
  </si>
  <si>
    <t>MIN_239463</t>
  </si>
  <si>
    <t>Murrawombie - Girilambone</t>
  </si>
  <si>
    <t>MIN_239464</t>
  </si>
  <si>
    <t>Murrawombie</t>
  </si>
  <si>
    <t>MIN_005912</t>
  </si>
  <si>
    <t>Myrtle - Anomaly MYM2</t>
  </si>
  <si>
    <t>MIN_001549</t>
  </si>
  <si>
    <t>Naradin</t>
  </si>
  <si>
    <t>MIN_021456</t>
  </si>
  <si>
    <t>Narragudgil ACDNG26</t>
  </si>
  <si>
    <t>MIN_021457</t>
  </si>
  <si>
    <t>Narragudgil ACDNG27</t>
  </si>
  <si>
    <t>MIN_021458</t>
  </si>
  <si>
    <t>Narragudgil ACDNG28</t>
  </si>
  <si>
    <t>MIN_021459</t>
  </si>
  <si>
    <t>Narragudgil ACDNG29</t>
  </si>
  <si>
    <t>MIN_021460</t>
  </si>
  <si>
    <t>Narragudgil ACDNG30</t>
  </si>
  <si>
    <t>MIN_021461</t>
  </si>
  <si>
    <t>Narragudgil ACDNG31</t>
  </si>
  <si>
    <t>MIN_021462</t>
  </si>
  <si>
    <t>Narragudgil ACDNG32</t>
  </si>
  <si>
    <t>MIN_021469</t>
  </si>
  <si>
    <t>Narragudgil ACDNG39</t>
  </si>
  <si>
    <t>MIN_003477</t>
  </si>
  <si>
    <t>Native Bee - Belara B-12</t>
  </si>
  <si>
    <t>MIN_003468</t>
  </si>
  <si>
    <t>Native Bee - Belara B-3</t>
  </si>
  <si>
    <t>MIN_003481</t>
  </si>
  <si>
    <t>Native Bee - Belara DD90BL1A</t>
  </si>
  <si>
    <t>MIN_003029</t>
  </si>
  <si>
    <t>Nelson - Tottenham DDH2</t>
  </si>
  <si>
    <t>MIN_031616</t>
  </si>
  <si>
    <t>New Occidental DD95NO0001M</t>
  </si>
  <si>
    <t>MIN_031611</t>
  </si>
  <si>
    <t>New Occidental DD95NO1H</t>
  </si>
  <si>
    <t>MIN_031612</t>
  </si>
  <si>
    <t>New Occidental DD95NO1I</t>
  </si>
  <si>
    <t>MIN_016742</t>
  </si>
  <si>
    <t>Nil Desperandum Mine - Calarie CALDD001</t>
  </si>
  <si>
    <t>MIN_016743</t>
  </si>
  <si>
    <t>Nil Desperandum Mine - Calarie</t>
  </si>
  <si>
    <t>MIN_016744</t>
  </si>
  <si>
    <t>MIN_016745</t>
  </si>
  <si>
    <t>Nil Desperandum Mine - Calarie CALDD004</t>
  </si>
  <si>
    <t>MIN_016746</t>
  </si>
  <si>
    <t>Nil Desperandum Mine - Calarie CALDD005</t>
  </si>
  <si>
    <t>MIN_016747</t>
  </si>
  <si>
    <t>MIN_016754</t>
  </si>
  <si>
    <t>Nil Desperandum Mine - Calarie CARCD001</t>
  </si>
  <si>
    <t>MIN_016755</t>
  </si>
  <si>
    <t>Nil Desperandum Mine - Calarie CARCD002</t>
  </si>
  <si>
    <t>MIN_016756</t>
  </si>
  <si>
    <t>Nil Desperandum Mine - Calarie CARCD003</t>
  </si>
  <si>
    <t>MIN_016757</t>
  </si>
  <si>
    <t>Nil Desperandum Mine - Calarie CARCD004</t>
  </si>
  <si>
    <t>MIN_016758</t>
  </si>
  <si>
    <t>Nil Desperandum Mine - Calarie CARCD005</t>
  </si>
  <si>
    <t>MIN_016759</t>
  </si>
  <si>
    <t>Nil Desperandum Mine - Calarie CARCD006</t>
  </si>
  <si>
    <t>MIN_016760</t>
  </si>
  <si>
    <t>Nil Desperandum Mine - Calarie CARCD007</t>
  </si>
  <si>
    <t>MIN_016966</t>
  </si>
  <si>
    <t>Nil Desperandum Mine - Calarie DDHLN-6</t>
  </si>
  <si>
    <t>MIN_016967</t>
  </si>
  <si>
    <t>Nil Desperandum Mine - Calarie DDHLN-7</t>
  </si>
  <si>
    <t>MIN_069184</t>
  </si>
  <si>
    <t>Norma Vale</t>
  </si>
  <si>
    <t>MIN_003920</t>
  </si>
  <si>
    <t>North Ace Mine - Tottenham TF204D510</t>
  </si>
  <si>
    <t>MIN_024367</t>
  </si>
  <si>
    <t>North Comobella</t>
  </si>
  <si>
    <t>MIN_024368</t>
  </si>
  <si>
    <t>MIN_162335</t>
  </si>
  <si>
    <t>Northern Pods - Endeavor (Elura) Mine</t>
  </si>
  <si>
    <t>MIN_169919</t>
  </si>
  <si>
    <t>MIN_162473</t>
  </si>
  <si>
    <t>MIN_162477</t>
  </si>
  <si>
    <t>MIN_163242</t>
  </si>
  <si>
    <t>MIN_124632</t>
  </si>
  <si>
    <t>Northparkes Mines Exploration and Evaluation 2011</t>
  </si>
  <si>
    <t>MIN_070094</t>
  </si>
  <si>
    <t>MIN_071276</t>
  </si>
  <si>
    <t>MIN_071336</t>
  </si>
  <si>
    <t>MIN_170520</t>
  </si>
  <si>
    <t>Northparkes Mines Exploration and Evaluation 2014</t>
  </si>
  <si>
    <t>MIN_229708</t>
  </si>
  <si>
    <t>Northparkes Mines Exploration and Evaluation</t>
  </si>
  <si>
    <t>MIN_229709</t>
  </si>
  <si>
    <t>MIN_158614</t>
  </si>
  <si>
    <t>MIN_039822</t>
  </si>
  <si>
    <t>Nymagee</t>
  </si>
  <si>
    <t>MIN_093692</t>
  </si>
  <si>
    <t>Nymagee Mine Joint Venture</t>
  </si>
  <si>
    <t>MIN_093700</t>
  </si>
  <si>
    <t>MIN_093701</t>
  </si>
  <si>
    <t>MIN_093721</t>
  </si>
  <si>
    <t>MIN_040141</t>
  </si>
  <si>
    <t>Overflow - Bobadah BOBRCPC1</t>
  </si>
  <si>
    <t>MIN_040151</t>
  </si>
  <si>
    <t>Overflow - Bobadah BOBRCPC10</t>
  </si>
  <si>
    <t>MIN_040145</t>
  </si>
  <si>
    <t>Overflow - Bobadah BOBRCPC5</t>
  </si>
  <si>
    <t>MIN_040146</t>
  </si>
  <si>
    <t>Overflow - Bobadah BOBRCPC6</t>
  </si>
  <si>
    <t>MIN_040693</t>
  </si>
  <si>
    <t>P4 Anomaly - Siegals S_D6</t>
  </si>
  <si>
    <t>MIN_098089</t>
  </si>
  <si>
    <t>MIN_098091</t>
  </si>
  <si>
    <t>MIN_098106</t>
  </si>
  <si>
    <t>MIN_042423</t>
  </si>
  <si>
    <t>Paddock 13 - Woodlawn</t>
  </si>
  <si>
    <t>MIN_157020</t>
  </si>
  <si>
    <t>Peak GM</t>
  </si>
  <si>
    <t>MIN_043866</t>
  </si>
  <si>
    <t>Peak Gold Mine</t>
  </si>
  <si>
    <t>MIN_229690</t>
  </si>
  <si>
    <t>MIN_143888</t>
  </si>
  <si>
    <t>MIN_229692</t>
  </si>
  <si>
    <t>MIN_312031</t>
  </si>
  <si>
    <t>Peak Gold Mine UD02NO0032</t>
  </si>
  <si>
    <t>MIN_110969</t>
  </si>
  <si>
    <t>MIN_043865</t>
  </si>
  <si>
    <t>MIN_043867</t>
  </si>
  <si>
    <t>MIN_229691</t>
  </si>
  <si>
    <t>Peak-Occidental</t>
  </si>
  <si>
    <t>MIN_312048</t>
  </si>
  <si>
    <t>Perseverance - Peak Gold Mine UD07PE0184</t>
  </si>
  <si>
    <t>MIN_001587</t>
  </si>
  <si>
    <t>Polygonum - The Traverses</t>
  </si>
  <si>
    <t>MIN_001576</t>
  </si>
  <si>
    <t>Polygonum - Woolshed</t>
  </si>
  <si>
    <t>MIN_020672</t>
  </si>
  <si>
    <t>Porters Mount - Magnetic Target 3 TARD65</t>
  </si>
  <si>
    <t>MIN_020690</t>
  </si>
  <si>
    <t>Porters Mount - Magnetic Target 3 TARD83</t>
  </si>
  <si>
    <t>MIN_020691</t>
  </si>
  <si>
    <t>Porters Mount - Magnetic Target 3 TARD84</t>
  </si>
  <si>
    <t>MIN_020692</t>
  </si>
  <si>
    <t>Porters Mount - Magnetic Target 3 TARD85</t>
  </si>
  <si>
    <t>MIN_020693</t>
  </si>
  <si>
    <t>Porters Mount - Magnetic Target 3 TARD86</t>
  </si>
  <si>
    <t>MIN_099123</t>
  </si>
  <si>
    <t>Porters Mount</t>
  </si>
  <si>
    <t>MIN_002470</t>
  </si>
  <si>
    <t>Pyrite Hill</t>
  </si>
  <si>
    <t>MIN_002482</t>
  </si>
  <si>
    <t>MIN_002471</t>
  </si>
  <si>
    <t>MIN_002473</t>
  </si>
  <si>
    <t>MIN_068787</t>
  </si>
  <si>
    <t>Queen Bee</t>
  </si>
  <si>
    <t>MIN_017837</t>
  </si>
  <si>
    <t>Queenslander - Sofala</t>
  </si>
  <si>
    <t>PET_000551</t>
  </si>
  <si>
    <t>RSDP - Merriwa</t>
  </si>
  <si>
    <t>PET_000708</t>
  </si>
  <si>
    <t>RSDP Munmorah</t>
  </si>
  <si>
    <t>MIN_235147</t>
  </si>
  <si>
    <t>Restdown</t>
  </si>
  <si>
    <t>MIN_235148</t>
  </si>
  <si>
    <t>MIN_236275</t>
  </si>
  <si>
    <t>MIN_236276</t>
  </si>
  <si>
    <t>MIN_305245</t>
  </si>
  <si>
    <t>MIN_001002</t>
  </si>
  <si>
    <t>Rise and Shine Mine</t>
  </si>
  <si>
    <t>MIN_002452</t>
  </si>
  <si>
    <t>MIN_002464</t>
  </si>
  <si>
    <t>MIN_157798</t>
  </si>
  <si>
    <t>Rookery South</t>
  </si>
  <si>
    <t>MIN_003561</t>
  </si>
  <si>
    <t>Rosehill - Cootamundra R1</t>
  </si>
  <si>
    <t>MIN_002041</t>
  </si>
  <si>
    <t>Rupee/Thorndale - Anomaly A</t>
  </si>
  <si>
    <t>MIN_139633</t>
  </si>
  <si>
    <t>Sandy Creek</t>
  </si>
  <si>
    <t>MIN_001771</t>
  </si>
  <si>
    <t>Silver King Grid</t>
  </si>
  <si>
    <t>MIN_001544</t>
  </si>
  <si>
    <t>Silverton</t>
  </si>
  <si>
    <t>MIN_165422</t>
  </si>
  <si>
    <t>South Cherry - Ardlethan Tin Mine</t>
  </si>
  <si>
    <t>MIN_165423</t>
  </si>
  <si>
    <t>MIN_039892</t>
  </si>
  <si>
    <t>South Shuttleton</t>
  </si>
  <si>
    <t>MIN_039893</t>
  </si>
  <si>
    <t>MIN_039894</t>
  </si>
  <si>
    <t>MIN_229717</t>
  </si>
  <si>
    <t>Southern Thomson Project</t>
  </si>
  <si>
    <t>MIN_229718</t>
  </si>
  <si>
    <t>MIN_229713</t>
  </si>
  <si>
    <t>MIN_229716</t>
  </si>
  <si>
    <t>MIN_229715</t>
  </si>
  <si>
    <t>MIN_229712</t>
  </si>
  <si>
    <t>MIN_229714</t>
  </si>
  <si>
    <t>MIN_023271</t>
  </si>
  <si>
    <t>Southparkes - Jemalong SP2</t>
  </si>
  <si>
    <t>MIN_023272</t>
  </si>
  <si>
    <t>Southparkes - Jemalong SP3</t>
  </si>
  <si>
    <t>MIN_027910</t>
  </si>
  <si>
    <t>Spring Creek - Bingara</t>
  </si>
  <si>
    <t>MIN_027916</t>
  </si>
  <si>
    <t>MIN_018826</t>
  </si>
  <si>
    <t>Springdale - Merri Hill</t>
  </si>
  <si>
    <t>MIN_001212</t>
  </si>
  <si>
    <t>Starvation - Tindara TD9209</t>
  </si>
  <si>
    <t>MIN_001032</t>
  </si>
  <si>
    <t>Stephen Trig South</t>
  </si>
  <si>
    <t>MIN_001759</t>
  </si>
  <si>
    <t>Stirling Vale Synform</t>
  </si>
  <si>
    <t>MIN_338026</t>
  </si>
  <si>
    <t>Tallebung TBD001</t>
  </si>
  <si>
    <t>MIN_338028</t>
  </si>
  <si>
    <t>Tallebung TBRCD003</t>
  </si>
  <si>
    <t>MIN_007415</t>
  </si>
  <si>
    <t>Tallebung Tin Field</t>
  </si>
  <si>
    <t>MIN_027275</t>
  </si>
  <si>
    <t>Taronga - Emmaville Area</t>
  </si>
  <si>
    <t>MIN_001213</t>
  </si>
  <si>
    <t>Teilta - Tindara TD9210</t>
  </si>
  <si>
    <t>MIN_001619</t>
  </si>
  <si>
    <t>Thackaringa</t>
  </si>
  <si>
    <t>MIN_001622</t>
  </si>
  <si>
    <t>MIN_001623</t>
  </si>
  <si>
    <t>MIN_005831</t>
  </si>
  <si>
    <t>The Glen - Collector</t>
  </si>
  <si>
    <t>MIN_005832</t>
  </si>
  <si>
    <t>MIN_005833</t>
  </si>
  <si>
    <t>MIN_016107</t>
  </si>
  <si>
    <t>Tindary - Yanda Creek</t>
  </si>
  <si>
    <t>MIN_016108</t>
  </si>
  <si>
    <t>Tindary - Yanda Creek DD87TI3</t>
  </si>
  <si>
    <t>MIN_005383</t>
  </si>
  <si>
    <t>Toorale - Gunderbooka Area</t>
  </si>
  <si>
    <t>MIN_024275</t>
  </si>
  <si>
    <t>Trangie South - A1 Prospect</t>
  </si>
  <si>
    <t>MIN_110403</t>
  </si>
  <si>
    <t>Tritton Group Els</t>
  </si>
  <si>
    <t>MIN_025219</t>
  </si>
  <si>
    <t>Valla Mine - Urunga</t>
  </si>
  <si>
    <t>MIN_040419</t>
  </si>
  <si>
    <t>Wagga Tank DD89HWTD21B</t>
  </si>
  <si>
    <t>MIN_040397</t>
  </si>
  <si>
    <t>Wagga Tank HWTD-02</t>
  </si>
  <si>
    <t>MIN_040401</t>
  </si>
  <si>
    <t>Wagga Tank HWTD-06</t>
  </si>
  <si>
    <t>MIN_040403</t>
  </si>
  <si>
    <t>Wagga Tank HWTD-08</t>
  </si>
  <si>
    <t>MIN_040405</t>
  </si>
  <si>
    <t>Wagga Tank</t>
  </si>
  <si>
    <t>MIN_040406</t>
  </si>
  <si>
    <t>Wagga Tank HWTD-10</t>
  </si>
  <si>
    <t>MIN_040396</t>
  </si>
  <si>
    <t>Wagga Tank NWTD-01</t>
  </si>
  <si>
    <t>MIN_239455</t>
  </si>
  <si>
    <t>Wagga Tank WTRCDD061</t>
  </si>
  <si>
    <t>MIN_254010</t>
  </si>
  <si>
    <t>Wagga Tank WTRCDD082</t>
  </si>
  <si>
    <t>MIN_254020</t>
  </si>
  <si>
    <t>Wagga Tank WTRCDD100</t>
  </si>
  <si>
    <t>MIN_311901</t>
  </si>
  <si>
    <t>Wagga Tank WTRCDD141</t>
  </si>
  <si>
    <t>MIN_311877</t>
  </si>
  <si>
    <t>Wagga Tank WTRCDD141W1</t>
  </si>
  <si>
    <t>MIN_311879</t>
  </si>
  <si>
    <t>Wagga Tank WTRCDD141W2</t>
  </si>
  <si>
    <t>MIN_311915</t>
  </si>
  <si>
    <t>Wagga Tank WTRCDD178</t>
  </si>
  <si>
    <t>MIN_311967</t>
  </si>
  <si>
    <t>Wagga Tank WTRCDD241</t>
  </si>
  <si>
    <t>MIN_042686</t>
  </si>
  <si>
    <t>Wattle Flat</t>
  </si>
  <si>
    <t>MIN_003365</t>
  </si>
  <si>
    <t>White Engine - Cadia PC302</t>
  </si>
  <si>
    <t>MIN_003366</t>
  </si>
  <si>
    <t>White Engine - Cadia PC303</t>
  </si>
  <si>
    <t>MIN_005427</t>
  </si>
  <si>
    <t>Wilbertree - Eurundury OCM1</t>
  </si>
  <si>
    <t>MIN_165419</t>
  </si>
  <si>
    <t>Wild Cherry - Ardlethan Tin Mine</t>
  </si>
  <si>
    <t>MIN_001210</t>
  </si>
  <si>
    <t>Wild Dog - Tindara TD9207</t>
  </si>
  <si>
    <t>MIN_027315</t>
  </si>
  <si>
    <t>Willi Willi</t>
  </si>
  <si>
    <t>MIN_027316</t>
  </si>
  <si>
    <t>MIN_027317</t>
  </si>
  <si>
    <t>MIN_229707</t>
  </si>
  <si>
    <t>Windy Hill</t>
  </si>
  <si>
    <t>MIN_229710</t>
  </si>
  <si>
    <t>Wirlong</t>
  </si>
  <si>
    <t>MIN_040807</t>
  </si>
  <si>
    <t>Wonawinta</t>
  </si>
  <si>
    <t>MIN_040809</t>
  </si>
  <si>
    <t>MIN_040810</t>
  </si>
  <si>
    <t>MIN_042383</t>
  </si>
  <si>
    <t>Woodlawn</t>
  </si>
  <si>
    <t>MIN_042392</t>
  </si>
  <si>
    <t>MIN_042462</t>
  </si>
  <si>
    <t>MIN_024521</t>
  </si>
  <si>
    <t>Yancannia</t>
  </si>
  <si>
    <t>MIN_001505</t>
  </si>
  <si>
    <t>Yanco Glen North</t>
  </si>
  <si>
    <t>MIN_001506</t>
  </si>
  <si>
    <t>MIN_003576</t>
  </si>
  <si>
    <t>Yellow Mountain</t>
  </si>
  <si>
    <t>MIN_003579</t>
  </si>
  <si>
    <t>MIN_008459</t>
  </si>
  <si>
    <t>Yiddah - Barmedman PY12</t>
  </si>
  <si>
    <t>MIN_008655</t>
  </si>
  <si>
    <t>Yiddah - Barmedman YHD06</t>
  </si>
  <si>
    <t>MIN_008656</t>
  </si>
  <si>
    <t>Yiddah - Barmedman</t>
  </si>
  <si>
    <t>MIN_008657</t>
  </si>
  <si>
    <t>MIN_008658</t>
  </si>
  <si>
    <t>Vic</t>
  </si>
  <si>
    <t>Tas</t>
  </si>
  <si>
    <t>Coles Bay Granite</t>
  </si>
  <si>
    <t>Cenozoic</t>
  </si>
  <si>
    <t>Guildford</t>
  </si>
  <si>
    <t>Maggs Mountain</t>
  </si>
  <si>
    <t>Devonian granite related mineral systems</t>
  </si>
  <si>
    <t>Aberfoyle Tin NL</t>
  </si>
  <si>
    <t>Bell Mount</t>
  </si>
  <si>
    <t>Blue Tier</t>
  </si>
  <si>
    <t>Cleveland Tin</t>
  </si>
  <si>
    <t>Comstock Balstrup</t>
  </si>
  <si>
    <t>Dolphin</t>
  </si>
  <si>
    <t>Dolphin King Island</t>
  </si>
  <si>
    <t>Great Pyramid</t>
  </si>
  <si>
    <t>Loyatea</t>
  </si>
  <si>
    <t>Round Mountain</t>
  </si>
  <si>
    <t>Sayers</t>
  </si>
  <si>
    <t>Scamander</t>
  </si>
  <si>
    <t>Devonian granite related skarn mineral systems</t>
  </si>
  <si>
    <t>Avebury</t>
  </si>
  <si>
    <t>Big Wilson</t>
  </si>
  <si>
    <t>Bluestone MInes</t>
  </si>
  <si>
    <t>Branxholm</t>
  </si>
  <si>
    <t>Cambria Mine</t>
  </si>
  <si>
    <t>Concert Creek</t>
  </si>
  <si>
    <t>Grieves Siding</t>
  </si>
  <si>
    <t>Mt Lindsay</t>
  </si>
  <si>
    <t>Mt Lindsay Main Skarn</t>
  </si>
  <si>
    <t>Mt Lindsay No 1 Skarn</t>
  </si>
  <si>
    <t>Mt Lindsay No 2 Skarn</t>
  </si>
  <si>
    <t>Mt Terror</t>
  </si>
  <si>
    <t>Queen Hill</t>
  </si>
  <si>
    <t>Royal George</t>
  </si>
  <si>
    <t>Royal George Tin Mine</t>
  </si>
  <si>
    <t>Severn</t>
  </si>
  <si>
    <t>Sylvester Zeehan</t>
  </si>
  <si>
    <t>TasTin/Uranium</t>
  </si>
  <si>
    <t>Engineering geology</t>
  </si>
  <si>
    <t>Bell Bay</t>
  </si>
  <si>
    <t>Bridgewater Bridge</t>
  </si>
  <si>
    <t>Lawrence Vale</t>
  </si>
  <si>
    <t>Mona Hotel</t>
  </si>
  <si>
    <t>Royal Hobart Hospital</t>
  </si>
  <si>
    <t>Tarraleah</t>
  </si>
  <si>
    <t>Tarraleah Intake Channel</t>
  </si>
  <si>
    <t>Windermere</t>
  </si>
  <si>
    <t>Interstate and overseas</t>
  </si>
  <si>
    <t>New Caledonia Gouaro prospect</t>
  </si>
  <si>
    <t>Tasmania basin stratigraphy</t>
  </si>
  <si>
    <t>130km east of Maria Island</t>
  </si>
  <si>
    <t>Launceston Seaport</t>
  </si>
  <si>
    <t>Mount Read Volcanics VHMS mineral systems</t>
  </si>
  <si>
    <t>Black Harry Road</t>
  </si>
  <si>
    <t>Bulgobac</t>
  </si>
  <si>
    <t>Bulgobac River</t>
  </si>
  <si>
    <t>Burns Peak</t>
  </si>
  <si>
    <t>Burns Peak Pinnacles</t>
  </si>
  <si>
    <t>Cethana</t>
  </si>
  <si>
    <t>Chester</t>
  </si>
  <si>
    <t>Copper Chert</t>
  </si>
  <si>
    <t>Davie Prospect</t>
  </si>
  <si>
    <t>Discovery Creek</t>
  </si>
  <si>
    <t>Dundas Kosminsky</t>
  </si>
  <si>
    <t>Dundas South Comet</t>
  </si>
  <si>
    <t>Elliott Bay North Lewis</t>
  </si>
  <si>
    <t>Elliott Bay Voyager</t>
  </si>
  <si>
    <t>Fire Tower</t>
  </si>
  <si>
    <t>Fire Tower West</t>
  </si>
  <si>
    <t>Firetower</t>
  </si>
  <si>
    <t>Fossey Underground</t>
  </si>
  <si>
    <t>Glen Lyell</t>
  </si>
  <si>
    <t>Hatfield</t>
  </si>
  <si>
    <t>Hatfield High Point</t>
  </si>
  <si>
    <t>Hatfield Mt Charter</t>
  </si>
  <si>
    <t>Hellyer</t>
  </si>
  <si>
    <t>Henty</t>
  </si>
  <si>
    <t>Henty Mine - Darwin mid</t>
  </si>
  <si>
    <t>Henty Prospect</t>
  </si>
  <si>
    <t>High Point</t>
  </si>
  <si>
    <t>Jones Creek Rosebery</t>
  </si>
  <si>
    <t>Jukes Darwin</t>
  </si>
  <si>
    <t>Lake Margaret</t>
  </si>
  <si>
    <t>Lode Creek</t>
  </si>
  <si>
    <t>Loyetea</t>
  </si>
  <si>
    <t>Lynchford</t>
  </si>
  <si>
    <t>Mackintosh</t>
  </si>
  <si>
    <t>Mackintosh Mt Charter</t>
  </si>
  <si>
    <t>Moores Pimple</t>
  </si>
  <si>
    <t>Moxon</t>
  </si>
  <si>
    <t>Mt Black (Mt Read)</t>
  </si>
  <si>
    <t>Mt Block</t>
  </si>
  <si>
    <t>Mt Charter</t>
  </si>
  <si>
    <t>Mt Darwin Line 15</t>
  </si>
  <si>
    <t>Mt Julia</t>
  </si>
  <si>
    <t>Mt Read White Spur</t>
  </si>
  <si>
    <t>Mt Sedgwick</t>
  </si>
  <si>
    <t>Newton Creek</t>
  </si>
  <si>
    <t>Prince Lyell</t>
  </si>
  <si>
    <t>Red Hills</t>
  </si>
  <si>
    <t>Renison</t>
  </si>
  <si>
    <t>Rosebery</t>
  </si>
  <si>
    <t>Selina</t>
  </si>
  <si>
    <t>South Comet</t>
  </si>
  <si>
    <t>South Darwin</t>
  </si>
  <si>
    <t>South Henty</t>
  </si>
  <si>
    <t>Sulphide Creek</t>
  </si>
  <si>
    <t>Thomas Tunnel</t>
  </si>
  <si>
    <t>Tyndall Basin Lake</t>
  </si>
  <si>
    <t>Tyndall Creek</t>
  </si>
  <si>
    <t>Wart Hill</t>
  </si>
  <si>
    <t>White Spur</t>
  </si>
  <si>
    <t>White Spur Creek</t>
  </si>
  <si>
    <t>White Spur Spillway</t>
  </si>
  <si>
    <t>Yolande Henty River White Spur</t>
  </si>
  <si>
    <t>NE Tasmania Bendigo-style gold vein systems</t>
  </si>
  <si>
    <t>Alberton</t>
  </si>
  <si>
    <t>Beaconsfield</t>
  </si>
  <si>
    <t>Beaconsfield Tasmania Mine</t>
  </si>
  <si>
    <t>Brooks Creek</t>
  </si>
  <si>
    <t>Dan Rivulet</t>
  </si>
  <si>
    <t>Denison River</t>
  </si>
  <si>
    <t>Enterprise Lisle</t>
  </si>
  <si>
    <t>Falmouth (UTas - Till Gallagher)</t>
  </si>
  <si>
    <t>Grand Flanneur</t>
  </si>
  <si>
    <t>Lefroy</t>
  </si>
  <si>
    <t>Lisle Gold Crest</t>
  </si>
  <si>
    <t>Lisle Panama</t>
  </si>
  <si>
    <t>Lisle Potoroo</t>
  </si>
  <si>
    <t>Lone Star Enterprise</t>
  </si>
  <si>
    <t>Lone Star Golden Crest</t>
  </si>
  <si>
    <t>Mathinna</t>
  </si>
  <si>
    <t>Mathinna Golden Gate</t>
  </si>
  <si>
    <t>OBriens Mathinna</t>
  </si>
  <si>
    <t>OBriens Mathinna Walkers Ridge</t>
  </si>
  <si>
    <t>Orieco</t>
  </si>
  <si>
    <t>Ringarooma United</t>
  </si>
  <si>
    <t>Scamander River</t>
  </si>
  <si>
    <t>Tasmania Gold Mine</t>
  </si>
  <si>
    <t>Tasmania Reef Beaconsfield</t>
  </si>
  <si>
    <t>Trafalgar</t>
  </si>
  <si>
    <t>Una</t>
  </si>
  <si>
    <t>Warrentinna</t>
  </si>
  <si>
    <t>Windy Ridge</t>
  </si>
  <si>
    <t>Other mineral systems</t>
  </si>
  <si>
    <t>Arthur River</t>
  </si>
  <si>
    <t>Balfour</t>
  </si>
  <si>
    <t>Brassey South</t>
  </si>
  <si>
    <t>Cape Sorell</t>
  </si>
  <si>
    <t>Cleveland</t>
  </si>
  <si>
    <t>Fooks Lode Waratah</t>
  </si>
  <si>
    <t>Hill 99</t>
  </si>
  <si>
    <t>Hunterston</t>
  </si>
  <si>
    <t>Montana 1</t>
  </si>
  <si>
    <t>North Scamander</t>
  </si>
  <si>
    <t>Oceana Zeehan</t>
  </si>
  <si>
    <t>Oonah Hill</t>
  </si>
  <si>
    <t>Oonah Prospect</t>
  </si>
  <si>
    <t>Queen No.4</t>
  </si>
  <si>
    <t>Rocky River</t>
  </si>
  <si>
    <t>Savage River mine</t>
  </si>
  <si>
    <t>Thomas Creek</t>
  </si>
  <si>
    <t>Zeehan Western Mine</t>
  </si>
  <si>
    <t>Tasmania basement stratigraphy</t>
  </si>
  <si>
    <t>Alpine Prospect Reece</t>
  </si>
  <si>
    <t>Mt Mary Mine Cygnet</t>
  </si>
  <si>
    <t>Savage River Central</t>
  </si>
  <si>
    <t>Stanley</t>
  </si>
  <si>
    <t xml:space="preserve">Bicheno </t>
  </si>
  <si>
    <t>Bicheno Llandaff Coalfield</t>
  </si>
  <si>
    <t>Bicheno Swan River</t>
  </si>
  <si>
    <t>Bonneys Plains</t>
  </si>
  <si>
    <t>Bothwell</t>
  </si>
  <si>
    <t>Bruny Island</t>
  </si>
  <si>
    <t>Douglas River</t>
  </si>
  <si>
    <t>Dromedary</t>
  </si>
  <si>
    <t>Glenorchy</t>
  </si>
  <si>
    <t>Golden Valley</t>
  </si>
  <si>
    <t>Inside Plain Malahide</t>
  </si>
  <si>
    <t xml:space="preserve">Little Peppermint Bay </t>
  </si>
  <si>
    <t>Lune River</t>
  </si>
  <si>
    <t>MV Investigator</t>
  </si>
  <si>
    <t>Murray Field North Bruny Island</t>
  </si>
  <si>
    <t xml:space="preserve">Musselroe to Derby TransLine </t>
  </si>
  <si>
    <t>Quoin</t>
  </si>
  <si>
    <t>Ross</t>
  </si>
  <si>
    <t>Tunbridge 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</si>
</sst>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0" fontId="0" fillId="0" borderId="0" xfId="0" quotePrefix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30"/>
  <sheetViews>
    <sheetView tabSelected="1" workbookViewId="0"/>
  </sheetViews>
  <sheetFormatPr defaultRowHeight="15" x14ac:dyDescent="0.25"/>
  <sheetData>
    <row r="1" spans="1:11" x14ac:dyDescent="0.25">
      <c r="A1" t="str">
        <f>HYPERLINK("http://www.corstruth.com.au/WA/Petrel_2_cuttings_cs.png","Petrel 2_cuttings_A4")</f>
        <v>Petrel 2_cuttings_A4</v>
      </c>
      <c r="B1" t="str">
        <f>HYPERLINK("http://www.corstruth.com.au/WA/PNG2/Petrel_2_cuttings_cs.png","Petrel 2_cuttings_0.25m Bins")</f>
        <v>Petrel 2_cuttings_0.25m Bins</v>
      </c>
      <c r="C1" t="str">
        <f>HYPERLINK("http://www.corstruth.com.au/WA/CSV/Petrel_2_cuttings.csv","Petrel 2_cuttings_CSV File 1m Bins")</f>
        <v>Petrel 2_cuttings_CSV File 1m Bins</v>
      </c>
      <c r="D1" t="s">
        <v>0</v>
      </c>
      <c r="E1" t="s">
        <v>1</v>
      </c>
      <c r="G1" t="s">
        <v>2</v>
      </c>
      <c r="H1" t="s">
        <v>3</v>
      </c>
      <c r="I1">
        <v>-12.852499999999999</v>
      </c>
      <c r="J1">
        <v>128.51499999999999</v>
      </c>
      <c r="K1" t="str">
        <f>HYPERLINK("http://geossdi.dmp.wa.gov.au/NVCLDataServices/mosaic.html?datasetid=6e8a6ffe-460c-4df3-b9fe-73bab8ce95c","Petrel 2_cuttings_Core Image")</f>
        <v>Petrel 2_cuttings_Core Image</v>
      </c>
    </row>
    <row r="2" spans="1:11" x14ac:dyDescent="0.25">
      <c r="A2" t="str">
        <f>HYPERLINK("http://www.corstruth.com.au/WA/Petrel_3_cs.png","Petrel 3_A4")</f>
        <v>Petrel 3_A4</v>
      </c>
      <c r="B2" t="str">
        <f>HYPERLINK("http://www.corstruth.com.au/WA/PNG2/Petrel_3_cs.png","Petrel 3_0.25m Bins")</f>
        <v>Petrel 3_0.25m Bins</v>
      </c>
      <c r="C2" t="str">
        <f>HYPERLINK("http://www.corstruth.com.au/WA/CSV/Petrel_3.csv","Petrel 3_CSV File 1m Bins")</f>
        <v>Petrel 3_CSV File 1m Bins</v>
      </c>
      <c r="D2" t="s">
        <v>4</v>
      </c>
      <c r="E2" t="s">
        <v>1</v>
      </c>
      <c r="G2" t="s">
        <v>2</v>
      </c>
      <c r="H2" t="s">
        <v>3</v>
      </c>
      <c r="I2">
        <v>-12.9339</v>
      </c>
      <c r="J2">
        <v>128.571</v>
      </c>
      <c r="K2" t="str">
        <f>HYPERLINK("http://geossdi.dmp.wa.gov.au/NVCLDataServices/mosaic.html?datasetid=7ab33142-ed0b-4efe-ad32-13e5dd3c51c","Petrel 3_Core Image")</f>
        <v>Petrel 3_Core Image</v>
      </c>
    </row>
    <row r="3" spans="1:11" x14ac:dyDescent="0.25">
      <c r="A3" t="str">
        <f>HYPERLINK("http://www.corstruth.com.au/WA/Petrel_4_cs.png","Petrel 4_A4")</f>
        <v>Petrel 4_A4</v>
      </c>
      <c r="B3" t="str">
        <f>HYPERLINK("http://www.corstruth.com.au/WA/PNG2/Petrel_4_cs.png","Petrel 4_0.25m Bins")</f>
        <v>Petrel 4_0.25m Bins</v>
      </c>
      <c r="C3" t="str">
        <f>HYPERLINK("http://www.corstruth.com.au/WA/CSV/Petrel_4.csv","Petrel 4_CSV File 1m Bins")</f>
        <v>Petrel 4_CSV File 1m Bins</v>
      </c>
      <c r="D3" t="s">
        <v>5</v>
      </c>
      <c r="E3" t="s">
        <v>1</v>
      </c>
      <c r="G3" t="s">
        <v>2</v>
      </c>
      <c r="H3" t="s">
        <v>3</v>
      </c>
      <c r="I3">
        <v>-12.887</v>
      </c>
      <c r="J3">
        <v>128.49600000000001</v>
      </c>
      <c r="K3" t="str">
        <f>HYPERLINK("http://geossdi.dmp.wa.gov.au/NVCLDataServices/mosaic.html?datasetid=8264844e-42e8-45a6-903d-59aaa17b0d4","Petrel 4_Core Image")</f>
        <v>Petrel 4_Core Image</v>
      </c>
    </row>
    <row r="4" spans="1:11" x14ac:dyDescent="0.25">
      <c r="A4" t="str">
        <f>HYPERLINK("http://www.corstruth.com.au/WA/Petrel_4_cuttings_cs.png","Petrel 4_cuttings_A4")</f>
        <v>Petrel 4_cuttings_A4</v>
      </c>
      <c r="B4" t="str">
        <f>HYPERLINK("http://www.corstruth.com.au/WA/PNG2/Petrel_4_cuttings_cs.png","Petrel 4_cuttings_0.25m Bins")</f>
        <v>Petrel 4_cuttings_0.25m Bins</v>
      </c>
      <c r="C4" t="str">
        <f>HYPERLINK("http://www.corstruth.com.au/WA/CSV/Petrel_4_cuttings.csv","Petrel 4_cuttings_CSV File 1m Bins")</f>
        <v>Petrel 4_cuttings_CSV File 1m Bins</v>
      </c>
      <c r="D4" t="s">
        <v>5</v>
      </c>
      <c r="E4" t="s">
        <v>1</v>
      </c>
      <c r="G4" t="s">
        <v>2</v>
      </c>
      <c r="H4" t="s">
        <v>3</v>
      </c>
      <c r="I4">
        <v>-12.887</v>
      </c>
      <c r="J4">
        <v>128.49600000000001</v>
      </c>
      <c r="K4" t="str">
        <f>HYPERLINK("http://geossdi.dmp.wa.gov.au/NVCLDataServices/mosaic.html?datasetid=9bff415b-acd7-4f85-98f1-2a9324163bb","Petrel 4_cuttings_Core Image")</f>
        <v>Petrel 4_cuttings_Core Image</v>
      </c>
    </row>
    <row r="5" spans="1:11" x14ac:dyDescent="0.25">
      <c r="A5" t="str">
        <f>HYPERLINK("http://www.corstruth.com.au/WA/Petrel_6_cs.png","Petrel 6_A4")</f>
        <v>Petrel 6_A4</v>
      </c>
      <c r="B5" t="str">
        <f>HYPERLINK("http://www.corstruth.com.au/WA/PNG2/Petrel_6_cs.png","Petrel 6_0.25m Bins")</f>
        <v>Petrel 6_0.25m Bins</v>
      </c>
      <c r="C5" t="str">
        <f>HYPERLINK("http://www.corstruth.com.au/WA/CSV/Petrel_6.csv","Petrel 6_CSV File 1m Bins")</f>
        <v>Petrel 6_CSV File 1m Bins</v>
      </c>
      <c r="D5" t="s">
        <v>6</v>
      </c>
      <c r="E5" t="s">
        <v>1</v>
      </c>
      <c r="G5" t="s">
        <v>2</v>
      </c>
      <c r="H5" t="s">
        <v>3</v>
      </c>
      <c r="I5">
        <v>-12.7995</v>
      </c>
      <c r="J5">
        <v>128.45699999999999</v>
      </c>
      <c r="K5" t="str">
        <f>HYPERLINK("http://geossdi.dmp.wa.gov.au/NVCLDataServices/mosaic.html?datasetid=5fc0a4af-3e63-491d-8e69-85ebe9f9692","Petrel 6_Core Image")</f>
        <v>Petrel 6_Core Image</v>
      </c>
    </row>
    <row r="6" spans="1:11" x14ac:dyDescent="0.25">
      <c r="A6" t="str">
        <f>HYPERLINK("http://www.corstruth.com.au/WA/Petrel_7_cs.png","Petrel 7_A4")</f>
        <v>Petrel 7_A4</v>
      </c>
      <c r="B6" t="str">
        <f>HYPERLINK("http://www.corstruth.com.au/WA/PNG2/Petrel_7_cs.png","Petrel 7_0.25m Bins")</f>
        <v>Petrel 7_0.25m Bins</v>
      </c>
      <c r="C6" t="str">
        <f>HYPERLINK("http://www.corstruth.com.au/WA/CSV/Petrel_7.csv","Petrel 7_CSV File 1m Bins")</f>
        <v>Petrel 7_CSV File 1m Bins</v>
      </c>
      <c r="D6" t="s">
        <v>7</v>
      </c>
      <c r="E6" t="s">
        <v>1</v>
      </c>
      <c r="G6" t="s">
        <v>2</v>
      </c>
      <c r="H6" t="s">
        <v>3</v>
      </c>
      <c r="I6">
        <v>-12.8972</v>
      </c>
      <c r="J6">
        <v>128.56399999999999</v>
      </c>
      <c r="K6" t="str">
        <f>HYPERLINK("http://geossdi.dmp.wa.gov.au/NVCLDataServices/mosaic.html?datasetid=1c38d7e1-0ab0-480b-907b-62e195d5777","Petrel 7_Core Image")</f>
        <v>Petrel 7_Core Image</v>
      </c>
    </row>
    <row r="7" spans="1:11" x14ac:dyDescent="0.25">
      <c r="A7" t="str">
        <f>HYPERLINK("http://www.corstruth.com.au/WA/Petrel_7_cuttings_cs.png","Petrel 7_cuttings_A4")</f>
        <v>Petrel 7_cuttings_A4</v>
      </c>
      <c r="B7" t="str">
        <f>HYPERLINK("http://www.corstruth.com.au/WA/PNG2/Petrel_7_cuttings_cs.png","Petrel 7_cuttings_0.25m Bins")</f>
        <v>Petrel 7_cuttings_0.25m Bins</v>
      </c>
      <c r="C7" t="str">
        <f>HYPERLINK("http://www.corstruth.com.au/WA/CSV/Petrel_7_cuttings.csv","Petrel 7_cuttings_CSV File 1m Bins")</f>
        <v>Petrel 7_cuttings_CSV File 1m Bins</v>
      </c>
      <c r="D7" t="s">
        <v>7</v>
      </c>
      <c r="E7" t="s">
        <v>1</v>
      </c>
      <c r="G7" t="s">
        <v>2</v>
      </c>
      <c r="H7" t="s">
        <v>3</v>
      </c>
      <c r="I7">
        <v>-12.8972</v>
      </c>
      <c r="J7">
        <v>128.56399999999999</v>
      </c>
      <c r="K7" t="str">
        <f>HYPERLINK("http://geossdi.dmp.wa.gov.au/NVCLDataServices/mosaic.html?datasetid=786247fc-e30b-47bf-98a4-3198b39d026","Petrel 7_cuttings_Core Image")</f>
        <v>Petrel 7_cuttings_Core Image</v>
      </c>
    </row>
    <row r="8" spans="1:11" x14ac:dyDescent="0.25">
      <c r="A8" t="str">
        <f>HYPERLINK("http://www.corstruth.com.au/WA/Petrel_1_cs.png","Petrel 1_A4")</f>
        <v>Petrel 1_A4</v>
      </c>
      <c r="B8" t="str">
        <f>HYPERLINK("http://www.corstruth.com.au/WA/PNG2/Petrel_1_cs.png","Petrel 1_0.25m Bins")</f>
        <v>Petrel 1_0.25m Bins</v>
      </c>
      <c r="C8" t="str">
        <f>HYPERLINK("http://www.corstruth.com.au/WA/CSV/Petrel_1.csv","Petrel 1_CSV File 1m Bins")</f>
        <v>Petrel 1_CSV File 1m Bins</v>
      </c>
      <c r="D8" t="s">
        <v>8</v>
      </c>
      <c r="E8" t="s">
        <v>1</v>
      </c>
      <c r="G8" t="s">
        <v>9</v>
      </c>
      <c r="H8" t="s">
        <v>3</v>
      </c>
      <c r="I8">
        <v>-12.825100000000001</v>
      </c>
      <c r="J8">
        <v>128.47499999999999</v>
      </c>
      <c r="K8" t="str">
        <f>HYPERLINK("http://geossdi.dmp.wa.gov.au/NVCLDataServices/mosaic.html?datasetid=252c26bd-2e96-46de-8d21-773b369401b","Petrel 1_Core Image")</f>
        <v>Petrel 1_Core Image</v>
      </c>
    </row>
    <row r="9" spans="1:11" x14ac:dyDescent="0.25">
      <c r="A9" t="str">
        <f>HYPERLINK("http://www.corstruth.com.au/WA/Petrel_1_cuttings_cs.png","Petrel 1_cuttings_A4")</f>
        <v>Petrel 1_cuttings_A4</v>
      </c>
      <c r="B9" t="str">
        <f>HYPERLINK("http://www.corstruth.com.au/WA/PNG2/Petrel_1_cuttings_cs.png","Petrel 1_cuttings_0.25m Bins")</f>
        <v>Petrel 1_cuttings_0.25m Bins</v>
      </c>
      <c r="C9" t="str">
        <f>HYPERLINK("http://www.corstruth.com.au/WA/CSV/Petrel_1_cuttings.csv","Petrel 1_cuttings_CSV File 1m Bins")</f>
        <v>Petrel 1_cuttings_CSV File 1m Bins</v>
      </c>
      <c r="D9" t="s">
        <v>8</v>
      </c>
      <c r="E9" t="s">
        <v>1</v>
      </c>
      <c r="G9" t="s">
        <v>9</v>
      </c>
      <c r="H9" t="s">
        <v>3</v>
      </c>
      <c r="I9">
        <v>-12.825100000000001</v>
      </c>
      <c r="J9">
        <v>128.47499999999999</v>
      </c>
      <c r="K9" t="str">
        <f>HYPERLINK("http://geossdi.dmp.wa.gov.au/NVCLDataServices/mosaic.html?datasetid=5d285e7e-9445-41f7-8bdc-0e7cf2b30c1","Petrel 1_cuttings_Core Image")</f>
        <v>Petrel 1_cuttings_Core Image</v>
      </c>
    </row>
    <row r="10" spans="1:11" x14ac:dyDescent="0.25">
      <c r="A10" t="str">
        <f>HYPERLINK("http://www.corstruth.com.au/WA/Atrax_1_cuttings_cs.png","Atrax 1_cuttings_A4")</f>
        <v>Atrax 1_cuttings_A4</v>
      </c>
      <c r="B10" t="str">
        <f>HYPERLINK("http://www.corstruth.com.au/WA/PNG2/Atrax_1_cuttings_cs.png","Atrax 1_cuttings_0.25m Bins")</f>
        <v>Atrax 1_cuttings_0.25m Bins</v>
      </c>
      <c r="C10" t="str">
        <f>HYPERLINK("http://www.corstruth.com.au/WA/CSV/Atrax_1_cuttings.csv","Atrax 1_cuttings_CSV File 1m Bins")</f>
        <v>Atrax 1_cuttings_CSV File 1m Bins</v>
      </c>
      <c r="D10" t="s">
        <v>10</v>
      </c>
      <c r="E10" t="s">
        <v>1</v>
      </c>
      <c r="G10" t="s">
        <v>11</v>
      </c>
      <c r="H10" t="s">
        <v>12</v>
      </c>
      <c r="I10">
        <v>-19.401499999999999</v>
      </c>
      <c r="J10">
        <v>126.605</v>
      </c>
      <c r="K10" t="str">
        <f>HYPERLINK("http://geossdi.dmp.wa.gov.au/NVCLDataServices/mosaic.html?datasetid=3bcef534-a12e-4c6e-9089-5db8e5ff721","Atrax 1_cuttings_Core Image")</f>
        <v>Atrax 1_cuttings_Core Image</v>
      </c>
    </row>
    <row r="11" spans="1:11" x14ac:dyDescent="0.25">
      <c r="A11" t="str">
        <f>HYPERLINK("http://www.corstruth.com.au/WA/Ngalti_1_cuttings_cs.png","Ngalti 1_cuttings_A4")</f>
        <v>Ngalti 1_cuttings_A4</v>
      </c>
      <c r="B11" t="str">
        <f>HYPERLINK("http://www.corstruth.com.au/WA/PNG2/Ngalti_1_cuttings_cs.png","Ngalti 1_cuttings_0.25m Bins")</f>
        <v>Ngalti 1_cuttings_0.25m Bins</v>
      </c>
      <c r="C11" t="str">
        <f>HYPERLINK("http://www.corstruth.com.au/WA/CSV/Ngalti_1_cuttings.csv","Ngalti 1_cuttings_CSV File 1m Bins")</f>
        <v>Ngalti 1_cuttings_CSV File 1m Bins</v>
      </c>
      <c r="D11" t="s">
        <v>13</v>
      </c>
      <c r="E11" t="s">
        <v>1</v>
      </c>
      <c r="G11" t="s">
        <v>11</v>
      </c>
      <c r="H11" t="s">
        <v>14</v>
      </c>
      <c r="I11">
        <v>-19.8675</v>
      </c>
      <c r="J11">
        <v>127.31399999999999</v>
      </c>
      <c r="K11" t="str">
        <f>HYPERLINK("http://geossdi.dmp.wa.gov.au/NVCLDataServices/mosaic.html?datasetid=a3faf935-6a40-4dbd-a868-b2f8bfdead5","Ngalti 1_cuttings_Core Image")</f>
        <v>Ngalti 1_cuttings_Core Image</v>
      </c>
    </row>
    <row r="12" spans="1:11" x14ac:dyDescent="0.25">
      <c r="A12" t="str">
        <f>HYPERLINK("http://www.corstruth.com.au/WA/Olios_1_cuttings_cs.png","Olios 1_cuttings_A4")</f>
        <v>Olios 1_cuttings_A4</v>
      </c>
      <c r="B12" t="str">
        <f>HYPERLINK("http://www.corstruth.com.au/WA/PNG2/Olios_1_cuttings_cs.png","Olios 1_cuttings_0.25m Bins")</f>
        <v>Olios 1_cuttings_0.25m Bins</v>
      </c>
      <c r="C12" t="str">
        <f>HYPERLINK("http://www.corstruth.com.au/WA/CSV/Olios_1_cuttings.csv","Olios 1_cuttings_CSV File 1m Bins")</f>
        <v>Olios 1_cuttings_CSV File 1m Bins</v>
      </c>
      <c r="D12" t="s">
        <v>15</v>
      </c>
      <c r="E12" t="s">
        <v>1</v>
      </c>
      <c r="G12" t="s">
        <v>11</v>
      </c>
      <c r="H12" t="s">
        <v>16</v>
      </c>
      <c r="I12">
        <v>-19.504200000000001</v>
      </c>
      <c r="J12">
        <v>126.79300000000001</v>
      </c>
      <c r="K12" t="str">
        <f>HYPERLINK("http://geossdi.dmp.wa.gov.au/NVCLDataServices/mosaic.html?datasetid=daa2b34f-149b-4a34-8def-29e559eb125","Olios 1_cuttings_Core Image")</f>
        <v>Olios 1_cuttings_Core Image</v>
      </c>
    </row>
    <row r="13" spans="1:11" x14ac:dyDescent="0.25">
      <c r="A13" t="str">
        <f>HYPERLINK("http://www.corstruth.com.au/WA/Lake_Hevern_1_cuttings_cs.png","Lake Hevern 1_cuttings_A4")</f>
        <v>Lake Hevern 1_cuttings_A4</v>
      </c>
      <c r="B13" t="str">
        <f>HYPERLINK("http://www.corstruth.com.au/WA/PNG2/Lake_Hevern_1_cuttings_cs.png","Lake Hevern 1_cuttings_0.25m Bins")</f>
        <v>Lake Hevern 1_cuttings_0.25m Bins</v>
      </c>
      <c r="C13" t="str">
        <f>HYPERLINK("http://www.corstruth.com.au/WA/CSV/Lake_Hevern_1_cuttings.csv","Lake Hevern 1_cuttings_CSV File 1m Bins")</f>
        <v>Lake Hevern 1_cuttings_CSV File 1m Bins</v>
      </c>
      <c r="D13" t="s">
        <v>17</v>
      </c>
      <c r="E13" t="s">
        <v>1</v>
      </c>
      <c r="G13" t="s">
        <v>18</v>
      </c>
      <c r="H13" t="s">
        <v>19</v>
      </c>
      <c r="I13">
        <v>-21.464500000000001</v>
      </c>
      <c r="J13">
        <v>127.57899999999999</v>
      </c>
      <c r="K13" t="str">
        <f>HYPERLINK("http://geossdi.dmp.wa.gov.au/NVCLDataServices/mosaic.html?datasetid=f977d017-6e2c-4c10-a14b-3de1a848715","Lake Hevern 1_cuttings_Core Image")</f>
        <v>Lake Hevern 1_cuttings_Core Image</v>
      </c>
    </row>
    <row r="14" spans="1:11" x14ac:dyDescent="0.25">
      <c r="A14" t="str">
        <f>HYPERLINK("http://www.corstruth.com.au/WA/Justago_1_cuttings_cs.png","Justago 1_cuttings_A4")</f>
        <v>Justago 1_cuttings_A4</v>
      </c>
      <c r="B14" t="str">
        <f>HYPERLINK("http://www.corstruth.com.au/WA/PNG2/Justago_1_cuttings_cs.png","Justago 1_cuttings_0.25m Bins")</f>
        <v>Justago 1_cuttings_0.25m Bins</v>
      </c>
      <c r="C14" t="str">
        <f>HYPERLINK("http://www.corstruth.com.au/WA/CSV/Justago_1_cuttings.csv","Justago 1_cuttings_CSV File 1m Bins")</f>
        <v>Justago 1_cuttings_CSV File 1m Bins</v>
      </c>
      <c r="D14" t="s">
        <v>20</v>
      </c>
      <c r="E14" t="s">
        <v>1</v>
      </c>
      <c r="G14" t="s">
        <v>21</v>
      </c>
      <c r="H14" t="s">
        <v>22</v>
      </c>
      <c r="I14">
        <v>-18.866499999999998</v>
      </c>
      <c r="J14">
        <v>126.23699999999999</v>
      </c>
      <c r="K14" t="str">
        <f>HYPERLINK("http://geossdi.dmp.wa.gov.au/NVCLDataServices/mosaic.html?datasetid=90afa5ab-f6cd-4ba1-9e1a-824c481e0fa","Justago 1_cuttings_Core Image")</f>
        <v>Justago 1_cuttings_Core Image</v>
      </c>
    </row>
    <row r="15" spans="1:11" x14ac:dyDescent="0.25">
      <c r="A15" t="str">
        <f>HYPERLINK("http://www.corstruth.com.au/WA/20WKDD002_cs.png","20WKDD002_A4")</f>
        <v>20WKDD002_A4</v>
      </c>
      <c r="B15" t="str">
        <f>HYPERLINK("http://www.corstruth.com.au/WA/PNG2/20WKDD002_cs.png","20WKDD002_0.25m Bins")</f>
        <v>20WKDD002_0.25m Bins</v>
      </c>
      <c r="C15" t="str">
        <f>HYPERLINK("http://www.corstruth.com.au/WA/CSV/20WKDD002.csv","20WKDD002_CSV File 1m Bins")</f>
        <v>20WKDD002_CSV File 1m Bins</v>
      </c>
      <c r="D15" t="s">
        <v>23</v>
      </c>
      <c r="E15" t="s">
        <v>1</v>
      </c>
      <c r="G15" t="s">
        <v>24</v>
      </c>
      <c r="H15" t="s">
        <v>25</v>
      </c>
      <c r="I15">
        <v>-16.941400000000002</v>
      </c>
      <c r="J15">
        <v>124.453</v>
      </c>
    </row>
    <row r="16" spans="1:11" x14ac:dyDescent="0.25">
      <c r="A16" t="str">
        <f>HYPERLINK("http://www.corstruth.com.au/WA/20WKDD003_cs.png","20WKDD003_A4")</f>
        <v>20WKDD003_A4</v>
      </c>
      <c r="B16" t="str">
        <f>HYPERLINK("http://www.corstruth.com.au/WA/PNG2/20WKDD003_cs.png","20WKDD003_0.25m Bins")</f>
        <v>20WKDD003_0.25m Bins</v>
      </c>
      <c r="C16" t="str">
        <f>HYPERLINK("http://www.corstruth.com.au/WA/CSV/20WKDD003.csv","20WKDD003_CSV File 1m Bins")</f>
        <v>20WKDD003_CSV File 1m Bins</v>
      </c>
      <c r="D16" t="s">
        <v>26</v>
      </c>
      <c r="E16" t="s">
        <v>1</v>
      </c>
      <c r="G16" t="s">
        <v>24</v>
      </c>
      <c r="H16" t="s">
        <v>25</v>
      </c>
      <c r="I16">
        <v>-16.943200000000001</v>
      </c>
      <c r="J16">
        <v>124.46</v>
      </c>
    </row>
    <row r="17" spans="1:11" x14ac:dyDescent="0.25">
      <c r="A17" t="str">
        <f>HYPERLINK("http://www.corstruth.com.au/WA/20WKDD005_cs.png","20WKDD005_A4")</f>
        <v>20WKDD005_A4</v>
      </c>
      <c r="B17" t="str">
        <f>HYPERLINK("http://www.corstruth.com.au/WA/PNG2/20WKDD005_cs.png","20WKDD005_0.25m Bins")</f>
        <v>20WKDD005_0.25m Bins</v>
      </c>
      <c r="C17" t="str">
        <f>HYPERLINK("http://www.corstruth.com.au/WA/CSV/20WKDD005.csv","20WKDD005_CSV File 1m Bins")</f>
        <v>20WKDD005_CSV File 1m Bins</v>
      </c>
      <c r="D17" t="s">
        <v>27</v>
      </c>
      <c r="E17" t="s">
        <v>1</v>
      </c>
      <c r="G17" t="s">
        <v>24</v>
      </c>
      <c r="H17" t="s">
        <v>25</v>
      </c>
      <c r="I17">
        <v>-16.856200000000001</v>
      </c>
      <c r="J17">
        <v>124.36</v>
      </c>
    </row>
    <row r="18" spans="1:11" x14ac:dyDescent="0.25">
      <c r="A18" t="str">
        <f>HYPERLINK("http://www.corstruth.com.au/WA/GRDD003_cs.png","GRDD003_A4")</f>
        <v>GRDD003_A4</v>
      </c>
      <c r="B18" t="str">
        <f>HYPERLINK("http://www.corstruth.com.au/WA/PNG2/GRDD003_cs.png","GRDD003_0.25m Bins")</f>
        <v>GRDD003_0.25m Bins</v>
      </c>
      <c r="C18" t="str">
        <f>HYPERLINK("http://www.corstruth.com.au/WA/CSV/GRDD003.csv","GRDD003_CSV File 1m Bins")</f>
        <v>GRDD003_CSV File 1m Bins</v>
      </c>
      <c r="D18" t="s">
        <v>28</v>
      </c>
      <c r="E18" t="s">
        <v>1</v>
      </c>
      <c r="G18" t="s">
        <v>24</v>
      </c>
      <c r="H18" t="s">
        <v>29</v>
      </c>
      <c r="I18">
        <v>-16.564299999999999</v>
      </c>
      <c r="J18">
        <v>124.20699999999999</v>
      </c>
    </row>
    <row r="19" spans="1:11" x14ac:dyDescent="0.25">
      <c r="A19" t="str">
        <f>HYPERLINK("http://www.corstruth.com.au/WA/GRDD004_cs.png","GRDD004_A4")</f>
        <v>GRDD004_A4</v>
      </c>
      <c r="B19" t="str">
        <f>HYPERLINK("http://www.corstruth.com.au/WA/PNG2/GRDD004_cs.png","GRDD004_0.25m Bins")</f>
        <v>GRDD004_0.25m Bins</v>
      </c>
      <c r="C19" t="str">
        <f>HYPERLINK("http://www.corstruth.com.au/WA/CSV/GRDD004.csv","GRDD004_CSV File 1m Bins")</f>
        <v>GRDD004_CSV File 1m Bins</v>
      </c>
      <c r="D19" t="s">
        <v>30</v>
      </c>
      <c r="E19" t="s">
        <v>1</v>
      </c>
      <c r="G19" t="s">
        <v>24</v>
      </c>
      <c r="H19" t="s">
        <v>31</v>
      </c>
      <c r="I19">
        <v>-16.563300000000002</v>
      </c>
      <c r="J19">
        <v>124.208</v>
      </c>
    </row>
    <row r="20" spans="1:11" x14ac:dyDescent="0.25">
      <c r="A20" t="str">
        <f>HYPERLINK("http://www.corstruth.com.au/WA/Petrel_5_cs.png","Petrel 5_A4")</f>
        <v>Petrel 5_A4</v>
      </c>
      <c r="B20" t="str">
        <f>HYPERLINK("http://www.corstruth.com.au/WA/PNG2/Petrel_5_cs.png","Petrel 5_0.25m Bins")</f>
        <v>Petrel 5_0.25m Bins</v>
      </c>
      <c r="C20" t="str">
        <f>HYPERLINK("http://www.corstruth.com.au/WA/CSV/Petrel_5.csv","Petrel 5_CSV File 1m Bins")</f>
        <v>Petrel 5_CSV File 1m Bins</v>
      </c>
      <c r="D20" t="s">
        <v>32</v>
      </c>
      <c r="E20" t="s">
        <v>1</v>
      </c>
      <c r="G20" t="s">
        <v>33</v>
      </c>
      <c r="H20" t="s">
        <v>3</v>
      </c>
      <c r="I20">
        <v>-12.8123</v>
      </c>
      <c r="J20">
        <v>128.40899999999999</v>
      </c>
      <c r="K20" t="str">
        <f>HYPERLINK("http://geossdi.dmp.wa.gov.au/NVCLDataServices/mosaic.html?datasetid=bc109a95-921c-44e8-8a85-459b44f45ce","Petrel 5_Core Image")</f>
        <v>Petrel 5_Core Image</v>
      </c>
    </row>
    <row r="21" spans="1:11" x14ac:dyDescent="0.25">
      <c r="A21" t="str">
        <f>HYPERLINK("http://www.corstruth.com.au/WA/Petrel_5_cuttings_cs.png","Petrel 5_cuttings_A4")</f>
        <v>Petrel 5_cuttings_A4</v>
      </c>
      <c r="B21" t="str">
        <f>HYPERLINK("http://www.corstruth.com.au/WA/PNG2/Petrel_5_cuttings_cs.png","Petrel 5_cuttings_0.25m Bins")</f>
        <v>Petrel 5_cuttings_0.25m Bins</v>
      </c>
      <c r="C21" t="str">
        <f>HYPERLINK("http://www.corstruth.com.au/WA/CSV/Petrel_5_cuttings.csv","Petrel 5_cuttings_CSV File 1m Bins")</f>
        <v>Petrel 5_cuttings_CSV File 1m Bins</v>
      </c>
      <c r="D21" t="s">
        <v>32</v>
      </c>
      <c r="E21" t="s">
        <v>1</v>
      </c>
      <c r="G21" t="s">
        <v>33</v>
      </c>
      <c r="H21" t="s">
        <v>3</v>
      </c>
      <c r="I21">
        <v>-12.8123</v>
      </c>
      <c r="J21">
        <v>128.40899999999999</v>
      </c>
      <c r="K21" t="str">
        <f>HYPERLINK("http://geossdi.dmp.wa.gov.au/NVCLDataServices/mosaic.html?datasetid=fdf9b129-1bff-448f-a4c9-8acda9b82a2","Petrel 5_cuttings_Core Image")</f>
        <v>Petrel 5_cuttings_Core Image</v>
      </c>
    </row>
    <row r="22" spans="1:11" x14ac:dyDescent="0.25">
      <c r="A22" t="str">
        <f>HYPERLINK("http://www.corstruth.com.au/WA/Tern_3_cs.png","Tern 3_A4")</f>
        <v>Tern 3_A4</v>
      </c>
      <c r="B22" t="str">
        <f>HYPERLINK("http://www.corstruth.com.au/WA/PNG2/Tern_3_cs.png","Tern 3_0.25m Bins")</f>
        <v>Tern 3_0.25m Bins</v>
      </c>
      <c r="C22" t="str">
        <f>HYPERLINK("http://www.corstruth.com.au/WA/CSV/Tern_3.csv","Tern 3_CSV File 1m Bins")</f>
        <v>Tern 3_CSV File 1m Bins</v>
      </c>
      <c r="D22" t="s">
        <v>34</v>
      </c>
      <c r="E22" t="s">
        <v>1</v>
      </c>
      <c r="G22" t="s">
        <v>33</v>
      </c>
      <c r="H22" t="s">
        <v>35</v>
      </c>
      <c r="I22">
        <v>-13.334199999999999</v>
      </c>
      <c r="J22">
        <v>128.10499999999999</v>
      </c>
      <c r="K22" t="str">
        <f>HYPERLINK("http://geossdi.dmp.wa.gov.au/NVCLDataServices/mosaic.html?datasetid=1198a0db-a0ad-4e34-bd1d-dc6ce657353","Tern 3_Core Image")</f>
        <v>Tern 3_Core Image</v>
      </c>
    </row>
    <row r="23" spans="1:11" x14ac:dyDescent="0.25">
      <c r="A23" t="str">
        <f>HYPERLINK("http://www.corstruth.com.au/WA/Tern_4_cs.png","Tern 4_A4")</f>
        <v>Tern 4_A4</v>
      </c>
      <c r="B23" t="str">
        <f>HYPERLINK("http://www.corstruth.com.au/WA/PNG2/Tern_4_cs.png","Tern 4_0.25m Bins")</f>
        <v>Tern 4_0.25m Bins</v>
      </c>
      <c r="C23" t="str">
        <f>HYPERLINK("http://www.corstruth.com.au/WA/CSV/Tern_4.csv","Tern 4_CSV File 1m Bins")</f>
        <v>Tern 4_CSV File 1m Bins</v>
      </c>
      <c r="D23" t="s">
        <v>36</v>
      </c>
      <c r="E23" t="s">
        <v>1</v>
      </c>
      <c r="G23" t="s">
        <v>33</v>
      </c>
      <c r="H23" t="s">
        <v>35</v>
      </c>
      <c r="I23">
        <v>-13.228400000000001</v>
      </c>
      <c r="J23">
        <v>128.107</v>
      </c>
      <c r="K23" t="str">
        <f>HYPERLINK("http://geossdi.dmp.wa.gov.au/NVCLDataServices/mosaic.html?datasetid=03ef6fc5-f961-40fd-a907-04f316cf50f","Tern 4_Core Image")</f>
        <v>Tern 4_Core Image</v>
      </c>
    </row>
    <row r="24" spans="1:11" x14ac:dyDescent="0.25">
      <c r="A24" t="str">
        <f>HYPERLINK("http://www.corstruth.com.au/WA/Tern_5_cs.png","Tern 5_A4")</f>
        <v>Tern 5_A4</v>
      </c>
      <c r="B24" t="str">
        <f>HYPERLINK("http://www.corstruth.com.au/WA/PNG2/Tern_5_cs.png","Tern 5_0.25m Bins")</f>
        <v>Tern 5_0.25m Bins</v>
      </c>
      <c r="C24" t="str">
        <f>HYPERLINK("http://www.corstruth.com.au/WA/CSV/Tern_5.csv","Tern 5_CSV File 1m Bins")</f>
        <v>Tern 5_CSV File 1m Bins</v>
      </c>
      <c r="D24" t="s">
        <v>37</v>
      </c>
      <c r="E24" t="s">
        <v>1</v>
      </c>
      <c r="G24" t="s">
        <v>33</v>
      </c>
      <c r="H24" t="s">
        <v>35</v>
      </c>
      <c r="I24">
        <v>-13.204700000000001</v>
      </c>
      <c r="J24">
        <v>128.09899999999999</v>
      </c>
      <c r="K24" t="str">
        <f>HYPERLINK("http://geossdi.dmp.wa.gov.au/NVCLDataServices/mosaic.html?datasetid=90e169dc-1e1a-445d-8869-accd656cbc0","Tern 5_Core Image")</f>
        <v>Tern 5_Core Image</v>
      </c>
    </row>
    <row r="25" spans="1:11" x14ac:dyDescent="0.25">
      <c r="A25" t="str">
        <f>HYPERLINK("http://www.corstruth.com.au/WA/Austin_1_cs.png","Austin 1_A4")</f>
        <v>Austin 1_A4</v>
      </c>
      <c r="B25" t="str">
        <f>HYPERLINK("http://www.corstruth.com.au/WA/PNG2/Austin_1_cs.png","Austin 1_0.25m Bins")</f>
        <v>Austin 1_0.25m Bins</v>
      </c>
      <c r="C25" t="str">
        <f>HYPERLINK("http://www.corstruth.com.au/WA/CSV/Austin_1.csv","Austin 1_CSV File 1m Bins")</f>
        <v>Austin 1_CSV File 1m Bins</v>
      </c>
      <c r="D25" t="s">
        <v>38</v>
      </c>
      <c r="E25" t="s">
        <v>1</v>
      </c>
      <c r="G25" t="s">
        <v>39</v>
      </c>
      <c r="H25" t="s">
        <v>40</v>
      </c>
      <c r="I25">
        <v>-20.292400000000001</v>
      </c>
      <c r="J25">
        <v>115.46</v>
      </c>
    </row>
    <row r="26" spans="1:11" x14ac:dyDescent="0.25">
      <c r="A26" t="str">
        <f>HYPERLINK("http://www.corstruth.com.au/WA/East_Spar_2_cs.png","East Spar 2_A4")</f>
        <v>East Spar 2_A4</v>
      </c>
      <c r="B26" t="str">
        <f>HYPERLINK("http://www.corstruth.com.au/WA/PNG2/East_Spar_2_cs.png","East Spar 2_0.25m Bins")</f>
        <v>East Spar 2_0.25m Bins</v>
      </c>
      <c r="C26" t="str">
        <f>HYPERLINK("http://www.corstruth.com.au/WA/CSV/East_Spar_2.csv","East Spar 2_CSV File 1m Bins")</f>
        <v>East Spar 2_CSV File 1m Bins</v>
      </c>
      <c r="D26" t="s">
        <v>41</v>
      </c>
      <c r="E26" t="s">
        <v>1</v>
      </c>
      <c r="G26" t="s">
        <v>39</v>
      </c>
      <c r="H26" t="s">
        <v>42</v>
      </c>
      <c r="I26">
        <v>-20.657299999999999</v>
      </c>
      <c r="J26">
        <v>115</v>
      </c>
    </row>
    <row r="27" spans="1:11" x14ac:dyDescent="0.25">
      <c r="A27" t="str">
        <f>HYPERLINK("http://www.corstruth.com.au/WA/East_Spar_3_cs.png","East Spar 3_A4")</f>
        <v>East Spar 3_A4</v>
      </c>
      <c r="B27" t="str">
        <f>HYPERLINK("http://www.corstruth.com.au/WA/PNG2/East_Spar_3_cs.png","East Spar 3_0.25m Bins")</f>
        <v>East Spar 3_0.25m Bins</v>
      </c>
      <c r="C27" t="str">
        <f>HYPERLINK("http://www.corstruth.com.au/WA/CSV/East_Spar_3.csv","East Spar 3_CSV File 1m Bins")</f>
        <v>East Spar 3_CSV File 1m Bins</v>
      </c>
      <c r="D27" t="s">
        <v>43</v>
      </c>
      <c r="E27" t="s">
        <v>1</v>
      </c>
      <c r="G27" t="s">
        <v>39</v>
      </c>
      <c r="H27" t="s">
        <v>42</v>
      </c>
      <c r="I27">
        <v>-20.733699999999999</v>
      </c>
      <c r="J27">
        <v>114.974</v>
      </c>
    </row>
    <row r="28" spans="1:11" x14ac:dyDescent="0.25">
      <c r="A28" t="str">
        <f>HYPERLINK("http://www.corstruth.com.au/WA/Pepper_1_cuttings_cs.png","Pepper 1_cuttings_A4")</f>
        <v>Pepper 1_cuttings_A4</v>
      </c>
      <c r="B28" t="str">
        <f>HYPERLINK("http://www.corstruth.com.au/WA/PNG2/Pepper_1_cuttings_cs.png","Pepper 1_cuttings_0.25m Bins")</f>
        <v>Pepper 1_cuttings_0.25m Bins</v>
      </c>
      <c r="C28" t="str">
        <f>HYPERLINK("http://www.corstruth.com.au/WA/CSV/Pepper_1_cuttings.csv","Pepper 1_cuttings_CSV File 1m Bins")</f>
        <v>Pepper 1_cuttings_CSV File 1m Bins</v>
      </c>
      <c r="D28" t="s">
        <v>44</v>
      </c>
      <c r="E28" t="s">
        <v>1</v>
      </c>
      <c r="G28" t="s">
        <v>39</v>
      </c>
      <c r="H28" t="s">
        <v>45</v>
      </c>
      <c r="I28">
        <v>-21.0581</v>
      </c>
      <c r="J28">
        <v>115.30500000000001</v>
      </c>
      <c r="K28" t="str">
        <f>HYPERLINK("http://geossdi.dmp.wa.gov.au/NVCLDataServices/mosaic.html?datasetid=231faead-7072-4166-8a04-d5ce21f153c","Pepper 1_cuttings_Core Image")</f>
        <v>Pepper 1_cuttings_Core Image</v>
      </c>
    </row>
    <row r="29" spans="1:11" x14ac:dyDescent="0.25">
      <c r="A29" t="str">
        <f>HYPERLINK("http://www.corstruth.com.au/WA/Robert_Addams_1_cs.png","Robert Addams 1_A4")</f>
        <v>Robert Addams 1_A4</v>
      </c>
      <c r="B29" t="str">
        <f>HYPERLINK("http://www.corstruth.com.au/WA/PNG2/Robert_Addams_1_cs.png","Robert Addams 1_0.25m Bins")</f>
        <v>Robert Addams 1_0.25m Bins</v>
      </c>
      <c r="C29" t="str">
        <f>HYPERLINK("http://www.corstruth.com.au/WA/CSV/Robert_Addams_1.csv","Robert Addams 1_CSV File 1m Bins")</f>
        <v>Robert Addams 1_CSV File 1m Bins</v>
      </c>
      <c r="D29" t="s">
        <v>46</v>
      </c>
      <c r="E29" t="s">
        <v>1</v>
      </c>
      <c r="G29" t="s">
        <v>39</v>
      </c>
      <c r="H29" t="s">
        <v>47</v>
      </c>
      <c r="I29">
        <v>-20.4055</v>
      </c>
      <c r="J29">
        <v>115.1</v>
      </c>
    </row>
    <row r="30" spans="1:11" x14ac:dyDescent="0.25">
      <c r="A30" t="str">
        <f>HYPERLINK("http://www.corstruth.com.au/WA/Wonnich_1_cs.png","Wonnich 1_A4")</f>
        <v>Wonnich 1_A4</v>
      </c>
      <c r="B30" t="str">
        <f>HYPERLINK("http://www.corstruth.com.au/WA/PNG2/Wonnich_1_cs.png","Wonnich 1_0.25m Bins")</f>
        <v>Wonnich 1_0.25m Bins</v>
      </c>
      <c r="C30" t="str">
        <f>HYPERLINK("http://www.corstruth.com.au/WA/CSV/Wonnich_1.csv","Wonnich 1_CSV File 1m Bins")</f>
        <v>Wonnich 1_CSV File 1m Bins</v>
      </c>
      <c r="D30" t="s">
        <v>48</v>
      </c>
      <c r="E30" t="s">
        <v>1</v>
      </c>
      <c r="G30" t="s">
        <v>39</v>
      </c>
      <c r="H30" t="s">
        <v>49</v>
      </c>
      <c r="I30">
        <v>-20.499700000000001</v>
      </c>
      <c r="J30">
        <v>115.429</v>
      </c>
    </row>
    <row r="31" spans="1:11" x14ac:dyDescent="0.25">
      <c r="A31" t="str">
        <f>HYPERLINK("http://www.corstruth.com.au/WA/Wonnich_2_cs.png","Wonnich 2_A4")</f>
        <v>Wonnich 2_A4</v>
      </c>
      <c r="B31" t="str">
        <f>HYPERLINK("http://www.corstruth.com.au/WA/PNG2/Wonnich_2_cs.png","Wonnich 2_0.25m Bins")</f>
        <v>Wonnich 2_0.25m Bins</v>
      </c>
      <c r="C31" t="str">
        <f>HYPERLINK("http://www.corstruth.com.au/WA/CSV/Wonnich_2.csv","Wonnich 2_CSV File 1m Bins")</f>
        <v>Wonnich 2_CSV File 1m Bins</v>
      </c>
      <c r="D31" t="s">
        <v>50</v>
      </c>
      <c r="E31" t="s">
        <v>1</v>
      </c>
      <c r="G31" t="s">
        <v>39</v>
      </c>
      <c r="H31" t="s">
        <v>49</v>
      </c>
      <c r="I31">
        <v>-20.491499999999998</v>
      </c>
      <c r="J31">
        <v>115.443</v>
      </c>
    </row>
    <row r="32" spans="1:11" x14ac:dyDescent="0.25">
      <c r="A32" t="str">
        <f>HYPERLINK("http://www.corstruth.com.au/WA/OZD_0026_cs.png","OZD_0026_A4")</f>
        <v>OZD_0026_A4</v>
      </c>
      <c r="B32" t="str">
        <f>HYPERLINK("http://www.corstruth.com.au/WA/PNG2/OZD_0026_cs.png","OZD_0026_0.25m Bins")</f>
        <v>OZD_0026_0.25m Bins</v>
      </c>
      <c r="C32" t="str">
        <f>HYPERLINK("http://www.corstruth.com.au/WA/CSV/OZD_0026.csv","OZD_0026_CSV File 1m Bins")</f>
        <v>OZD_0026_CSV File 1m Bins</v>
      </c>
      <c r="D32" t="s">
        <v>51</v>
      </c>
      <c r="E32" t="s">
        <v>1</v>
      </c>
      <c r="G32" t="s">
        <v>52</v>
      </c>
      <c r="H32" t="s">
        <v>53</v>
      </c>
      <c r="I32">
        <v>-26.095600000000001</v>
      </c>
      <c r="J32">
        <v>127.721</v>
      </c>
      <c r="K32" t="str">
        <f>HYPERLINK("http://geossdi.dmp.wa.gov.au/NVCLDataServices/mosaic.html?datasetid=4182209d-d075-4d16-9fcb-0cd246d6f49","OZD_0026_Core Image")</f>
        <v>OZD_0026_Core Image</v>
      </c>
    </row>
    <row r="33" spans="1:11" x14ac:dyDescent="0.25">
      <c r="A33" t="str">
        <f>HYPERLINK("http://www.corstruth.com.au/WA/ETG0202_cs.png","ETG0202_A4")</f>
        <v>ETG0202_A4</v>
      </c>
      <c r="B33" t="str">
        <f>HYPERLINK("http://www.corstruth.com.au/WA/PNG2/ETG0202_cs.png","ETG0202_0.25m Bins")</f>
        <v>ETG0202_0.25m Bins</v>
      </c>
      <c r="C33" t="str">
        <f>HYPERLINK("http://www.corstruth.com.au/WA/CSV/ETG0202.csv","ETG0202_CSV File 1m Bins")</f>
        <v>ETG0202_CSV File 1m Bins</v>
      </c>
      <c r="D33" t="s">
        <v>54</v>
      </c>
      <c r="E33" t="s">
        <v>1</v>
      </c>
      <c r="G33" t="s">
        <v>55</v>
      </c>
      <c r="H33" t="s">
        <v>56</v>
      </c>
      <c r="I33">
        <v>-21.616299999999999</v>
      </c>
      <c r="J33">
        <v>121.95</v>
      </c>
    </row>
    <row r="34" spans="1:11" x14ac:dyDescent="0.25">
      <c r="A34" t="str">
        <f>HYPERLINK("http://www.corstruth.com.au/WA/ETG0203_cs.png","ETG0203_A4")</f>
        <v>ETG0203_A4</v>
      </c>
      <c r="B34" t="str">
        <f>HYPERLINK("http://www.corstruth.com.au/WA/PNG2/ETG0203_cs.png","ETG0203_0.25m Bins")</f>
        <v>ETG0203_0.25m Bins</v>
      </c>
      <c r="C34" t="str">
        <f>HYPERLINK("http://www.corstruth.com.au/WA/CSV/ETG0203.csv","ETG0203_CSV File 1m Bins")</f>
        <v>ETG0203_CSV File 1m Bins</v>
      </c>
      <c r="D34" t="s">
        <v>57</v>
      </c>
      <c r="E34" t="s">
        <v>1</v>
      </c>
      <c r="G34" t="s">
        <v>55</v>
      </c>
      <c r="H34" t="s">
        <v>56</v>
      </c>
      <c r="I34">
        <v>-21.623100000000001</v>
      </c>
      <c r="J34">
        <v>121.95699999999999</v>
      </c>
    </row>
    <row r="35" spans="1:11" x14ac:dyDescent="0.25">
      <c r="A35" t="str">
        <f>HYPERLINK("http://www.corstruth.com.au/WA/ETG0204_cs.png","ETG0204_A4")</f>
        <v>ETG0204_A4</v>
      </c>
      <c r="B35" t="str">
        <f>HYPERLINK("http://www.corstruth.com.au/WA/PNG2/ETG0204_cs.png","ETG0204_0.25m Bins")</f>
        <v>ETG0204_0.25m Bins</v>
      </c>
      <c r="C35" t="str">
        <f>HYPERLINK("http://www.corstruth.com.au/WA/CSV/ETG0204.csv","ETG0204_CSV File 1m Bins")</f>
        <v>ETG0204_CSV File 1m Bins</v>
      </c>
      <c r="D35" t="s">
        <v>58</v>
      </c>
      <c r="E35" t="s">
        <v>1</v>
      </c>
      <c r="G35" t="s">
        <v>55</v>
      </c>
      <c r="H35" t="s">
        <v>56</v>
      </c>
      <c r="I35">
        <v>-21.6266</v>
      </c>
      <c r="J35">
        <v>121.959</v>
      </c>
    </row>
    <row r="36" spans="1:11" x14ac:dyDescent="0.25">
      <c r="A36" t="str">
        <f>HYPERLINK("http://www.corstruth.com.au/WA/17NNMD001_cs.png","17NNMD001_A4")</f>
        <v>17NNMD001_A4</v>
      </c>
      <c r="B36" t="str">
        <f>HYPERLINK("http://www.corstruth.com.au/WA/PNG2/17NNMD001_cs.png","17NNMD001_0.25m Bins")</f>
        <v>17NNMD001_0.25m Bins</v>
      </c>
      <c r="C36" t="str">
        <f>HYPERLINK("http://www.corstruth.com.au/WA/CSV/17NNMD001.csv","17NNMD001_CSV File 1m Bins")</f>
        <v>17NNMD001_CSV File 1m Bins</v>
      </c>
      <c r="D36" t="s">
        <v>59</v>
      </c>
      <c r="E36" t="s">
        <v>1</v>
      </c>
      <c r="G36" t="s">
        <v>55</v>
      </c>
      <c r="H36" t="s">
        <v>60</v>
      </c>
      <c r="I36">
        <v>-21.669499999999999</v>
      </c>
      <c r="J36">
        <v>121.583</v>
      </c>
    </row>
    <row r="37" spans="1:11" x14ac:dyDescent="0.25">
      <c r="A37" t="str">
        <f>HYPERLINK("http://www.corstruth.com.au/WA/NUG0453_cs.png","NUG0453_A4")</f>
        <v>NUG0453_A4</v>
      </c>
      <c r="B37" t="str">
        <f>HYPERLINK("http://www.corstruth.com.au/WA/PNG2/NUG0453_cs.png","NUG0453_0.25m Bins")</f>
        <v>NUG0453_0.25m Bins</v>
      </c>
      <c r="C37" t="str">
        <f>HYPERLINK("http://www.corstruth.com.au/WA/CSV/NUG0453.csv","NUG0453_CSV File 1m Bins")</f>
        <v>NUG0453_CSV File 1m Bins</v>
      </c>
      <c r="D37" t="s">
        <v>59</v>
      </c>
      <c r="E37" t="s">
        <v>1</v>
      </c>
      <c r="G37" t="s">
        <v>55</v>
      </c>
      <c r="H37" t="s">
        <v>61</v>
      </c>
      <c r="I37">
        <v>-21.665099999999999</v>
      </c>
      <c r="J37">
        <v>121.577</v>
      </c>
      <c r="K37" t="str">
        <f>HYPERLINK("http://geossdi.dmp.wa.gov.au/NVCLDataServices/mosaic.html?datasetid=886305de-a64d-49bf-9a1f-572eb689542","NUG0453_Core Image")</f>
        <v>NUG0453_Core Image</v>
      </c>
    </row>
    <row r="38" spans="1:11" x14ac:dyDescent="0.25">
      <c r="A38" t="str">
        <f>HYPERLINK("http://www.corstruth.com.au/WA/NUG0467_cs.png","NUG0467_A4")</f>
        <v>NUG0467_A4</v>
      </c>
      <c r="B38" t="str">
        <f>HYPERLINK("http://www.corstruth.com.au/WA/PNG2/NUG0467_cs.png","NUG0467_0.25m Bins")</f>
        <v>NUG0467_0.25m Bins</v>
      </c>
      <c r="C38" t="str">
        <f>HYPERLINK("http://www.corstruth.com.au/WA/CSV/NUG0467.csv","NUG0467_CSV File 1m Bins")</f>
        <v>NUG0467_CSV File 1m Bins</v>
      </c>
      <c r="D38" t="s">
        <v>59</v>
      </c>
      <c r="E38" t="s">
        <v>1</v>
      </c>
      <c r="G38" t="s">
        <v>55</v>
      </c>
      <c r="H38" t="s">
        <v>61</v>
      </c>
      <c r="I38">
        <v>-21.6553</v>
      </c>
      <c r="J38">
        <v>121.569</v>
      </c>
      <c r="K38" t="str">
        <f>HYPERLINK("http://geossdi.dmp.wa.gov.au/NVCLDataServices/mosaic.html?datasetid=3df88021-41a7-4abf-bddd-3547f8e57b2","NUG0467_Core Image")</f>
        <v>NUG0467_Core Image</v>
      </c>
    </row>
    <row r="39" spans="1:11" x14ac:dyDescent="0.25">
      <c r="A39" t="str">
        <f>HYPERLINK("http://www.corstruth.com.au/WA/UGD063_cs.png","UGD063_A4")</f>
        <v>UGD063_A4</v>
      </c>
      <c r="B39" t="str">
        <f>HYPERLINK("http://www.corstruth.com.au/WA/PNG2/UGD063_cs.png","UGD063_0.25m Bins")</f>
        <v>UGD063_0.25m Bins</v>
      </c>
      <c r="C39" t="str">
        <f>HYPERLINK("http://www.corstruth.com.au/WA/CSV/UGD063.csv","UGD063_CSV File 1m Bins")</f>
        <v>UGD063_CSV File 1m Bins</v>
      </c>
      <c r="D39" t="s">
        <v>59</v>
      </c>
      <c r="E39" t="s">
        <v>1</v>
      </c>
      <c r="G39" t="s">
        <v>55</v>
      </c>
      <c r="H39" t="s">
        <v>61</v>
      </c>
      <c r="I39">
        <v>-21.662299999999998</v>
      </c>
      <c r="J39">
        <v>121.574</v>
      </c>
      <c r="K39" t="str">
        <f>HYPERLINK("http://geossdi.dmp.wa.gov.au/NVCLDataServices/mosaic.html?datasetid=fc961ea0-a585-4c0a-9269-148d35bc286","UGD063_Core Image")</f>
        <v>UGD063_Core Image</v>
      </c>
    </row>
    <row r="40" spans="1:11" x14ac:dyDescent="0.25">
      <c r="A40" t="str">
        <f>HYPERLINK("http://www.corstruth.com.au/WA/UGD288_cs.png","UGD288_A4")</f>
        <v>UGD288_A4</v>
      </c>
      <c r="B40" t="str">
        <f>HYPERLINK("http://www.corstruth.com.au/WA/PNG2/UGD288_cs.png","UGD288_0.25m Bins")</f>
        <v>UGD288_0.25m Bins</v>
      </c>
      <c r="C40" t="str">
        <f>HYPERLINK("http://www.corstruth.com.au/WA/CSV/UGD288.csv","UGD288_CSV File 1m Bins")</f>
        <v>UGD288_CSV File 1m Bins</v>
      </c>
      <c r="D40" t="s">
        <v>59</v>
      </c>
      <c r="E40" t="s">
        <v>1</v>
      </c>
      <c r="G40" t="s">
        <v>55</v>
      </c>
      <c r="H40" t="s">
        <v>61</v>
      </c>
      <c r="I40">
        <v>-21.662500000000001</v>
      </c>
      <c r="J40">
        <v>121.57299999999999</v>
      </c>
      <c r="K40" t="str">
        <f>HYPERLINK("http://geossdi.dmp.wa.gov.au/NVCLDataServices/mosaic.html?datasetid=67285368-cf5a-4c99-ba72-8cc9d59b27a","UGD288_Core Image")</f>
        <v>UGD288_Core Image</v>
      </c>
    </row>
    <row r="41" spans="1:11" x14ac:dyDescent="0.25">
      <c r="A41" t="str">
        <f>HYPERLINK("http://www.corstruth.com.au/WA/UGD297_cs.png","UGD297_A4")</f>
        <v>UGD297_A4</v>
      </c>
      <c r="B41" t="str">
        <f>HYPERLINK("http://www.corstruth.com.au/WA/PNG2/UGD297_cs.png","UGD297_0.25m Bins")</f>
        <v>UGD297_0.25m Bins</v>
      </c>
      <c r="C41" t="str">
        <f>HYPERLINK("http://www.corstruth.com.au/WA/CSV/UGD297.csv","UGD297_CSV File 1m Bins")</f>
        <v>UGD297_CSV File 1m Bins</v>
      </c>
      <c r="D41" t="s">
        <v>59</v>
      </c>
      <c r="E41" t="s">
        <v>1</v>
      </c>
      <c r="G41" t="s">
        <v>55</v>
      </c>
      <c r="H41" t="s">
        <v>61</v>
      </c>
      <c r="I41">
        <v>-21.662600000000001</v>
      </c>
      <c r="J41">
        <v>121.57299999999999</v>
      </c>
      <c r="K41" t="str">
        <f>HYPERLINK("http://geossdi.dmp.wa.gov.au/NVCLDataServices/mosaic.html?datasetid=6d96a39b-0b4b-4203-a46b-e026c9b3da5","UGD297_Core Image")</f>
        <v>UGD297_Core Image</v>
      </c>
    </row>
    <row r="42" spans="1:11" x14ac:dyDescent="0.25">
      <c r="A42" t="str">
        <f>HYPERLINK("http://www.corstruth.com.au/WA/UGD378_cs.png","UGD378_A4")</f>
        <v>UGD378_A4</v>
      </c>
      <c r="B42" t="str">
        <f>HYPERLINK("http://www.corstruth.com.au/WA/PNG2/UGD378_cs.png","UGD378_0.25m Bins")</f>
        <v>UGD378_0.25m Bins</v>
      </c>
      <c r="C42" t="str">
        <f>HYPERLINK("http://www.corstruth.com.au/WA/CSV/UGD378.csv","UGD378_CSV File 1m Bins")</f>
        <v>UGD378_CSV File 1m Bins</v>
      </c>
      <c r="D42" t="s">
        <v>59</v>
      </c>
      <c r="E42" t="s">
        <v>1</v>
      </c>
      <c r="G42" t="s">
        <v>55</v>
      </c>
      <c r="H42" t="s">
        <v>61</v>
      </c>
      <c r="I42">
        <v>-21.6617</v>
      </c>
      <c r="J42">
        <v>121.57599999999999</v>
      </c>
      <c r="K42" t="str">
        <f>HYPERLINK("http://geossdi.dmp.wa.gov.au/NVCLDataServices/mosaic.html?datasetid=c983c42b-4e5e-41af-913e-35336f8a26e","UGD378_Core Image")</f>
        <v>UGD378_Core Image</v>
      </c>
    </row>
    <row r="43" spans="1:11" x14ac:dyDescent="0.25">
      <c r="A43" t="str">
        <f>HYPERLINK("http://www.corstruth.com.au/WA/PADD001_cs.png","PADD001_A4")</f>
        <v>PADD001_A4</v>
      </c>
      <c r="B43" t="str">
        <f>HYPERLINK("http://www.corstruth.com.au/WA/PNG2/PADD001_cs.png","PADD001_0.25m Bins")</f>
        <v>PADD001_0.25m Bins</v>
      </c>
      <c r="C43" t="str">
        <f>HYPERLINK("http://www.corstruth.com.au/WA/CSV/PADD001.csv","PADD001_CSV File 1m Bins")</f>
        <v>PADD001_CSV File 1m Bins</v>
      </c>
      <c r="D43" t="s">
        <v>62</v>
      </c>
      <c r="E43" t="s">
        <v>1</v>
      </c>
      <c r="G43" t="s">
        <v>55</v>
      </c>
      <c r="H43" t="s">
        <v>63</v>
      </c>
      <c r="I43">
        <v>-22.270299999999999</v>
      </c>
      <c r="J43">
        <v>121.852</v>
      </c>
      <c r="K43" t="str">
        <f>HYPERLINK("http://geossdi.dmp.wa.gov.au/NVCLDataServices/mosaic.html?datasetid=d534fe10-1472-4468-90d5-428dd836b4c","PADD001_Core Image")</f>
        <v>PADD001_Core Image</v>
      </c>
    </row>
    <row r="44" spans="1:11" x14ac:dyDescent="0.25">
      <c r="A44" t="str">
        <f>HYPERLINK("http://www.corstruth.com.au/WA/ETG0201_cs.png","ETG0201_A4")</f>
        <v>ETG0201_A4</v>
      </c>
      <c r="B44" t="str">
        <f>HYPERLINK("http://www.corstruth.com.au/WA/PNG2/ETG0201_cs.png","ETG0201_0.25m Bins")</f>
        <v>ETG0201_0.25m Bins</v>
      </c>
      <c r="C44" t="str">
        <f>HYPERLINK("http://www.corstruth.com.au/WA/CSV/ETG0201.csv","ETG0201_CSV File 1m Bins")</f>
        <v>ETG0201_CSV File 1m Bins</v>
      </c>
      <c r="D44" t="s">
        <v>64</v>
      </c>
      <c r="E44" t="s">
        <v>1</v>
      </c>
      <c r="G44" t="s">
        <v>55</v>
      </c>
      <c r="H44" t="s">
        <v>65</v>
      </c>
      <c r="I44">
        <v>-21.603100000000001</v>
      </c>
      <c r="J44">
        <v>122.435</v>
      </c>
    </row>
    <row r="45" spans="1:11" x14ac:dyDescent="0.25">
      <c r="A45" t="str">
        <f>HYPERLINK("http://www.corstruth.com.au/WA/ETG0201A_cs.png","ETG0201A_A4")</f>
        <v>ETG0201A_A4</v>
      </c>
      <c r="B45" t="str">
        <f>HYPERLINK("http://www.corstruth.com.au/WA/PNG2/ETG0201A_cs.png","ETG0201A_0.25m Bins")</f>
        <v>ETG0201A_0.25m Bins</v>
      </c>
      <c r="C45" t="str">
        <f>HYPERLINK("http://www.corstruth.com.au/WA/CSV/ETG0201A.csv","ETG0201A_CSV File 1m Bins")</f>
        <v>ETG0201A_CSV File 1m Bins</v>
      </c>
      <c r="D45" t="s">
        <v>64</v>
      </c>
      <c r="E45" t="s">
        <v>1</v>
      </c>
      <c r="G45" t="s">
        <v>55</v>
      </c>
      <c r="H45" t="s">
        <v>65</v>
      </c>
      <c r="I45">
        <v>-21.603100000000001</v>
      </c>
      <c r="J45">
        <v>122.435</v>
      </c>
    </row>
    <row r="46" spans="1:11" x14ac:dyDescent="0.25">
      <c r="A46" t="str">
        <f>HYPERLINK("http://www.corstruth.com.au/WA/Cadda_1_cs.png","Cadda 1_A4")</f>
        <v>Cadda 1_A4</v>
      </c>
      <c r="B46" t="str">
        <f>HYPERLINK("http://www.corstruth.com.au/WA/PNG2/Cadda_1_cs.png","Cadda 1_0.25m Bins")</f>
        <v>Cadda 1_0.25m Bins</v>
      </c>
      <c r="C46" t="str">
        <f>HYPERLINK("http://www.corstruth.com.au/WA/CSV/Cadda_1.csv","Cadda 1_CSV File 1m Bins")</f>
        <v>Cadda 1_CSV File 1m Bins</v>
      </c>
      <c r="D46" t="s">
        <v>66</v>
      </c>
      <c r="E46" t="s">
        <v>1</v>
      </c>
      <c r="G46" t="s">
        <v>67</v>
      </c>
      <c r="H46" t="s">
        <v>68</v>
      </c>
      <c r="I46">
        <v>-30.336300000000001</v>
      </c>
      <c r="J46">
        <v>115.215</v>
      </c>
      <c r="K46" t="str">
        <f>HYPERLINK("http://geossdi.dmp.wa.gov.au/NVCLDataServices/mosaic.html?datasetid=bee72b8d-6a4f-4592-87bd-ba5deb5bdb2","Cadda 1_Core Image")</f>
        <v>Cadda 1_Core Image</v>
      </c>
    </row>
    <row r="47" spans="1:11" x14ac:dyDescent="0.25">
      <c r="A47" t="str">
        <f>HYPERLINK("http://www.corstruth.com.au/WA/Gingin_3_cs.png","Gingin 3_A4")</f>
        <v>Gingin 3_A4</v>
      </c>
      <c r="B47" t="str">
        <f>HYPERLINK("http://www.corstruth.com.au/WA/PNG2/Gingin_3_cs.png","Gingin 3_0.25m Bins")</f>
        <v>Gingin 3_0.25m Bins</v>
      </c>
      <c r="C47" t="str">
        <f>HYPERLINK("http://www.corstruth.com.au/WA/CSV/Gingin_3.csv","Gingin 3_CSV File 1m Bins")</f>
        <v>Gingin 3_CSV File 1m Bins</v>
      </c>
      <c r="D47" t="s">
        <v>69</v>
      </c>
      <c r="E47" t="s">
        <v>1</v>
      </c>
      <c r="G47" t="s">
        <v>70</v>
      </c>
      <c r="H47" t="s">
        <v>71</v>
      </c>
      <c r="I47">
        <v>-31.1538</v>
      </c>
      <c r="J47">
        <v>115.83199999999999</v>
      </c>
      <c r="K47" t="str">
        <f>HYPERLINK("http://geossdi.dmp.wa.gov.au/NVCLDataServices/mosaic.html?datasetid=8c71a4b3-558c-4e0a-b974-6880977163d","Gingin 3_Core Image")</f>
        <v>Gingin 3_Core Image</v>
      </c>
    </row>
    <row r="48" spans="1:11" x14ac:dyDescent="0.25">
      <c r="A48" t="str">
        <f>HYPERLINK("http://www.corstruth.com.au/WA/Badaminna_1_cs.png","Badaminna 1_A4")</f>
        <v>Badaminna 1_A4</v>
      </c>
      <c r="B48" t="str">
        <f>HYPERLINK("http://www.corstruth.com.au/WA/PNG2/Badaminna_1_cs.png","Badaminna 1_0.25m Bins")</f>
        <v>Badaminna 1_0.25m Bins</v>
      </c>
      <c r="C48" t="str">
        <f>HYPERLINK("http://www.corstruth.com.au/WA/CSV/Badaminna_1.csv","Badaminna 1_CSV File 1m Bins")</f>
        <v>Badaminna 1_CSV File 1m Bins</v>
      </c>
      <c r="D48" t="s">
        <v>72</v>
      </c>
      <c r="E48" t="s">
        <v>1</v>
      </c>
      <c r="G48" t="s">
        <v>73</v>
      </c>
      <c r="H48" t="s">
        <v>74</v>
      </c>
      <c r="I48">
        <v>-31.340699999999998</v>
      </c>
      <c r="J48">
        <v>115.669</v>
      </c>
      <c r="K48" t="str">
        <f>HYPERLINK("http://geossdi.dmp.wa.gov.au/NVCLDataServices/mosaic.html?datasetid=772256e7-e8b7-45c9-92a9-7ebe8d0d69f","Badaminna 1_Core Image")</f>
        <v>Badaminna 1_Core Image</v>
      </c>
    </row>
    <row r="49" spans="1:11" x14ac:dyDescent="0.25">
      <c r="A49" t="str">
        <f>HYPERLINK("http://www.corstruth.com.au/WA/Eneabba_1_cuttings_cs.png","Eneabba 1_cuttings_A4")</f>
        <v>Eneabba 1_cuttings_A4</v>
      </c>
      <c r="B49" t="str">
        <f>HYPERLINK("http://www.corstruth.com.au/WA/PNG2/Eneabba_1_cuttings_cs.png","Eneabba 1_cuttings_0.25m Bins")</f>
        <v>Eneabba 1_cuttings_0.25m Bins</v>
      </c>
      <c r="C49" t="str">
        <f>HYPERLINK("http://www.corstruth.com.au/WA/CSV/Eneabba_1_cuttings.csv","Eneabba 1_cuttings_CSV File 1m Bins")</f>
        <v>Eneabba 1_cuttings_CSV File 1m Bins</v>
      </c>
      <c r="D49" t="s">
        <v>75</v>
      </c>
      <c r="E49" t="s">
        <v>1</v>
      </c>
      <c r="G49" t="s">
        <v>73</v>
      </c>
      <c r="H49" t="s">
        <v>76</v>
      </c>
      <c r="I49">
        <v>-29.569299999999998</v>
      </c>
      <c r="J49">
        <v>115.334</v>
      </c>
      <c r="K49" t="str">
        <f>HYPERLINK("http://geossdi.dmp.wa.gov.au/NVCLDataServices/mosaic.html?datasetid=e8e32dba-563b-40a4-8087-f13030bafbe","Eneabba 1_cuttings_Core Image")</f>
        <v>Eneabba 1_cuttings_Core Image</v>
      </c>
    </row>
    <row r="50" spans="1:11" x14ac:dyDescent="0.25">
      <c r="A50" t="str">
        <f>HYPERLINK("http://www.corstruth.com.au/WA/Walyering_1_cs.png","Walyering 1_A4")</f>
        <v>Walyering 1_A4</v>
      </c>
      <c r="B50" t="str">
        <f>HYPERLINK("http://www.corstruth.com.au/WA/PNG2/Walyering_1_cs.png","Walyering 1_0.25m Bins")</f>
        <v>Walyering 1_0.25m Bins</v>
      </c>
      <c r="C50" t="str">
        <f>HYPERLINK("http://www.corstruth.com.au/WA/CSV/Walyering_1.csv","Walyering 1_CSV File 1m Bins")</f>
        <v>Walyering 1_CSV File 1m Bins</v>
      </c>
      <c r="D50" t="s">
        <v>77</v>
      </c>
      <c r="E50" t="s">
        <v>1</v>
      </c>
      <c r="G50" t="s">
        <v>73</v>
      </c>
      <c r="H50" t="s">
        <v>78</v>
      </c>
      <c r="I50">
        <v>-30.714600000000001</v>
      </c>
      <c r="J50">
        <v>115.467</v>
      </c>
      <c r="K50" t="str">
        <f>HYPERLINK("http://geossdi.dmp.wa.gov.au/NVCLDataServices/mosaic.html?datasetid=cd4fce65-3c36-4037-babf-d5d4de033c8","Walyering 1_Core Image")</f>
        <v>Walyering 1_Core Image</v>
      </c>
    </row>
    <row r="51" spans="1:11" x14ac:dyDescent="0.25">
      <c r="A51" t="str">
        <f>HYPERLINK("http://www.corstruth.com.au/WA/Walyering_2_cs.png","Walyering 2_A4")</f>
        <v>Walyering 2_A4</v>
      </c>
      <c r="B51" t="str">
        <f>HYPERLINK("http://www.corstruth.com.au/WA/PNG2/Walyering_2_cs.png","Walyering 2_0.25m Bins")</f>
        <v>Walyering 2_0.25m Bins</v>
      </c>
      <c r="C51" t="str">
        <f>HYPERLINK("http://www.corstruth.com.au/WA/CSV/Walyering_2.csv","Walyering 2_CSV File 1m Bins")</f>
        <v>Walyering 2_CSV File 1m Bins</v>
      </c>
      <c r="D51" t="s">
        <v>79</v>
      </c>
      <c r="E51" t="s">
        <v>1</v>
      </c>
      <c r="G51" t="s">
        <v>73</v>
      </c>
      <c r="H51" t="s">
        <v>78</v>
      </c>
      <c r="I51">
        <v>-30.702100000000002</v>
      </c>
      <c r="J51">
        <v>115.47499999999999</v>
      </c>
      <c r="K51" t="str">
        <f>HYPERLINK("http://geossdi.dmp.wa.gov.au/NVCLDataServices/mosaic.html?datasetid=47687b29-3083-42b2-b431-f0b34265e30","Walyering 2_Core Image")</f>
        <v>Walyering 2_Core Image</v>
      </c>
    </row>
    <row r="52" spans="1:11" x14ac:dyDescent="0.25">
      <c r="A52" t="str">
        <f>HYPERLINK("http://www.corstruth.com.au/WA/Walyering_3_cs.png","Walyering 3_A4")</f>
        <v>Walyering 3_A4</v>
      </c>
      <c r="B52" t="str">
        <f>HYPERLINK("http://www.corstruth.com.au/WA/PNG2/Walyering_3_cs.png","Walyering 3_0.25m Bins")</f>
        <v>Walyering 3_0.25m Bins</v>
      </c>
      <c r="C52" t="str">
        <f>HYPERLINK("http://www.corstruth.com.au/WA/CSV/Walyering_3.csv","Walyering 3_CSV File 1m Bins")</f>
        <v>Walyering 3_CSV File 1m Bins</v>
      </c>
      <c r="D52" t="s">
        <v>80</v>
      </c>
      <c r="E52" t="s">
        <v>1</v>
      </c>
      <c r="G52" t="s">
        <v>73</v>
      </c>
      <c r="H52" t="s">
        <v>78</v>
      </c>
      <c r="I52">
        <v>-30.733499999999999</v>
      </c>
      <c r="J52">
        <v>115.496</v>
      </c>
      <c r="K52" t="str">
        <f>HYPERLINK("http://geossdi.dmp.wa.gov.au/NVCLDataServices/mosaic.html?datasetid=2dee6063-eaa2-40d9-a0b1-d515222d1e2","Walyering 3_Core Image")</f>
        <v>Walyering 3_Core Image</v>
      </c>
    </row>
    <row r="53" spans="1:11" x14ac:dyDescent="0.25">
      <c r="A53" t="str">
        <f>HYPERLINK("http://www.corstruth.com.au/WA/Warro_2_cs.png","Warro 2_A4")</f>
        <v>Warro 2_A4</v>
      </c>
      <c r="B53" t="str">
        <f>HYPERLINK("http://www.corstruth.com.au/WA/PNG2/Warro_2_cs.png","Warro 2_0.25m Bins")</f>
        <v>Warro 2_0.25m Bins</v>
      </c>
      <c r="C53" t="str">
        <f>HYPERLINK("http://www.corstruth.com.au/WA/CSV/Warro_2.csv","Warro 2_CSV File 1m Bins")</f>
        <v>Warro 2_CSV File 1m Bins</v>
      </c>
      <c r="D53" t="s">
        <v>81</v>
      </c>
      <c r="E53" t="s">
        <v>1</v>
      </c>
      <c r="G53" t="s">
        <v>73</v>
      </c>
      <c r="H53" t="s">
        <v>82</v>
      </c>
      <c r="I53">
        <v>-30.166799999999999</v>
      </c>
      <c r="J53">
        <v>115.736</v>
      </c>
      <c r="K53" t="str">
        <f>HYPERLINK("http://geossdi.dmp.wa.gov.au/NVCLDataServices/mosaic.html?datasetid=7d4a0eee-8c1f-4bf6-95c8-97420d72bfc","Warro 2_Core Image")</f>
        <v>Warro 2_Core Image</v>
      </c>
    </row>
    <row r="54" spans="1:11" x14ac:dyDescent="0.25">
      <c r="A54" t="str">
        <f>HYPERLINK("http://www.corstruth.com.au/WA/Wolf_1_cuttings_cs.png","Wolf 1_cuttings_A4")</f>
        <v>Wolf 1_cuttings_A4</v>
      </c>
      <c r="B54" t="str">
        <f>HYPERLINK("http://www.corstruth.com.au/WA/PNG2/Wolf_1_cuttings_cs.png","Wolf 1_cuttings_0.25m Bins")</f>
        <v>Wolf 1_cuttings_0.25m Bins</v>
      </c>
      <c r="C54" t="str">
        <f>HYPERLINK("http://www.corstruth.com.au/WA/CSV/Wolf_1_cuttings.csv","Wolf 1_cuttings_CSV File 1m Bins")</f>
        <v>Wolf 1_cuttings_CSV File 1m Bins</v>
      </c>
      <c r="D54" t="s">
        <v>83</v>
      </c>
      <c r="E54" t="s">
        <v>1</v>
      </c>
      <c r="G54" t="s">
        <v>73</v>
      </c>
      <c r="H54" t="s">
        <v>84</v>
      </c>
      <c r="I54">
        <v>-29.483799999999999</v>
      </c>
      <c r="J54">
        <v>115.163</v>
      </c>
      <c r="K54" t="str">
        <f>HYPERLINK("http://geossdi.dmp.wa.gov.au/NVCLDataServices/mosaic.html?datasetid=0ba7e9ba-986e-475a-92f3-cc0440b013a","Wolf 1_cuttings_Core Image")</f>
        <v>Wolf 1_cuttings_Core Image</v>
      </c>
    </row>
    <row r="55" spans="1:11" x14ac:dyDescent="0.25">
      <c r="A55" t="str">
        <f>HYPERLINK("http://www.corstruth.com.au/WA/Dirk_Hartog_17B_cs.png","Dirk Hartog 17B_A4")</f>
        <v>Dirk Hartog 17B_A4</v>
      </c>
      <c r="B55" t="str">
        <f>HYPERLINK("http://www.corstruth.com.au/WA/PNG2/Dirk_Hartog_17B_cs.png","Dirk Hartog 17B_0.25m Bins")</f>
        <v>Dirk Hartog 17B_0.25m Bins</v>
      </c>
      <c r="C55" t="str">
        <f>HYPERLINK("http://www.corstruth.com.au/WA/CSV/Dirk_Hartog_17B.csv","Dirk Hartog 17B_CSV File 1m Bins")</f>
        <v>Dirk Hartog 17B_CSV File 1m Bins</v>
      </c>
      <c r="D55" t="s">
        <v>85</v>
      </c>
      <c r="E55" t="s">
        <v>1</v>
      </c>
      <c r="G55" t="s">
        <v>86</v>
      </c>
      <c r="H55" t="s">
        <v>87</v>
      </c>
      <c r="I55">
        <v>-25.8674</v>
      </c>
      <c r="J55">
        <v>113.08</v>
      </c>
      <c r="K55" t="str">
        <f>HYPERLINK("http://geossdi.dmp.wa.gov.au/NVCLDataServices/mosaic.html?datasetid=1193a8e0-b2ec-498a-a22b-0f0587cb23f","Dirk Hartog 17B_Core Image")</f>
        <v>Dirk Hartog 17B_Core Image</v>
      </c>
    </row>
    <row r="56" spans="1:11" x14ac:dyDescent="0.25">
      <c r="A56" t="str">
        <f>HYPERLINK("http://www.corstruth.com.au/WA/GSWA_Barrabiddy_1A_cs.png","GSWA Barrabiddy 1A_A4")</f>
        <v>GSWA Barrabiddy 1A_A4</v>
      </c>
      <c r="B56" t="str">
        <f>HYPERLINK("http://www.corstruth.com.au/WA/PNG2/GSWA_Barrabiddy_1A_cs.png","GSWA Barrabiddy 1A_0.25m Bins")</f>
        <v>GSWA Barrabiddy 1A_0.25m Bins</v>
      </c>
      <c r="C56" t="str">
        <f>HYPERLINK("http://www.corstruth.com.au/WA/CSV/GSWA_Barrabiddy_1A.csv","GSWA Barrabiddy 1A_CSV File 1m Bins")</f>
        <v>GSWA Barrabiddy 1A_CSV File 1m Bins</v>
      </c>
      <c r="D56" t="s">
        <v>88</v>
      </c>
      <c r="E56" t="s">
        <v>1</v>
      </c>
      <c r="G56" t="s">
        <v>86</v>
      </c>
      <c r="H56" t="s">
        <v>89</v>
      </c>
      <c r="I56">
        <v>-23.831199999999999</v>
      </c>
      <c r="J56">
        <v>114.33499999999999</v>
      </c>
      <c r="K56" t="str">
        <f>HYPERLINK("http://geossdi.dmp.wa.gov.au/NVCLDataServices/mosaic.html?datasetid=fc5bd95b-55ce-40e3-807a-e5b98c10835","GSWA Barrabiddy 1A_Core Image")</f>
        <v>GSWA Barrabiddy 1A_Core Image</v>
      </c>
    </row>
    <row r="57" spans="1:11" x14ac:dyDescent="0.25">
      <c r="A57" t="str">
        <f>HYPERLINK("http://www.corstruth.com.au/WA/Hamelin_Pool_1_(M188)_cs.png","Hamelin Pool 1 (M188)_A4")</f>
        <v>Hamelin Pool 1 (M188)_A4</v>
      </c>
      <c r="B57" t="str">
        <f>HYPERLINK("http://www.corstruth.com.au/WA/PNG2/Hamelin_Pool_1_(M188)_cs.png","Hamelin Pool 1 (M188)_0.25m Bins")</f>
        <v>Hamelin Pool 1 (M188)_0.25m Bins</v>
      </c>
      <c r="C57" t="str">
        <f>HYPERLINK("http://www.corstruth.com.au/WA/CSV/Hamelin_Pool_1_(M188).csv","Hamelin Pool 1 (M188)_CSV File 1m Bins")</f>
        <v>Hamelin Pool 1 (M188)_CSV File 1m Bins</v>
      </c>
      <c r="D57" t="s">
        <v>90</v>
      </c>
      <c r="E57" t="s">
        <v>1</v>
      </c>
      <c r="G57" t="s">
        <v>86</v>
      </c>
      <c r="H57" t="s">
        <v>91</v>
      </c>
      <c r="I57">
        <v>-26.025300000000001</v>
      </c>
      <c r="J57">
        <v>114.208</v>
      </c>
      <c r="K57" t="str">
        <f>HYPERLINK("http://geossdi.dmp.wa.gov.au/NVCLDataServices/mosaic.html?datasetid=4c63484e-7355-4a6b-88fa-ba7097b120f","Hamelin Pool 1 (M188)_Core Image")</f>
        <v>Hamelin Pool 1 (M188)_Core Image</v>
      </c>
    </row>
    <row r="58" spans="1:11" x14ac:dyDescent="0.25">
      <c r="A58" t="str">
        <f>HYPERLINK("http://www.corstruth.com.au/WA/Hamelin_Pool_2_(M188)_cs.png","Hamelin Pool 2 (M188)_A4")</f>
        <v>Hamelin Pool 2 (M188)_A4</v>
      </c>
      <c r="B58" t="str">
        <f>HYPERLINK("http://www.corstruth.com.au/WA/PNG2/Hamelin_Pool_2_(M188)_cs.png","Hamelin Pool 2 (M188)_0.25m Bins")</f>
        <v>Hamelin Pool 2 (M188)_0.25m Bins</v>
      </c>
      <c r="C58" t="str">
        <f>HYPERLINK("http://www.corstruth.com.au/WA/CSV/Hamelin_Pool_2_(M188).csv","Hamelin Pool 2 (M188)_CSV File 1m Bins")</f>
        <v>Hamelin Pool 2 (M188)_CSV File 1m Bins</v>
      </c>
      <c r="D58" t="s">
        <v>92</v>
      </c>
      <c r="E58" t="s">
        <v>1</v>
      </c>
      <c r="G58" t="s">
        <v>86</v>
      </c>
      <c r="H58" t="s">
        <v>91</v>
      </c>
      <c r="I58">
        <v>-26.148599999999998</v>
      </c>
      <c r="J58">
        <v>114.357</v>
      </c>
      <c r="K58" t="str">
        <f>HYPERLINK("http://geossdi.dmp.wa.gov.au/NVCLDataServices/mosaic.html?datasetid=ae54c0d0-7224-4acd-a2f8-b3b8826431a","Hamelin Pool 2 (M188)_Core Image")</f>
        <v>Hamelin Pool 2 (M188)_Core Image</v>
      </c>
    </row>
    <row r="59" spans="1:11" x14ac:dyDescent="0.25">
      <c r="A59" t="str">
        <f>HYPERLINK("http://www.corstruth.com.au/WA/Quobba_1_cs.png","Quobba 1_A4")</f>
        <v>Quobba 1_A4</v>
      </c>
      <c r="B59" t="str">
        <f>HYPERLINK("http://www.corstruth.com.au/WA/PNG2/Quobba_1_cs.png","Quobba 1_0.25m Bins")</f>
        <v>Quobba 1_0.25m Bins</v>
      </c>
      <c r="C59" t="str">
        <f>HYPERLINK("http://www.corstruth.com.au/WA/CSV/Quobba_1.csv","Quobba 1_CSV File 1m Bins")</f>
        <v>Quobba 1_CSV File 1m Bins</v>
      </c>
      <c r="D59" t="s">
        <v>93</v>
      </c>
      <c r="E59" t="s">
        <v>1</v>
      </c>
      <c r="G59" t="s">
        <v>86</v>
      </c>
      <c r="H59" t="s">
        <v>94</v>
      </c>
      <c r="I59">
        <v>-24.3445</v>
      </c>
      <c r="J59">
        <v>113.437</v>
      </c>
      <c r="K59" t="str">
        <f>HYPERLINK("http://geossdi.dmp.wa.gov.au/NVCLDataServices/mosaic.html?datasetid=22ea0171-0371-44ec-9010-4dea34bf43b","Quobba 1_Core Image")</f>
        <v>Quobba 1_Core Image</v>
      </c>
    </row>
    <row r="60" spans="1:11" x14ac:dyDescent="0.25">
      <c r="A60" t="str">
        <f>HYPERLINK("http://www.corstruth.com.au/WA/Rough_Range_01_cs.png","Rough Range 01_A4")</f>
        <v>Rough Range 01_A4</v>
      </c>
      <c r="B60" t="str">
        <f>HYPERLINK("http://www.corstruth.com.au/WA/PNG2/Rough_Range_01_cs.png","Rough Range 01_0.25m Bins")</f>
        <v>Rough Range 01_0.25m Bins</v>
      </c>
      <c r="C60" t="str">
        <f>HYPERLINK("http://www.corstruth.com.au/WA/CSV/Rough_Range_01.csv","Rough Range 01_CSV File 1m Bins")</f>
        <v>Rough Range 01_CSV File 1m Bins</v>
      </c>
      <c r="D60" t="s">
        <v>95</v>
      </c>
      <c r="E60" t="s">
        <v>1</v>
      </c>
      <c r="G60" t="s">
        <v>86</v>
      </c>
      <c r="H60" t="s">
        <v>96</v>
      </c>
      <c r="I60">
        <v>-22.4176</v>
      </c>
      <c r="J60">
        <v>114.083</v>
      </c>
      <c r="K60" t="str">
        <f>HYPERLINK("http://geossdi.dmp.wa.gov.au/NVCLDataServices/mosaic.html?datasetid=d3269245-e4f3-4f3e-9f34-a3f375104fc","Rough Range 01_Core Image")</f>
        <v>Rough Range 01_Core Image</v>
      </c>
    </row>
    <row r="61" spans="1:11" x14ac:dyDescent="0.25">
      <c r="A61" t="str">
        <f>HYPERLINK("http://www.corstruth.com.au/WA/Tamala_1_cs.png","Tamala 1_A4")</f>
        <v>Tamala 1_A4</v>
      </c>
      <c r="B61" t="str">
        <f>HYPERLINK("http://www.corstruth.com.au/WA/PNG2/Tamala_1_cs.png","Tamala 1_0.25m Bins")</f>
        <v>Tamala 1_0.25m Bins</v>
      </c>
      <c r="C61" t="str">
        <f>HYPERLINK("http://www.corstruth.com.au/WA/CSV/Tamala_1.csv","Tamala 1_CSV File 1m Bins")</f>
        <v>Tamala 1_CSV File 1m Bins</v>
      </c>
      <c r="D61" t="s">
        <v>97</v>
      </c>
      <c r="E61" t="s">
        <v>1</v>
      </c>
      <c r="G61" t="s">
        <v>86</v>
      </c>
      <c r="H61" t="s">
        <v>98</v>
      </c>
      <c r="I61">
        <v>-26.645499999999998</v>
      </c>
      <c r="J61">
        <v>113.636</v>
      </c>
      <c r="K61" t="str">
        <f>HYPERLINK("http://geossdi.dmp.wa.gov.au/NVCLDataServices/mosaic.html?datasetid=01cfc34a-bd8c-4520-afff-3ab8682ef70","Tamala 1_Core Image")</f>
        <v>Tamala 1_Core Image</v>
      </c>
    </row>
    <row r="62" spans="1:11" x14ac:dyDescent="0.25">
      <c r="A62" t="str">
        <f>HYPERLINK("http://www.corstruth.com.au/WA/Wandagee_1_cs.png","Wandagee 1_A4")</f>
        <v>Wandagee 1_A4</v>
      </c>
      <c r="B62" t="str">
        <f>HYPERLINK("http://www.corstruth.com.au/WA/PNG2/Wandagee_1_cs.png","Wandagee 1_0.25m Bins")</f>
        <v>Wandagee 1_0.25m Bins</v>
      </c>
      <c r="C62" t="str">
        <f>HYPERLINK("http://www.corstruth.com.au/WA/CSV/Wandagee_1.csv","Wandagee 1_CSV File 1m Bins")</f>
        <v>Wandagee 1_CSV File 1m Bins</v>
      </c>
      <c r="D62" t="s">
        <v>99</v>
      </c>
      <c r="E62" t="s">
        <v>1</v>
      </c>
      <c r="G62" t="s">
        <v>86</v>
      </c>
      <c r="H62" t="s">
        <v>100</v>
      </c>
      <c r="I62">
        <v>-23.8889</v>
      </c>
      <c r="J62">
        <v>114.399</v>
      </c>
      <c r="K62" t="str">
        <f>HYPERLINK("http://geossdi.dmp.wa.gov.au/NVCLDataServices/mosaic.html?datasetid=68491f13-888e-4257-b819-c19816f70ca","Wandagee 1_Core Image")</f>
        <v>Wandagee 1_Core Image</v>
      </c>
    </row>
    <row r="63" spans="1:11" x14ac:dyDescent="0.25">
      <c r="A63" t="str">
        <f>HYPERLINK("http://www.corstruth.com.au/WA/Wandagee_Corehole_1_cs.png","Wandagee Corehole 1_A4")</f>
        <v>Wandagee Corehole 1_A4</v>
      </c>
      <c r="B63" t="str">
        <f>HYPERLINK("http://www.corstruth.com.au/WA/PNG2/Wandagee_Corehole_1_cs.png","Wandagee Corehole 1_0.25m Bins")</f>
        <v>Wandagee Corehole 1_0.25m Bins</v>
      </c>
      <c r="C63" t="str">
        <f>HYPERLINK("http://www.corstruth.com.au/WA/CSV/Wandagee_Corehole_1.csv","Wandagee Corehole 1_CSV File 1m Bins")</f>
        <v>Wandagee Corehole 1_CSV File 1m Bins</v>
      </c>
      <c r="D63" t="s">
        <v>101</v>
      </c>
      <c r="E63" t="s">
        <v>1</v>
      </c>
      <c r="G63" t="s">
        <v>86</v>
      </c>
      <c r="H63" t="s">
        <v>100</v>
      </c>
      <c r="I63">
        <v>-23.8889</v>
      </c>
      <c r="J63">
        <v>114.399</v>
      </c>
      <c r="K63" t="str">
        <f>HYPERLINK("http://geossdi.dmp.wa.gov.au/NVCLDataServices/mosaic.html?datasetid=aaf29980-f4ed-42f1-a6b5-6701731b7e3","Wandagee Corehole 1_Core Image")</f>
        <v>Wandagee Corehole 1_Core Image</v>
      </c>
    </row>
    <row r="64" spans="1:11" x14ac:dyDescent="0.25">
      <c r="A64" t="str">
        <f>HYPERLINK("http://www.corstruth.com.au/WA/Yaringa_East_1_cs.png","Yaringa East 1_A4")</f>
        <v>Yaringa East 1_A4</v>
      </c>
      <c r="B64" t="str">
        <f>HYPERLINK("http://www.corstruth.com.au/WA/PNG2/Yaringa_East_1_cs.png","Yaringa East 1_0.25m Bins")</f>
        <v>Yaringa East 1_0.25m Bins</v>
      </c>
      <c r="C64" t="str">
        <f>HYPERLINK("http://www.corstruth.com.au/WA/CSV/Yaringa_East_1.csv","Yaringa East 1_CSV File 1m Bins")</f>
        <v>Yaringa East 1_CSV File 1m Bins</v>
      </c>
      <c r="D64" t="s">
        <v>102</v>
      </c>
      <c r="E64" t="s">
        <v>1</v>
      </c>
      <c r="G64" t="s">
        <v>86</v>
      </c>
      <c r="H64" t="s">
        <v>103</v>
      </c>
      <c r="I64">
        <v>-25.8935</v>
      </c>
      <c r="J64">
        <v>114.392</v>
      </c>
      <c r="K64" t="str">
        <f>HYPERLINK("http://geossdi.dmp.wa.gov.au/NVCLDataServices/mosaic.html?datasetid=ef10ff46-ccdb-48d4-8316-a657d22df6d","Yaringa East 1_Core Image")</f>
        <v>Yaringa East 1_Core Image</v>
      </c>
    </row>
    <row r="65" spans="1:11" x14ac:dyDescent="0.25">
      <c r="A65" t="str">
        <f>HYPERLINK("http://www.corstruth.com.au/WA/Yaringa_1_cs.png","Yaringa 1_A4")</f>
        <v>Yaringa 1_A4</v>
      </c>
      <c r="B65" t="str">
        <f>HYPERLINK("http://www.corstruth.com.au/WA/PNG2/Yaringa_1_cs.png","Yaringa 1_0.25m Bins")</f>
        <v>Yaringa 1_0.25m Bins</v>
      </c>
      <c r="C65" t="str">
        <f>HYPERLINK("http://www.corstruth.com.au/WA/CSV/Yaringa_1.csv","Yaringa 1_CSV File 1m Bins")</f>
        <v>Yaringa 1_CSV File 1m Bins</v>
      </c>
      <c r="D65" t="s">
        <v>104</v>
      </c>
      <c r="E65" t="s">
        <v>1</v>
      </c>
      <c r="G65" t="s">
        <v>86</v>
      </c>
      <c r="H65" t="s">
        <v>105</v>
      </c>
      <c r="I65">
        <v>-26.064900000000002</v>
      </c>
      <c r="J65">
        <v>114.361</v>
      </c>
      <c r="K65" t="str">
        <f>HYPERLINK("http://geossdi.dmp.wa.gov.au/NVCLDataServices/mosaic.html?datasetid=eb3ad7f5-87b2-40ef-bc37-d088747b57c","Yaringa 1_Core Image")</f>
        <v>Yaringa 1_Core Image</v>
      </c>
    </row>
    <row r="66" spans="1:11" x14ac:dyDescent="0.25">
      <c r="A66" t="str">
        <f>HYPERLINK("http://www.corstruth.com.au/WA/GSWA_Gneudna_1A_cs.png","GSWA Gneudna 1A_A4")</f>
        <v>GSWA Gneudna 1A_A4</v>
      </c>
      <c r="B66" t="str">
        <f>HYPERLINK("http://www.corstruth.com.au/WA/PNG2/GSWA_Gneudna_1A_cs.png","GSWA Gneudna 1A_0.25m Bins")</f>
        <v>GSWA Gneudna 1A_0.25m Bins</v>
      </c>
      <c r="C66" t="str">
        <f>HYPERLINK("http://www.corstruth.com.au/WA/CSV/GSWA_Gneudna_1A.csv","GSWA Gneudna 1A_CSV File 1m Bins")</f>
        <v>GSWA Gneudna 1A_CSV File 1m Bins</v>
      </c>
      <c r="D66" t="s">
        <v>106</v>
      </c>
      <c r="E66" t="s">
        <v>1</v>
      </c>
      <c r="G66" t="s">
        <v>107</v>
      </c>
      <c r="H66" t="s">
        <v>108</v>
      </c>
      <c r="I66">
        <v>-23.971499999999999</v>
      </c>
      <c r="J66">
        <v>115.218</v>
      </c>
      <c r="K66" t="str">
        <f>HYPERLINK("http://geossdi.dmp.wa.gov.au/NVCLDataServices/mosaic.html?datasetid=1214326d-d160-43cc-b220-310e2042df9","GSWA Gneudna 1A_Core Image")</f>
        <v>GSWA Gneudna 1A_Core Image</v>
      </c>
    </row>
    <row r="67" spans="1:11" x14ac:dyDescent="0.25">
      <c r="A67" t="str">
        <f>HYPERLINK("http://www.corstruth.com.au/WA/20MODD003_cs.png","20MODD003_A4")</f>
        <v>20MODD003_A4</v>
      </c>
      <c r="B67" t="str">
        <f>HYPERLINK("http://www.corstruth.com.au/WA/PNG2/20MODD003_cs.png","20MODD003_0.25m Bins")</f>
        <v>20MODD003_0.25m Bins</v>
      </c>
      <c r="C67" t="str">
        <f>HYPERLINK("http://www.corstruth.com.au/WA/CSV/20MODD003.csv","20MODD003_CSV File 1m Bins")</f>
        <v>20MODD003_CSV File 1m Bins</v>
      </c>
      <c r="D67" t="s">
        <v>109</v>
      </c>
      <c r="E67" t="s">
        <v>1</v>
      </c>
      <c r="G67" t="s">
        <v>110</v>
      </c>
      <c r="H67" t="s">
        <v>111</v>
      </c>
      <c r="I67">
        <v>-27.699100000000001</v>
      </c>
      <c r="J67">
        <v>117.831</v>
      </c>
    </row>
    <row r="68" spans="1:11" x14ac:dyDescent="0.25">
      <c r="A68" t="str">
        <f>HYPERLINK("http://www.corstruth.com.au/WA/20MODD011_cs.png","20MODD011_A4")</f>
        <v>20MODD011_A4</v>
      </c>
      <c r="B68" t="str">
        <f>HYPERLINK("http://www.corstruth.com.au/WA/PNG2/20MODD011_cs.png","20MODD011_0.25m Bins")</f>
        <v>20MODD011_0.25m Bins</v>
      </c>
      <c r="C68" t="str">
        <f>HYPERLINK("http://www.corstruth.com.au/WA/CSV/20MODD011.csv","20MODD011_CSV File 1m Bins")</f>
        <v>20MODD011_CSV File 1m Bins</v>
      </c>
      <c r="D68" t="s">
        <v>112</v>
      </c>
      <c r="E68" t="s">
        <v>1</v>
      </c>
      <c r="G68" t="s">
        <v>110</v>
      </c>
      <c r="H68" t="s">
        <v>111</v>
      </c>
      <c r="I68">
        <v>-27.6995</v>
      </c>
      <c r="J68">
        <v>117.83</v>
      </c>
    </row>
    <row r="69" spans="1:11" x14ac:dyDescent="0.25">
      <c r="A69" t="str">
        <f>HYPERLINK("http://www.corstruth.com.au/WA/20MODD014_cs.png","20MODD014_A4")</f>
        <v>20MODD014_A4</v>
      </c>
      <c r="B69" t="str">
        <f>HYPERLINK("http://www.corstruth.com.au/WA/PNG2/20MODD014_cs.png","20MODD014_0.25m Bins")</f>
        <v>20MODD014_0.25m Bins</v>
      </c>
      <c r="C69" t="str">
        <f>HYPERLINK("http://www.corstruth.com.au/WA/CSV/20MODD014.csv","20MODD014_CSV File 1m Bins")</f>
        <v>20MODD014_CSV File 1m Bins</v>
      </c>
      <c r="D69" t="s">
        <v>113</v>
      </c>
      <c r="E69" t="s">
        <v>1</v>
      </c>
      <c r="G69" t="s">
        <v>110</v>
      </c>
      <c r="H69" t="s">
        <v>111</v>
      </c>
      <c r="I69">
        <v>-27.6997</v>
      </c>
      <c r="J69">
        <v>117.831</v>
      </c>
    </row>
    <row r="70" spans="1:11" x14ac:dyDescent="0.25">
      <c r="A70" t="str">
        <f>HYPERLINK("http://www.corstruth.com.au/WA/20MODD017_cs.png","20MODD017_A4")</f>
        <v>20MODD017_A4</v>
      </c>
      <c r="B70" t="str">
        <f>HYPERLINK("http://www.corstruth.com.au/WA/PNG2/20MODD017_cs.png","20MODD017_0.25m Bins")</f>
        <v>20MODD017_0.25m Bins</v>
      </c>
      <c r="C70" t="str">
        <f>HYPERLINK("http://www.corstruth.com.au/WA/CSV/20MODD017.csv","20MODD017_CSV File 1m Bins")</f>
        <v>20MODD017_CSV File 1m Bins</v>
      </c>
      <c r="D70" t="s">
        <v>114</v>
      </c>
      <c r="E70" t="s">
        <v>1</v>
      </c>
      <c r="G70" t="s">
        <v>110</v>
      </c>
      <c r="H70" t="s">
        <v>111</v>
      </c>
      <c r="I70">
        <v>-27.6998</v>
      </c>
      <c r="J70">
        <v>117.83</v>
      </c>
    </row>
    <row r="71" spans="1:11" x14ac:dyDescent="0.25">
      <c r="A71" t="str">
        <f>HYPERLINK("http://www.corstruth.com.au/WA/20MODD018_cs.png","20MODD018_A4")</f>
        <v>20MODD018_A4</v>
      </c>
      <c r="B71" t="str">
        <f>HYPERLINK("http://www.corstruth.com.au/WA/PNG2/20MODD018_cs.png","20MODD018_0.25m Bins")</f>
        <v>20MODD018_0.25m Bins</v>
      </c>
      <c r="C71" t="str">
        <f>HYPERLINK("http://www.corstruth.com.au/WA/CSV/20MODD018.csv","20MODD018_CSV File 1m Bins")</f>
        <v>20MODD018_CSV File 1m Bins</v>
      </c>
      <c r="D71" t="s">
        <v>115</v>
      </c>
      <c r="E71" t="s">
        <v>1</v>
      </c>
      <c r="G71" t="s">
        <v>110</v>
      </c>
      <c r="H71" t="s">
        <v>111</v>
      </c>
      <c r="I71">
        <v>-27.698899999999998</v>
      </c>
      <c r="J71">
        <v>117.83</v>
      </c>
    </row>
    <row r="72" spans="1:11" x14ac:dyDescent="0.25">
      <c r="A72" t="str">
        <f>HYPERLINK("http://www.corstruth.com.au/WA/20MODD019_cs.png","20MODD019_A4")</f>
        <v>20MODD019_A4</v>
      </c>
      <c r="B72" t="str">
        <f>HYPERLINK("http://www.corstruth.com.au/WA/PNG2/20MODD019_cs.png","20MODD019_0.25m Bins")</f>
        <v>20MODD019_0.25m Bins</v>
      </c>
      <c r="C72" t="str">
        <f>HYPERLINK("http://www.corstruth.com.au/WA/CSV/20MODD019.csv","20MODD019_CSV File 1m Bins")</f>
        <v>20MODD019_CSV File 1m Bins</v>
      </c>
      <c r="D72" t="s">
        <v>116</v>
      </c>
      <c r="E72" t="s">
        <v>1</v>
      </c>
      <c r="G72" t="s">
        <v>110</v>
      </c>
      <c r="H72" t="s">
        <v>111</v>
      </c>
      <c r="I72">
        <v>-27.6997</v>
      </c>
      <c r="J72">
        <v>117.83</v>
      </c>
    </row>
    <row r="73" spans="1:11" x14ac:dyDescent="0.25">
      <c r="A73" t="str">
        <f>HYPERLINK("http://www.corstruth.com.au/WA/BCDD0001_cs.png","BCDD0001_A4")</f>
        <v>BCDD0001_A4</v>
      </c>
      <c r="B73" t="str">
        <f>HYPERLINK("http://www.corstruth.com.au/WA/PNG2/BCDD0001_cs.png","BCDD0001_0.25m Bins")</f>
        <v>BCDD0001_0.25m Bins</v>
      </c>
      <c r="C73" t="str">
        <f>HYPERLINK("http://www.corstruth.com.au/WA/CSV/BCDD0001.csv","BCDD0001_CSV File 1m Bins")</f>
        <v>BCDD0001_CSV File 1m Bins</v>
      </c>
      <c r="D73" t="s">
        <v>117</v>
      </c>
      <c r="E73" t="s">
        <v>1</v>
      </c>
      <c r="G73" t="s">
        <v>110</v>
      </c>
      <c r="H73" t="s">
        <v>118</v>
      </c>
      <c r="I73">
        <v>-31.0319</v>
      </c>
      <c r="J73">
        <v>117.919</v>
      </c>
      <c r="K73" t="str">
        <f>HYPERLINK("http://geossdi.dmp.wa.gov.au/NVCLDataServices/mosaic.html?datasetid=cb7f571b-2251-4d16-8db9-bf21968d6fc","BCDD0001_Core Image")</f>
        <v>BCDD0001_Core Image</v>
      </c>
    </row>
    <row r="74" spans="1:11" x14ac:dyDescent="0.25">
      <c r="A74" t="str">
        <f>HYPERLINK("http://www.corstruth.com.au/WA/BCDD0002_cs.png","BCDD0002_A4")</f>
        <v>BCDD0002_A4</v>
      </c>
      <c r="B74" t="str">
        <f>HYPERLINK("http://www.corstruth.com.au/WA/PNG2/BCDD0002_cs.png","BCDD0002_0.25m Bins")</f>
        <v>BCDD0002_0.25m Bins</v>
      </c>
      <c r="C74" t="str">
        <f>HYPERLINK("http://www.corstruth.com.au/WA/CSV/BCDD0002.csv","BCDD0002_CSV File 1m Bins")</f>
        <v>BCDD0002_CSV File 1m Bins</v>
      </c>
      <c r="D74" t="s">
        <v>119</v>
      </c>
      <c r="E74" t="s">
        <v>1</v>
      </c>
      <c r="G74" t="s">
        <v>110</v>
      </c>
      <c r="H74" t="s">
        <v>118</v>
      </c>
      <c r="I74">
        <v>-31.064800000000002</v>
      </c>
      <c r="J74">
        <v>117.92400000000001</v>
      </c>
      <c r="K74" t="str">
        <f>HYPERLINK("http://geossdi.dmp.wa.gov.au/NVCLDataServices/mosaic.html?datasetid=c09333fb-6b36-4dac-9b14-ae1e226dd6e","BCDD0002_Core Image")</f>
        <v>BCDD0002_Core Image</v>
      </c>
    </row>
    <row r="75" spans="1:11" x14ac:dyDescent="0.25">
      <c r="A75" t="str">
        <f>HYPERLINK("http://www.corstruth.com.au/WA/BCDD0004_cs.png","BCDD0004_A4")</f>
        <v>BCDD0004_A4</v>
      </c>
      <c r="B75" t="str">
        <f>HYPERLINK("http://www.corstruth.com.au/WA/PNG2/BCDD0004_cs.png","BCDD0004_0.25m Bins")</f>
        <v>BCDD0004_0.25m Bins</v>
      </c>
      <c r="C75" t="str">
        <f>HYPERLINK("http://www.corstruth.com.au/WA/CSV/BCDD0004.csv","BCDD0004_CSV File 1m Bins")</f>
        <v>BCDD0004_CSV File 1m Bins</v>
      </c>
      <c r="D75" t="s">
        <v>120</v>
      </c>
      <c r="E75" t="s">
        <v>1</v>
      </c>
      <c r="G75" t="s">
        <v>110</v>
      </c>
      <c r="H75" t="s">
        <v>118</v>
      </c>
      <c r="I75">
        <v>-31.0504</v>
      </c>
      <c r="J75">
        <v>117.91800000000001</v>
      </c>
      <c r="K75" t="str">
        <f>HYPERLINK("http://geossdi.dmp.wa.gov.au/NVCLDataServices/mosaic.html?datasetid=9b90a057-2503-486e-9819-5df6a788f77","BCDD0004_Core Image")</f>
        <v>BCDD0004_Core Image</v>
      </c>
    </row>
    <row r="76" spans="1:11" x14ac:dyDescent="0.25">
      <c r="A76" t="str">
        <f>HYPERLINK("http://www.corstruth.com.au/WA/BCDD0005_cs.png","BCDD0005_A4")</f>
        <v>BCDD0005_A4</v>
      </c>
      <c r="B76" t="str">
        <f>HYPERLINK("http://www.corstruth.com.au/WA/PNG2/BCDD0005_cs.png","BCDD0005_0.25m Bins")</f>
        <v>BCDD0005_0.25m Bins</v>
      </c>
      <c r="C76" t="str">
        <f>HYPERLINK("http://www.corstruth.com.au/WA/CSV/BCDD0005.csv","BCDD0005_CSV File 1m Bins")</f>
        <v>BCDD0005_CSV File 1m Bins</v>
      </c>
      <c r="D76" t="s">
        <v>121</v>
      </c>
      <c r="E76" t="s">
        <v>1</v>
      </c>
      <c r="G76" t="s">
        <v>110</v>
      </c>
      <c r="H76" t="s">
        <v>118</v>
      </c>
      <c r="I76">
        <v>-31.061199999999999</v>
      </c>
      <c r="J76">
        <v>117.92100000000001</v>
      </c>
      <c r="K76" t="str">
        <f>HYPERLINK("http://geossdi.dmp.wa.gov.au/NVCLDataServices/mosaic.html?datasetid=3067970b-affe-493c-99d3-1cc9290e010","BCDD0005_Core Image")</f>
        <v>BCDD0005_Core Image</v>
      </c>
    </row>
    <row r="77" spans="1:11" x14ac:dyDescent="0.25">
      <c r="A77" t="str">
        <f>HYPERLINK("http://www.corstruth.com.au/WA/BCMH0070_cs.png","BCMH0070_A4")</f>
        <v>BCMH0070_A4</v>
      </c>
      <c r="B77" t="str">
        <f>HYPERLINK("http://www.corstruth.com.au/WA/PNG2/BCMH0070_cs.png","BCMH0070_0.25m Bins")</f>
        <v>BCMH0070_0.25m Bins</v>
      </c>
      <c r="C77" t="str">
        <f>HYPERLINK("http://www.corstruth.com.au/WA/CSV/BCMH0070.csv","BCMH0070_CSV File 1m Bins")</f>
        <v>BCMH0070_CSV File 1m Bins</v>
      </c>
      <c r="D77" t="s">
        <v>122</v>
      </c>
      <c r="E77" t="s">
        <v>1</v>
      </c>
      <c r="G77" t="s">
        <v>110</v>
      </c>
      <c r="H77" t="s">
        <v>123</v>
      </c>
      <c r="I77">
        <v>-31.2866</v>
      </c>
      <c r="J77">
        <v>118.465</v>
      </c>
      <c r="K77" t="str">
        <f>HYPERLINK("http://geossdi.dmp.wa.gov.au/NVCLDataServices/mosaic.html?datasetid=73802259-1ca1-4e62-b8af-c849183e715","BCMH0070_Core Image")</f>
        <v>BCMH0070_Core Image</v>
      </c>
    </row>
    <row r="78" spans="1:11" x14ac:dyDescent="0.25">
      <c r="A78" t="str">
        <f>HYPERLINK("http://www.corstruth.com.au/WA/BCMH0071_cs.png","BCMH0071_A4")</f>
        <v>BCMH0071_A4</v>
      </c>
      <c r="B78" t="str">
        <f>HYPERLINK("http://www.corstruth.com.au/WA/PNG2/BCMH0071_cs.png","BCMH0071_0.25m Bins")</f>
        <v>BCMH0071_0.25m Bins</v>
      </c>
      <c r="C78" t="str">
        <f>HYPERLINK("http://www.corstruth.com.au/WA/CSV/BCMH0071.csv","BCMH0071_CSV File 1m Bins")</f>
        <v>BCMH0071_CSV File 1m Bins</v>
      </c>
      <c r="D78" t="s">
        <v>124</v>
      </c>
      <c r="E78" t="s">
        <v>1</v>
      </c>
      <c r="G78" t="s">
        <v>110</v>
      </c>
      <c r="H78" t="s">
        <v>123</v>
      </c>
      <c r="I78">
        <v>-31.288599999999999</v>
      </c>
      <c r="J78">
        <v>118.46599999999999</v>
      </c>
      <c r="K78" t="str">
        <f>HYPERLINK("http://geossdi.dmp.wa.gov.au/NVCLDataServices/mosaic.html?datasetid=7bea6663-3b5b-4204-9bc1-868ca13f58c","BCMH0071_Core Image")</f>
        <v>BCMH0071_Core Image</v>
      </c>
    </row>
    <row r="79" spans="1:11" x14ac:dyDescent="0.25">
      <c r="A79" t="str">
        <f>HYPERLINK("http://www.corstruth.com.au/WA/BCMH0072_cs.png","BCMH0072_A4")</f>
        <v>BCMH0072_A4</v>
      </c>
      <c r="B79" t="str">
        <f>HYPERLINK("http://www.corstruth.com.au/WA/PNG2/BCMH0072_cs.png","BCMH0072_0.25m Bins")</f>
        <v>BCMH0072_0.25m Bins</v>
      </c>
      <c r="C79" t="str">
        <f>HYPERLINK("http://www.corstruth.com.au/WA/CSV/BCMH0072.csv","BCMH0072_CSV File 1m Bins")</f>
        <v>BCMH0072_CSV File 1m Bins</v>
      </c>
      <c r="D79" t="s">
        <v>125</v>
      </c>
      <c r="E79" t="s">
        <v>1</v>
      </c>
      <c r="G79" t="s">
        <v>110</v>
      </c>
      <c r="H79" t="s">
        <v>123</v>
      </c>
      <c r="I79">
        <v>-31.289200000000001</v>
      </c>
      <c r="J79">
        <v>118.46599999999999</v>
      </c>
      <c r="K79" t="str">
        <f>HYPERLINK("http://geossdi.dmp.wa.gov.au/NVCLDataServices/mosaic.html?datasetid=dd3180c1-1f9f-43cb-85b3-823042d015b","BCMH0072_Core Image")</f>
        <v>BCMH0072_Core Image</v>
      </c>
    </row>
    <row r="80" spans="1:11" x14ac:dyDescent="0.25">
      <c r="A80" t="str">
        <f>HYPERLINK("http://www.corstruth.com.au/WA/BCMH0073_cs.png","BCMH0073_A4")</f>
        <v>BCMH0073_A4</v>
      </c>
      <c r="B80" t="str">
        <f>HYPERLINK("http://www.corstruth.com.au/WA/PNG2/BCMH0073_cs.png","BCMH0073_0.25m Bins")</f>
        <v>BCMH0073_0.25m Bins</v>
      </c>
      <c r="C80" t="str">
        <f>HYPERLINK("http://www.corstruth.com.au/WA/CSV/BCMH0073.csv","BCMH0073_CSV File 1m Bins")</f>
        <v>BCMH0073_CSV File 1m Bins</v>
      </c>
      <c r="D80" t="s">
        <v>126</v>
      </c>
      <c r="E80" t="s">
        <v>1</v>
      </c>
      <c r="G80" t="s">
        <v>110</v>
      </c>
      <c r="H80" t="s">
        <v>123</v>
      </c>
      <c r="I80">
        <v>-31.289200000000001</v>
      </c>
      <c r="J80">
        <v>118.47</v>
      </c>
      <c r="K80" t="str">
        <f>HYPERLINK("http://geossdi.dmp.wa.gov.au/NVCLDataServices/mosaic.html?datasetid=4f54045e-0b71-4c63-a8df-f026c7648b4","BCMH0073_Core Image")</f>
        <v>BCMH0073_Core Image</v>
      </c>
    </row>
    <row r="81" spans="1:11" x14ac:dyDescent="0.25">
      <c r="A81" t="str">
        <f>HYPERLINK("http://www.corstruth.com.au/WA/18GSCRCD0001_cs.png","18GSCRCD0001_A4")</f>
        <v>18GSCRCD0001_A4</v>
      </c>
      <c r="B81" t="str">
        <f>HYPERLINK("http://www.corstruth.com.au/WA/PNG2/18GSCRCD0001_cs.png","18GSCRCD0001_0.25m Bins")</f>
        <v>18GSCRCD0001_0.25m Bins</v>
      </c>
      <c r="C81" t="str">
        <f>HYPERLINK("http://www.corstruth.com.au/WA/CSV/18GSCRCD0001.csv","18GSCRCD0001_CSV File 1m Bins")</f>
        <v>18GSCRCD0001_CSV File 1m Bins</v>
      </c>
      <c r="D81" t="s">
        <v>127</v>
      </c>
      <c r="E81" t="s">
        <v>1</v>
      </c>
      <c r="G81" t="s">
        <v>110</v>
      </c>
      <c r="H81" t="s">
        <v>128</v>
      </c>
      <c r="I81">
        <v>-27.4162</v>
      </c>
      <c r="J81">
        <v>117.911</v>
      </c>
    </row>
    <row r="82" spans="1:11" x14ac:dyDescent="0.25">
      <c r="A82" t="str">
        <f>HYPERLINK("http://www.corstruth.com.au/WA/18GSCRCD0002_cs.png","18GSCRCD0002_A4")</f>
        <v>18GSCRCD0002_A4</v>
      </c>
      <c r="B82" t="str">
        <f>HYPERLINK("http://www.corstruth.com.au/WA/PNG2/18GSCRCD0002_cs.png","18GSCRCD0002_0.25m Bins")</f>
        <v>18GSCRCD0002_0.25m Bins</v>
      </c>
      <c r="C82" t="str">
        <f>HYPERLINK("http://www.corstruth.com.au/WA/CSV/18GSCRCD0002.csv","18GSCRCD0002_CSV File 1m Bins")</f>
        <v>18GSCRCD0002_CSV File 1m Bins</v>
      </c>
      <c r="D82" t="s">
        <v>129</v>
      </c>
      <c r="E82" t="s">
        <v>1</v>
      </c>
      <c r="G82" t="s">
        <v>110</v>
      </c>
      <c r="H82" t="s">
        <v>128</v>
      </c>
      <c r="I82">
        <v>-27.415600000000001</v>
      </c>
      <c r="J82">
        <v>117.901</v>
      </c>
    </row>
    <row r="83" spans="1:11" x14ac:dyDescent="0.25">
      <c r="A83" t="str">
        <f>HYPERLINK("http://www.corstruth.com.au/WA/18GSLARCD0003_cs.png","18GSLARCD0003_A4")</f>
        <v>18GSLARCD0003_A4</v>
      </c>
      <c r="B83" t="str">
        <f>HYPERLINK("http://www.corstruth.com.au/WA/PNG2/18GSLARCD0003_cs.png","18GSLARCD0003_0.25m Bins")</f>
        <v>18GSLARCD0003_0.25m Bins</v>
      </c>
      <c r="C83" t="str">
        <f>HYPERLINK("http://www.corstruth.com.au/WA/CSV/18GSLARCD0003.csv","18GSLARCD0003_CSV File 1m Bins")</f>
        <v>18GSLARCD0003_CSV File 1m Bins</v>
      </c>
      <c r="D83" t="s">
        <v>130</v>
      </c>
      <c r="E83" t="s">
        <v>1</v>
      </c>
      <c r="G83" t="s">
        <v>110</v>
      </c>
      <c r="H83" t="s">
        <v>128</v>
      </c>
      <c r="I83">
        <v>-27.4011</v>
      </c>
      <c r="J83">
        <v>117.91500000000001</v>
      </c>
    </row>
    <row r="84" spans="1:11" x14ac:dyDescent="0.25">
      <c r="A84" t="str">
        <f>HYPERLINK("http://www.corstruth.com.au/WA/20GSDD001_cs.png","20GSDD001_A4")</f>
        <v>20GSDD001_A4</v>
      </c>
      <c r="B84" t="str">
        <f>HYPERLINK("http://www.corstruth.com.au/WA/PNG2/20GSDD001_cs.png","20GSDD001_0.25m Bins")</f>
        <v>20GSDD001_0.25m Bins</v>
      </c>
      <c r="C84" t="str">
        <f>HYPERLINK("http://www.corstruth.com.au/WA/CSV/20GSDD001.csv","20GSDD001_CSV File 1m Bins")</f>
        <v>20GSDD001_CSV File 1m Bins</v>
      </c>
      <c r="D84" t="s">
        <v>131</v>
      </c>
      <c r="E84" t="s">
        <v>1</v>
      </c>
      <c r="G84" t="s">
        <v>110</v>
      </c>
      <c r="H84" t="s">
        <v>132</v>
      </c>
      <c r="I84">
        <v>-33.144100000000002</v>
      </c>
      <c r="J84">
        <v>118.598</v>
      </c>
    </row>
    <row r="85" spans="1:11" x14ac:dyDescent="0.25">
      <c r="A85" t="str">
        <f>HYPERLINK("http://www.corstruth.com.au/WA/20H3DD0001_cs.png","20H3DD0001_A4")</f>
        <v>20H3DD0001_A4</v>
      </c>
      <c r="B85" t="str">
        <f>HYPERLINK("http://www.corstruth.com.au/WA/PNG2/20H3DD0001_cs.png","20H3DD0001_0.25m Bins")</f>
        <v>20H3DD0001_0.25m Bins</v>
      </c>
      <c r="C85" t="str">
        <f>HYPERLINK("http://www.corstruth.com.au/WA/CSV/20H3DD0001.csv","20H3DD0001_CSV File 1m Bins")</f>
        <v>20H3DD0001_CSV File 1m Bins</v>
      </c>
      <c r="D85" t="s">
        <v>133</v>
      </c>
      <c r="E85" t="s">
        <v>1</v>
      </c>
      <c r="G85" t="s">
        <v>110</v>
      </c>
      <c r="H85" t="s">
        <v>132</v>
      </c>
      <c r="I85">
        <v>-33.554099999999998</v>
      </c>
      <c r="J85">
        <v>118.845</v>
      </c>
    </row>
    <row r="86" spans="1:11" x14ac:dyDescent="0.25">
      <c r="A86" t="str">
        <f>HYPERLINK("http://www.corstruth.com.au/WA/20HHDD0001_cs.png","20HHDD0001_A4")</f>
        <v>20HHDD0001_A4</v>
      </c>
      <c r="B86" t="str">
        <f>HYPERLINK("http://www.corstruth.com.au/WA/PNG2/20HHDD0001_cs.png","20HHDD0001_0.25m Bins")</f>
        <v>20HHDD0001_0.25m Bins</v>
      </c>
      <c r="C86" t="str">
        <f>HYPERLINK("http://www.corstruth.com.au/WA/CSV/20HHDD0001.csv","20HHDD0001_CSV File 1m Bins")</f>
        <v>20HHDD0001_CSV File 1m Bins</v>
      </c>
      <c r="D86" t="s">
        <v>134</v>
      </c>
      <c r="E86" t="s">
        <v>1</v>
      </c>
      <c r="G86" t="s">
        <v>110</v>
      </c>
      <c r="H86" t="s">
        <v>132</v>
      </c>
      <c r="I86">
        <v>-33.069099999999999</v>
      </c>
      <c r="J86">
        <v>118.697</v>
      </c>
    </row>
    <row r="87" spans="1:11" x14ac:dyDescent="0.25">
      <c r="A87" t="str">
        <f>HYPERLINK("http://www.corstruth.com.au/WA/YDDD00011_cs.png","YDDD00011_A4")</f>
        <v>YDDD00011_A4</v>
      </c>
      <c r="B87" t="str">
        <f>HYPERLINK("http://www.corstruth.com.au/WA/PNG2/YDDD00011_cs.png","YDDD00011_0.25m Bins")</f>
        <v>YDDD00011_0.25m Bins</v>
      </c>
      <c r="C87" t="str">
        <f>HYPERLINK("http://www.corstruth.com.au/WA/CSV/YDDD00011.csv","YDDD00011_CSV File 1m Bins")</f>
        <v>YDDD00011_CSV File 1m Bins</v>
      </c>
      <c r="D87" t="s">
        <v>135</v>
      </c>
      <c r="E87" t="s">
        <v>1</v>
      </c>
      <c r="G87" t="s">
        <v>110</v>
      </c>
      <c r="H87" t="s">
        <v>132</v>
      </c>
      <c r="I87">
        <v>-33.195</v>
      </c>
      <c r="J87">
        <v>118.637</v>
      </c>
    </row>
    <row r="88" spans="1:11" x14ac:dyDescent="0.25">
      <c r="A88" t="str">
        <f>HYPERLINK("http://www.corstruth.com.au/WA/BSDD025_cs.png","BSDD025_A4")</f>
        <v>BSDD025_A4</v>
      </c>
      <c r="B88" t="str">
        <f>HYPERLINK("http://www.corstruth.com.au/WA/PNG2/BSDD025_cs.png","BSDD025_0.25m Bins")</f>
        <v>BSDD025_0.25m Bins</v>
      </c>
      <c r="C88" t="str">
        <f>HYPERLINK("http://www.corstruth.com.au/WA/CSV/BSDD025.csv","BSDD025_CSV File 1m Bins")</f>
        <v>BSDD025_CSV File 1m Bins</v>
      </c>
      <c r="D88" t="s">
        <v>136</v>
      </c>
      <c r="E88" t="s">
        <v>1</v>
      </c>
      <c r="G88" t="s">
        <v>110</v>
      </c>
      <c r="H88" t="s">
        <v>137</v>
      </c>
      <c r="I88">
        <v>-33.524999999999999</v>
      </c>
      <c r="J88">
        <v>117.904</v>
      </c>
      <c r="K88" t="str">
        <f>HYPERLINK("http://geossdi.dmp.wa.gov.au/NVCLDataServices/mosaic.html?datasetid=2b621f4b-e377-4335-befd-54cf3f55db2","BSDD025_Core Image")</f>
        <v>BSDD025_Core Image</v>
      </c>
    </row>
    <row r="89" spans="1:11" x14ac:dyDescent="0.25">
      <c r="A89" t="str">
        <f>HYPERLINK("http://www.corstruth.com.au/WA/BSDD029_cs.png","BSDD029_A4")</f>
        <v>BSDD029_A4</v>
      </c>
      <c r="B89" t="str">
        <f>HYPERLINK("http://www.corstruth.com.au/WA/PNG2/BSDD029_cs.png","BSDD029_0.25m Bins")</f>
        <v>BSDD029_0.25m Bins</v>
      </c>
      <c r="C89" t="str">
        <f>HYPERLINK("http://www.corstruth.com.au/WA/CSV/BSDD029.csv","BSDD029_CSV File 1m Bins")</f>
        <v>BSDD029_CSV File 1m Bins</v>
      </c>
      <c r="D89" t="s">
        <v>138</v>
      </c>
      <c r="E89" t="s">
        <v>1</v>
      </c>
      <c r="G89" t="s">
        <v>110</v>
      </c>
      <c r="H89" t="s">
        <v>139</v>
      </c>
      <c r="I89">
        <v>-33.5229</v>
      </c>
      <c r="J89">
        <v>117.89700000000001</v>
      </c>
      <c r="K89" t="str">
        <f>HYPERLINK("http://geossdi.dmp.wa.gov.au/NVCLDataServices/mosaic.html?datasetid=3b908b32-a43b-4686-a9da-fdc4b0f48f1","BSDD029_Core Image")</f>
        <v>BSDD029_Core Image</v>
      </c>
    </row>
    <row r="90" spans="1:11" x14ac:dyDescent="0.25">
      <c r="A90" t="str">
        <f>HYPERLINK("http://www.corstruth.com.au/WA/BSDD030_cs.png","BSDD030_A4")</f>
        <v>BSDD030_A4</v>
      </c>
      <c r="B90" t="str">
        <f>HYPERLINK("http://www.corstruth.com.au/WA/PNG2/BSDD030_cs.png","BSDD030_0.25m Bins")</f>
        <v>BSDD030_0.25m Bins</v>
      </c>
      <c r="C90" t="str">
        <f>HYPERLINK("http://www.corstruth.com.au/WA/CSV/BSDD030.csv","BSDD030_CSV File 1m Bins")</f>
        <v>BSDD030_CSV File 1m Bins</v>
      </c>
      <c r="D90" t="s">
        <v>140</v>
      </c>
      <c r="E90" t="s">
        <v>1</v>
      </c>
      <c r="G90" t="s">
        <v>110</v>
      </c>
      <c r="H90" t="s">
        <v>139</v>
      </c>
      <c r="I90">
        <v>-33.520600000000002</v>
      </c>
      <c r="J90">
        <v>117.896</v>
      </c>
      <c r="K90" t="str">
        <f>HYPERLINK("http://geossdi.dmp.wa.gov.au/NVCLDataServices/mosaic.html?datasetid=d7f31a1b-d9ca-4177-9fba-b769074a4f4","BSDD030_Core Image")</f>
        <v>BSDD030_Core Image</v>
      </c>
    </row>
    <row r="91" spans="1:11" x14ac:dyDescent="0.25">
      <c r="A91" t="str">
        <f>HYPERLINK("http://www.corstruth.com.au/WA/BSDD016_cs.png","BSDD016_A4")</f>
        <v>BSDD016_A4</v>
      </c>
      <c r="B91" t="str">
        <f>HYPERLINK("http://www.corstruth.com.au/WA/PNG2/BSDD016_cs.png","BSDD016_0.25m Bins")</f>
        <v>BSDD016_0.25m Bins</v>
      </c>
      <c r="C91" t="str">
        <f>HYPERLINK("http://www.corstruth.com.au/WA/CSV/BSDD016.csv","BSDD016_CSV File 1m Bins")</f>
        <v>BSDD016_CSV File 1m Bins</v>
      </c>
      <c r="D91" t="s">
        <v>141</v>
      </c>
      <c r="E91" t="s">
        <v>1</v>
      </c>
      <c r="G91" t="s">
        <v>110</v>
      </c>
      <c r="H91" t="s">
        <v>142</v>
      </c>
      <c r="I91">
        <v>-33.549700000000001</v>
      </c>
      <c r="J91">
        <v>117.914</v>
      </c>
    </row>
    <row r="92" spans="1:11" x14ac:dyDescent="0.25">
      <c r="A92" t="str">
        <f>HYPERLINK("http://www.corstruth.com.au/WA/BSDD017_cs.png","BSDD017_A4")</f>
        <v>BSDD017_A4</v>
      </c>
      <c r="B92" t="str">
        <f>HYPERLINK("http://www.corstruth.com.au/WA/PNG2/BSDD017_cs.png","BSDD017_0.25m Bins")</f>
        <v>BSDD017_0.25m Bins</v>
      </c>
      <c r="C92" t="str">
        <f>HYPERLINK("http://www.corstruth.com.au/WA/CSV/BSDD017.csv","BSDD017_CSV File 1m Bins")</f>
        <v>BSDD017_CSV File 1m Bins</v>
      </c>
      <c r="D92" t="s">
        <v>143</v>
      </c>
      <c r="E92" t="s">
        <v>1</v>
      </c>
      <c r="G92" t="s">
        <v>110</v>
      </c>
      <c r="H92" t="s">
        <v>142</v>
      </c>
      <c r="I92">
        <v>-33.542700000000004</v>
      </c>
      <c r="J92">
        <v>117.911</v>
      </c>
    </row>
    <row r="93" spans="1:11" x14ac:dyDescent="0.25">
      <c r="A93" t="str">
        <f>HYPERLINK("http://www.corstruth.com.au/WA/BSDD019_cs.png","BSDD019_A4")</f>
        <v>BSDD019_A4</v>
      </c>
      <c r="B93" t="str">
        <f>HYPERLINK("http://www.corstruth.com.au/WA/PNG2/BSDD019_cs.png","BSDD019_0.25m Bins")</f>
        <v>BSDD019_0.25m Bins</v>
      </c>
      <c r="C93" t="str">
        <f>HYPERLINK("http://www.corstruth.com.au/WA/CSV/BSDD019.csv","BSDD019_CSV File 1m Bins")</f>
        <v>BSDD019_CSV File 1m Bins</v>
      </c>
      <c r="D93" t="s">
        <v>144</v>
      </c>
      <c r="E93" t="s">
        <v>1</v>
      </c>
      <c r="G93" t="s">
        <v>110</v>
      </c>
      <c r="H93" t="s">
        <v>142</v>
      </c>
      <c r="I93">
        <v>-33.546300000000002</v>
      </c>
      <c r="J93">
        <v>117.913</v>
      </c>
    </row>
    <row r="94" spans="1:11" x14ac:dyDescent="0.25">
      <c r="A94" t="str">
        <f>HYPERLINK("http://www.corstruth.com.au/WA/BSDD020_cs.png","BSDD020_A4")</f>
        <v>BSDD020_A4</v>
      </c>
      <c r="B94" t="str">
        <f>HYPERLINK("http://www.corstruth.com.au/WA/PNG2/BSDD020_cs.png","BSDD020_0.25m Bins")</f>
        <v>BSDD020_0.25m Bins</v>
      </c>
      <c r="C94" t="str">
        <f>HYPERLINK("http://www.corstruth.com.au/WA/CSV/BSDD020.csv","BSDD020_CSV File 1m Bins")</f>
        <v>BSDD020_CSV File 1m Bins</v>
      </c>
      <c r="D94" t="s">
        <v>145</v>
      </c>
      <c r="E94" t="s">
        <v>1</v>
      </c>
      <c r="G94" t="s">
        <v>110</v>
      </c>
      <c r="H94" t="s">
        <v>142</v>
      </c>
      <c r="I94">
        <v>-33.526000000000003</v>
      </c>
      <c r="J94">
        <v>117.89400000000001</v>
      </c>
    </row>
    <row r="95" spans="1:11" x14ac:dyDescent="0.25">
      <c r="A95" t="str">
        <f>HYPERLINK("http://www.corstruth.com.au/WA/BSDD021_cs.png","BSDD021_A4")</f>
        <v>BSDD021_A4</v>
      </c>
      <c r="B95" t="str">
        <f>HYPERLINK("http://www.corstruth.com.au/WA/PNG2/BSDD021_cs.png","BSDD021_0.25m Bins")</f>
        <v>BSDD021_0.25m Bins</v>
      </c>
      <c r="C95" t="str">
        <f>HYPERLINK("http://www.corstruth.com.au/WA/CSV/BSDD021.csv","BSDD021_CSV File 1m Bins")</f>
        <v>BSDD021_CSV File 1m Bins</v>
      </c>
      <c r="D95" t="s">
        <v>146</v>
      </c>
      <c r="E95" t="s">
        <v>1</v>
      </c>
      <c r="G95" t="s">
        <v>110</v>
      </c>
      <c r="H95" t="s">
        <v>142</v>
      </c>
      <c r="I95">
        <v>-33.524999999999999</v>
      </c>
      <c r="J95">
        <v>117.89400000000001</v>
      </c>
    </row>
    <row r="96" spans="1:11" x14ac:dyDescent="0.25">
      <c r="A96" t="str">
        <f>HYPERLINK("http://www.corstruth.com.au/WA/BSDD023_cs.png","BSDD023_A4")</f>
        <v>BSDD023_A4</v>
      </c>
      <c r="B96" t="str">
        <f>HYPERLINK("http://www.corstruth.com.au/WA/PNG2/BSDD023_cs.png","BSDD023_0.25m Bins")</f>
        <v>BSDD023_0.25m Bins</v>
      </c>
      <c r="C96" t="str">
        <f>HYPERLINK("http://www.corstruth.com.au/WA/CSV/BSDD023.csv","BSDD023_CSV File 1m Bins")</f>
        <v>BSDD023_CSV File 1m Bins</v>
      </c>
      <c r="D96" t="s">
        <v>147</v>
      </c>
      <c r="E96" t="s">
        <v>1</v>
      </c>
      <c r="G96" t="s">
        <v>110</v>
      </c>
      <c r="H96" t="s">
        <v>142</v>
      </c>
      <c r="I96">
        <v>-33.539299999999997</v>
      </c>
      <c r="J96">
        <v>117.90300000000001</v>
      </c>
    </row>
    <row r="97" spans="1:11" x14ac:dyDescent="0.25">
      <c r="A97" t="str">
        <f>HYPERLINK("http://www.corstruth.com.au/WA/05GJD001_cs.png","05GJD001_A4")</f>
        <v>05GJD001_A4</v>
      </c>
      <c r="B97" t="str">
        <f>HYPERLINK("http://www.corstruth.com.au/WA/PNG2/05GJD001_cs.png","05GJD001_0.25m Bins")</f>
        <v>05GJD001_0.25m Bins</v>
      </c>
      <c r="C97" t="str">
        <f>HYPERLINK("http://www.corstruth.com.au/WA/CSV/05GJD001.csv","05GJD001_CSV File 1m Bins")</f>
        <v>05GJD001_CSV File 1m Bins</v>
      </c>
      <c r="D97" t="s">
        <v>148</v>
      </c>
      <c r="E97" t="s">
        <v>1</v>
      </c>
      <c r="G97" t="s">
        <v>110</v>
      </c>
      <c r="H97" t="s">
        <v>149</v>
      </c>
      <c r="I97">
        <v>-33.721899999999998</v>
      </c>
      <c r="J97">
        <v>118.964</v>
      </c>
      <c r="K97" t="str">
        <f>HYPERLINK("http://geossdi.dmp.wa.gov.au/NVCLDataServices/mosaic.html?datasetid=8a294cfc-68df-4f03-995b-c5fd0d47ab0","05GJD001_Core Image")</f>
        <v>05GJD001_Core Image</v>
      </c>
    </row>
    <row r="98" spans="1:11" x14ac:dyDescent="0.25">
      <c r="A98" t="str">
        <f>HYPERLINK("http://www.corstruth.com.au/WA/05KCD001_cs.png","05KCD001_A4")</f>
        <v>05KCD001_A4</v>
      </c>
      <c r="B98" t="str">
        <f>HYPERLINK("http://www.corstruth.com.au/WA/PNG2/05KCD001_cs.png","05KCD001_0.25m Bins")</f>
        <v>05KCD001_0.25m Bins</v>
      </c>
      <c r="C98" t="str">
        <f>HYPERLINK("http://www.corstruth.com.au/WA/CSV/05KCD001.csv","05KCD001_CSV File 1m Bins")</f>
        <v>05KCD001_CSV File 1m Bins</v>
      </c>
      <c r="D98" t="s">
        <v>150</v>
      </c>
      <c r="E98" t="s">
        <v>1</v>
      </c>
      <c r="G98" t="s">
        <v>110</v>
      </c>
      <c r="H98" t="s">
        <v>149</v>
      </c>
      <c r="I98">
        <v>-33.723599999999998</v>
      </c>
      <c r="J98">
        <v>118.97</v>
      </c>
      <c r="K98" t="str">
        <f>HYPERLINK("http://geossdi.dmp.wa.gov.au/NVCLDataServices/mosaic.html?datasetid=99f2aa8a-a676-4416-964b-3f8d8dadf86","05KCD001_Core Image")</f>
        <v>05KCD001_Core Image</v>
      </c>
    </row>
    <row r="99" spans="1:11" x14ac:dyDescent="0.25">
      <c r="A99" t="str">
        <f>HYPERLINK("http://www.corstruth.com.au/WA/MVRC042D_cs.png","MVRC042D_A4")</f>
        <v>MVRC042D_A4</v>
      </c>
      <c r="B99" t="str">
        <f>HYPERLINK("http://www.corstruth.com.au/WA/PNG2/MVRC042D_cs.png","MVRC042D_0.25m Bins")</f>
        <v>MVRC042D_0.25m Bins</v>
      </c>
      <c r="C99" t="str">
        <f>HYPERLINK("http://www.corstruth.com.au/WA/CSV/MVRC042D.csv","MVRC042D_CSV File 1m Bins")</f>
        <v>MVRC042D_CSV File 1m Bins</v>
      </c>
      <c r="D99" t="s">
        <v>151</v>
      </c>
      <c r="E99" t="s">
        <v>1</v>
      </c>
      <c r="G99" t="s">
        <v>110</v>
      </c>
      <c r="H99" t="s">
        <v>152</v>
      </c>
      <c r="I99">
        <v>-28.1934</v>
      </c>
      <c r="J99">
        <v>116.765</v>
      </c>
      <c r="K99" t="str">
        <f>HYPERLINK("http://geossdi.dmp.wa.gov.au/NVCLDataServices/mosaic.html?datasetid=34fe7be7-9ce5-46a0-b097-0584a968b07","MVRC042D_Core Image")</f>
        <v>MVRC042D_Core Image</v>
      </c>
    </row>
    <row r="100" spans="1:11" x14ac:dyDescent="0.25">
      <c r="A100" t="str">
        <f>HYPERLINK("http://www.corstruth.com.au/WA/PRDD003_cs.png","PRDD003_A4")</f>
        <v>PRDD003_A4</v>
      </c>
      <c r="B100" t="str">
        <f>HYPERLINK("http://www.corstruth.com.au/WA/PNG2/PRDD003_cs.png","PRDD003_0.25m Bins")</f>
        <v>PRDD003_0.25m Bins</v>
      </c>
      <c r="C100" t="str">
        <f>HYPERLINK("http://www.corstruth.com.au/WA/CSV/PRDD003.csv","PRDD003_CSV File 1m Bins")</f>
        <v>PRDD003_CSV File 1m Bins</v>
      </c>
      <c r="D100" t="s">
        <v>153</v>
      </c>
      <c r="E100" t="s">
        <v>1</v>
      </c>
      <c r="G100" t="s">
        <v>110</v>
      </c>
      <c r="H100" t="s">
        <v>154</v>
      </c>
      <c r="I100">
        <v>-26.869</v>
      </c>
      <c r="J100">
        <v>117.711</v>
      </c>
      <c r="K100" t="str">
        <f>HYPERLINK("http://geossdi.dmp.wa.gov.au/NVCLDataServices/mosaic.html?datasetid=72d144c8-fd27-4942-9990-be2d06f3a26","PRDD003_Core Image")</f>
        <v>PRDD003_Core Image</v>
      </c>
    </row>
    <row r="101" spans="1:11" x14ac:dyDescent="0.25">
      <c r="A101" t="str">
        <f>HYPERLINK("http://www.corstruth.com.au/WA/PRDD004_cs.png","PRDD004_A4")</f>
        <v>PRDD004_A4</v>
      </c>
      <c r="B101" t="str">
        <f>HYPERLINK("http://www.corstruth.com.au/WA/PNG2/PRDD004_cs.png","PRDD004_0.25m Bins")</f>
        <v>PRDD004_0.25m Bins</v>
      </c>
      <c r="C101" t="str">
        <f>HYPERLINK("http://www.corstruth.com.au/WA/CSV/PRDD004.csv","PRDD004_CSV File 1m Bins")</f>
        <v>PRDD004_CSV File 1m Bins</v>
      </c>
      <c r="D101" t="s">
        <v>155</v>
      </c>
      <c r="E101" t="s">
        <v>1</v>
      </c>
      <c r="G101" t="s">
        <v>110</v>
      </c>
      <c r="H101" t="s">
        <v>154</v>
      </c>
      <c r="I101">
        <v>-26.839700000000001</v>
      </c>
      <c r="J101">
        <v>117.79900000000001</v>
      </c>
      <c r="K101" t="str">
        <f>HYPERLINK("http://geossdi.dmp.wa.gov.au/NVCLDataServices/mosaic.html?datasetid=c6599c29-e00e-403a-8c7f-f0bbbbe26c8","PRDD004_Core Image")</f>
        <v>PRDD004_Core Image</v>
      </c>
    </row>
    <row r="102" spans="1:11" x14ac:dyDescent="0.25">
      <c r="A102" t="str">
        <f>HYPERLINK("http://www.corstruth.com.au/WA/21MBRCD042_cs.png","21MBRCD042_A4")</f>
        <v>21MBRCD042_A4</v>
      </c>
      <c r="B102" t="str">
        <f>HYPERLINK("http://www.corstruth.com.au/WA/PNG2/21MBRCD042_cs.png","21MBRCD042_0.25m Bins")</f>
        <v>21MBRCD042_0.25m Bins</v>
      </c>
      <c r="C102" t="str">
        <f>HYPERLINK("http://www.corstruth.com.au/WA/CSV/21MBRCD042.csv","21MBRCD042_CSV File 1m Bins")</f>
        <v>21MBRCD042_CSV File 1m Bins</v>
      </c>
      <c r="D102" t="s">
        <v>156</v>
      </c>
      <c r="E102" t="s">
        <v>1</v>
      </c>
      <c r="G102" t="s">
        <v>110</v>
      </c>
      <c r="H102" t="s">
        <v>157</v>
      </c>
      <c r="I102">
        <v>-26.570499999999999</v>
      </c>
      <c r="J102">
        <v>118.593</v>
      </c>
      <c r="K102" t="str">
        <f>HYPERLINK("http://geossdi.dmp.wa.gov.au/NVCLDataServices/mosaic.html?datasetid=04a36c0e-062d-4c49-94a5-29b98e10461","21MBRCD042_Core Image")</f>
        <v>21MBRCD042_Core Image</v>
      </c>
    </row>
    <row r="103" spans="1:11" x14ac:dyDescent="0.25">
      <c r="A103" t="str">
        <f>HYPERLINK("http://www.corstruth.com.au/WA/21MBRCD043_cs.png","21MBRCD043_A4")</f>
        <v>21MBRCD043_A4</v>
      </c>
      <c r="B103" t="str">
        <f>HYPERLINK("http://www.corstruth.com.au/WA/PNG2/21MBRCD043_cs.png","21MBRCD043_0.25m Bins")</f>
        <v>21MBRCD043_0.25m Bins</v>
      </c>
      <c r="C103" t="str">
        <f>HYPERLINK("http://www.corstruth.com.au/WA/CSV/21MBRCD043.csv","21MBRCD043_CSV File 1m Bins")</f>
        <v>21MBRCD043_CSV File 1m Bins</v>
      </c>
      <c r="D103" t="s">
        <v>158</v>
      </c>
      <c r="E103" t="s">
        <v>1</v>
      </c>
      <c r="G103" t="s">
        <v>110</v>
      </c>
      <c r="H103" t="s">
        <v>157</v>
      </c>
      <c r="I103">
        <v>-26.5639</v>
      </c>
      <c r="J103">
        <v>118.59099999999999</v>
      </c>
      <c r="K103" t="str">
        <f>HYPERLINK("http://geossdi.dmp.wa.gov.au/NVCLDataServices/mosaic.html?datasetid=9474d1a6-24ea-4580-87bf-19163f0710c","21MBRCD043_Core Image")</f>
        <v>21MBRCD043_Core Image</v>
      </c>
    </row>
    <row r="104" spans="1:11" x14ac:dyDescent="0.25">
      <c r="A104" t="str">
        <f>HYPERLINK("http://www.corstruth.com.au/WA/21MBRCD044_cs.png","21MBRCD044_A4")</f>
        <v>21MBRCD044_A4</v>
      </c>
      <c r="B104" t="str">
        <f>HYPERLINK("http://www.corstruth.com.au/WA/PNG2/21MBRCD044_cs.png","21MBRCD044_0.25m Bins")</f>
        <v>21MBRCD044_0.25m Bins</v>
      </c>
      <c r="C104" t="str">
        <f>HYPERLINK("http://www.corstruth.com.au/WA/CSV/21MBRCD044.csv","21MBRCD044_CSV File 1m Bins")</f>
        <v>21MBRCD044_CSV File 1m Bins</v>
      </c>
      <c r="D104" t="s">
        <v>159</v>
      </c>
      <c r="E104" t="s">
        <v>1</v>
      </c>
      <c r="G104" t="s">
        <v>110</v>
      </c>
      <c r="H104" t="s">
        <v>157</v>
      </c>
      <c r="I104">
        <v>-26.563600000000001</v>
      </c>
      <c r="J104">
        <v>118.59099999999999</v>
      </c>
      <c r="K104" t="str">
        <f>HYPERLINK("http://geossdi.dmp.wa.gov.au/NVCLDataServices/mosaic.html?datasetid=b1777d48-1dc5-4c1b-b3f0-e81e861d172","21MBRCD044_Core Image")</f>
        <v>21MBRCD044_Core Image</v>
      </c>
    </row>
    <row r="105" spans="1:11" x14ac:dyDescent="0.25">
      <c r="A105" t="str">
        <f>HYPERLINK("http://www.corstruth.com.au/WA/20WHD001_cs.png","20WHD001_A4")</f>
        <v>20WHD001_A4</v>
      </c>
      <c r="B105" t="str">
        <f>HYPERLINK("http://www.corstruth.com.au/WA/PNG2/20WHD001_cs.png","20WHD001_0.25m Bins")</f>
        <v>20WHD001_0.25m Bins</v>
      </c>
      <c r="C105" t="str">
        <f>HYPERLINK("http://www.corstruth.com.au/WA/CSV/20WHD001.csv","20WHD001_CSV File 1m Bins")</f>
        <v>20WHD001_CSV File 1m Bins</v>
      </c>
      <c r="D105" t="s">
        <v>160</v>
      </c>
      <c r="E105" t="s">
        <v>1</v>
      </c>
      <c r="G105" t="s">
        <v>110</v>
      </c>
      <c r="H105" t="s">
        <v>161</v>
      </c>
      <c r="I105">
        <v>-30.794599999999999</v>
      </c>
      <c r="J105">
        <v>116.622</v>
      </c>
    </row>
    <row r="106" spans="1:11" x14ac:dyDescent="0.25">
      <c r="A106" t="str">
        <f>HYPERLINK("http://www.corstruth.com.au/WA/YDDD00003_cs.png","YDDD00003_A4")</f>
        <v>YDDD00003_A4</v>
      </c>
      <c r="B106" t="str">
        <f>HYPERLINK("http://www.corstruth.com.au/WA/PNG2/YDDD00003_cs.png","YDDD00003_0.25m Bins")</f>
        <v>YDDD00003_0.25m Bins</v>
      </c>
      <c r="C106" t="str">
        <f>HYPERLINK("http://www.corstruth.com.au/WA/CSV/YDDD00003.csv","YDDD00003_CSV File 1m Bins")</f>
        <v>YDDD00003_CSV File 1m Bins</v>
      </c>
      <c r="D106" t="s">
        <v>162</v>
      </c>
      <c r="E106" t="s">
        <v>1</v>
      </c>
      <c r="G106" t="s">
        <v>110</v>
      </c>
      <c r="H106" t="s">
        <v>163</v>
      </c>
      <c r="I106">
        <v>-32.9373</v>
      </c>
      <c r="J106">
        <v>118.491</v>
      </c>
      <c r="K106" t="str">
        <f>HYPERLINK("http://geossdi.dmp.wa.gov.au/NVCLDataServices/mosaic.html?datasetid=6626fcf6-48c4-4aa4-8383-c7d09085eb7","YDDD00003_Core Image")</f>
        <v>YDDD00003_Core Image</v>
      </c>
    </row>
    <row r="107" spans="1:11" x14ac:dyDescent="0.25">
      <c r="A107" t="str">
        <f>HYPERLINK("http://www.corstruth.com.au/WA/YDDD00007_cs.png","YDDD00007_A4")</f>
        <v>YDDD00007_A4</v>
      </c>
      <c r="B107" t="str">
        <f>HYPERLINK("http://www.corstruth.com.au/WA/PNG2/YDDD00007_cs.png","YDDD00007_0.25m Bins")</f>
        <v>YDDD00007_0.25m Bins</v>
      </c>
      <c r="C107" t="str">
        <f>HYPERLINK("http://www.corstruth.com.au/WA/CSV/YDDD00007.csv","YDDD00007_CSV File 1m Bins")</f>
        <v>YDDD00007_CSV File 1m Bins</v>
      </c>
      <c r="D107" t="s">
        <v>164</v>
      </c>
      <c r="E107" t="s">
        <v>1</v>
      </c>
      <c r="G107" t="s">
        <v>110</v>
      </c>
      <c r="H107" t="s">
        <v>163</v>
      </c>
      <c r="I107">
        <v>-32.9559</v>
      </c>
      <c r="J107">
        <v>118.488</v>
      </c>
      <c r="K107" t="str">
        <f>HYPERLINK("http://geossdi.dmp.wa.gov.au/NVCLDataServices/mosaic.html?datasetid=5f773e32-fefe-42fa-9a02-06ab6ab9df7","YDDD00007_Core Image")</f>
        <v>YDDD00007_Core Image</v>
      </c>
    </row>
    <row r="108" spans="1:11" x14ac:dyDescent="0.25">
      <c r="A108" t="str">
        <f>HYPERLINK("http://www.corstruth.com.au/WA/YDDD00009_cs.png","YDDD00009_A4")</f>
        <v>YDDD00009_A4</v>
      </c>
      <c r="B108" t="str">
        <f>HYPERLINK("http://www.corstruth.com.au/WA/PNG2/YDDD00009_cs.png","YDDD00009_0.25m Bins")</f>
        <v>YDDD00009_0.25m Bins</v>
      </c>
      <c r="C108" t="str">
        <f>HYPERLINK("http://www.corstruth.com.au/WA/CSV/YDDD00009.csv","YDDD00009_CSV File 1m Bins")</f>
        <v>YDDD00009_CSV File 1m Bins</v>
      </c>
      <c r="D108" t="s">
        <v>165</v>
      </c>
      <c r="E108" t="s">
        <v>1</v>
      </c>
      <c r="G108" t="s">
        <v>110</v>
      </c>
      <c r="H108" t="s">
        <v>163</v>
      </c>
      <c r="I108">
        <v>-32.946199999999997</v>
      </c>
      <c r="J108">
        <v>118.461</v>
      </c>
      <c r="K108" t="str">
        <f>HYPERLINK("http://geossdi.dmp.wa.gov.au/NVCLDataServices/mosaic.html?datasetid=43d91a8e-989c-48ac-a933-daf2c6b1407","YDDD00009_Core Image")</f>
        <v>YDDD00009_Core Image</v>
      </c>
    </row>
    <row r="109" spans="1:11" x14ac:dyDescent="0.25">
      <c r="A109" t="str">
        <f>HYPERLINK("http://www.corstruth.com.au/WA/18JBDD001_cs.png","18JBDD001_A4")</f>
        <v>18JBDD001_A4</v>
      </c>
      <c r="B109" t="str">
        <f>HYPERLINK("http://www.corstruth.com.au/WA/PNG2/18JBDD001_cs.png","18JBDD001_0.25m Bins")</f>
        <v>18JBDD001_0.25m Bins</v>
      </c>
      <c r="C109" t="str">
        <f>HYPERLINK("http://www.corstruth.com.au/WA/CSV/18JBDD001.csv","18JBDD001_CSV File 1m Bins")</f>
        <v>18JBDD001_CSV File 1m Bins</v>
      </c>
      <c r="D109" t="s">
        <v>166</v>
      </c>
      <c r="E109" t="s">
        <v>1</v>
      </c>
      <c r="G109" t="s">
        <v>167</v>
      </c>
      <c r="H109" t="s">
        <v>168</v>
      </c>
      <c r="I109">
        <v>-32.261899999999997</v>
      </c>
      <c r="J109">
        <v>120.38200000000001</v>
      </c>
      <c r="K109" t="str">
        <f>HYPERLINK("http://geossdi.dmp.wa.gov.au/NVCLDataServices/mosaic.html?datasetid=c4478b7e-a0a1-4fd3-a3f0-156a7332d38","18JBDD001_Core Image")</f>
        <v>18JBDD001_Core Image</v>
      </c>
    </row>
    <row r="110" spans="1:11" x14ac:dyDescent="0.25">
      <c r="A110" t="str">
        <f>HYPERLINK("http://www.corstruth.com.au/WA/C179_cs.png","C179_A4")</f>
        <v>C179_A4</v>
      </c>
      <c r="B110" t="str">
        <f>HYPERLINK("http://www.corstruth.com.au/WA/PNG2/C179_cs.png","C179_0.25m Bins")</f>
        <v>C179_0.25m Bins</v>
      </c>
      <c r="C110" t="str">
        <f>HYPERLINK("http://www.corstruth.com.au/WA/CSV/C179.csv","C179_CSV File 1m Bins")</f>
        <v>C179_CSV File 1m Bins</v>
      </c>
      <c r="D110" t="s">
        <v>169</v>
      </c>
      <c r="E110" t="s">
        <v>1</v>
      </c>
      <c r="G110" t="s">
        <v>167</v>
      </c>
      <c r="H110" t="s">
        <v>168</v>
      </c>
      <c r="I110">
        <v>-32.205599999999997</v>
      </c>
      <c r="J110">
        <v>121.27800000000001</v>
      </c>
      <c r="K110" t="str">
        <f>HYPERLINK("http://geossdi.dmp.wa.gov.au/NVCLDataServices/mosaic.html?datasetid=55a3b15f-6736-464b-bb14-01fddf680ef","C179_Core Image")</f>
        <v>C179_Core Image</v>
      </c>
    </row>
    <row r="111" spans="1:11" x14ac:dyDescent="0.25">
      <c r="A111" t="str">
        <f>HYPERLINK("http://www.corstruth.com.au/WA/18JBDD002_cs.png","18JBDD002_A4")</f>
        <v>18JBDD002_A4</v>
      </c>
      <c r="B111" t="str">
        <f>HYPERLINK("http://www.corstruth.com.au/WA/PNG2/18JBDD002_cs.png","18JBDD002_0.25m Bins")</f>
        <v>18JBDD002_0.25m Bins</v>
      </c>
      <c r="C111" t="str">
        <f>HYPERLINK("http://www.corstruth.com.au/WA/CSV/18JBDD002.csv","18JBDD002_CSV File 1m Bins")</f>
        <v>18JBDD002_CSV File 1m Bins</v>
      </c>
      <c r="D111" t="s">
        <v>170</v>
      </c>
      <c r="E111" t="s">
        <v>1</v>
      </c>
      <c r="G111" t="s">
        <v>167</v>
      </c>
      <c r="H111" t="s">
        <v>171</v>
      </c>
      <c r="I111">
        <v>-32.263399999999997</v>
      </c>
      <c r="J111">
        <v>120.38500000000001</v>
      </c>
      <c r="K111" t="str">
        <f>HYPERLINK("http://geossdi.dmp.wa.gov.au/NVCLDataServices/mosaic.html?datasetid=7cc0f723-3c9a-4c95-be7f-e46098cbce4","18JBDD002_Core Image")</f>
        <v>18JBDD002_Core Image</v>
      </c>
    </row>
    <row r="112" spans="1:11" x14ac:dyDescent="0.25">
      <c r="A112" t="str">
        <f>HYPERLINK("http://www.corstruth.com.au/WA/RAGD038_cs.png","RAGD038_A4")</f>
        <v>RAGD038_A4</v>
      </c>
      <c r="B112" t="str">
        <f>HYPERLINK("http://www.corstruth.com.au/WA/PNG2/RAGD038_cs.png","RAGD038_0.25m Bins")</f>
        <v>RAGD038_0.25m Bins</v>
      </c>
      <c r="C112" t="str">
        <f>HYPERLINK("http://www.corstruth.com.au/WA/CSV/RAGD038.csv","RAGD038_CSV File 1m Bins")</f>
        <v>RAGD038_CSV File 1m Bins</v>
      </c>
      <c r="D112" t="s">
        <v>172</v>
      </c>
      <c r="E112" t="s">
        <v>1</v>
      </c>
      <c r="G112" t="s">
        <v>167</v>
      </c>
      <c r="H112" t="s">
        <v>173</v>
      </c>
      <c r="I112">
        <v>-33.546500000000002</v>
      </c>
      <c r="J112">
        <v>120.05800000000001</v>
      </c>
      <c r="K112" t="str">
        <f>HYPERLINK("http://geossdi.dmp.wa.gov.au/NVCLDataServices/mosaic.html?datasetid=55bf06ae-95ef-4d2c-ab35-9a58405fd89","RAGD038_Core Image")</f>
        <v>RAGD038_Core Image</v>
      </c>
    </row>
    <row r="113" spans="1:11" x14ac:dyDescent="0.25">
      <c r="A113" t="str">
        <f>HYPERLINK("http://www.corstruth.com.au/WA/RAGD039_cs.png","RAGD039_A4")</f>
        <v>RAGD039_A4</v>
      </c>
      <c r="B113" t="str">
        <f>HYPERLINK("http://www.corstruth.com.au/WA/PNG2/RAGD039_cs.png","RAGD039_0.25m Bins")</f>
        <v>RAGD039_0.25m Bins</v>
      </c>
      <c r="C113" t="str">
        <f>HYPERLINK("http://www.corstruth.com.au/WA/CSV/RAGD039.csv","RAGD039_CSV File 1m Bins")</f>
        <v>RAGD039_CSV File 1m Bins</v>
      </c>
      <c r="D113" t="s">
        <v>174</v>
      </c>
      <c r="E113" t="s">
        <v>1</v>
      </c>
      <c r="G113" t="s">
        <v>167</v>
      </c>
      <c r="H113" t="s">
        <v>173</v>
      </c>
      <c r="I113">
        <v>-33.546300000000002</v>
      </c>
      <c r="J113">
        <v>120.05800000000001</v>
      </c>
      <c r="K113" t="str">
        <f>HYPERLINK("http://geossdi.dmp.wa.gov.au/NVCLDataServices/mosaic.html?datasetid=60010944-8b47-4549-a178-85bdbb309b0","RAGD039_Core Image")</f>
        <v>RAGD039_Core Image</v>
      </c>
    </row>
    <row r="114" spans="1:11" x14ac:dyDescent="0.25">
      <c r="A114" t="str">
        <f>HYPERLINK("http://www.corstruth.com.au/WA/RAGD058_cs.png","RAGD058_A4")</f>
        <v>RAGD058_A4</v>
      </c>
      <c r="B114" t="str">
        <f>HYPERLINK("http://www.corstruth.com.au/WA/PNG2/RAGD058_cs.png","RAGD058_0.25m Bins")</f>
        <v>RAGD058_0.25m Bins</v>
      </c>
      <c r="C114" t="str">
        <f>HYPERLINK("http://www.corstruth.com.au/WA/CSV/RAGD058.csv","RAGD058_CSV File 1m Bins")</f>
        <v>RAGD058_CSV File 1m Bins</v>
      </c>
      <c r="D114" t="s">
        <v>175</v>
      </c>
      <c r="E114" t="s">
        <v>1</v>
      </c>
      <c r="G114" t="s">
        <v>167</v>
      </c>
      <c r="H114" t="s">
        <v>173</v>
      </c>
      <c r="I114">
        <v>-33.537500000000001</v>
      </c>
      <c r="J114">
        <v>120.05200000000001</v>
      </c>
      <c r="K114" t="str">
        <f>HYPERLINK("http://geossdi.dmp.wa.gov.au/NVCLDataServices/mosaic.html?datasetid=df8e7e23-b5a5-4328-9fca-f4abf1a06b0","RAGD058_Core Image")</f>
        <v>RAGD058_Core Image</v>
      </c>
    </row>
    <row r="115" spans="1:11" x14ac:dyDescent="0.25">
      <c r="A115" t="str">
        <f>HYPERLINK("http://www.corstruth.com.au/WA/20NMDD025_cs.png","20NMDD025_A4")</f>
        <v>20NMDD025_A4</v>
      </c>
      <c r="B115" t="str">
        <f>HYPERLINK("http://www.corstruth.com.au/WA/PNG2/20NMDD025_cs.png","20NMDD025_0.25m Bins")</f>
        <v>20NMDD025_0.25m Bins</v>
      </c>
      <c r="C115" t="str">
        <f>HYPERLINK("http://www.corstruth.com.au/WA/CSV/20NMDD025.csv","20NMDD025_CSV File 1m Bins")</f>
        <v>20NMDD025_CSV File 1m Bins</v>
      </c>
      <c r="D115" t="s">
        <v>176</v>
      </c>
      <c r="E115" t="s">
        <v>1</v>
      </c>
      <c r="H115" t="s">
        <v>177</v>
      </c>
      <c r="I115">
        <v>-31.768899999999999</v>
      </c>
      <c r="J115">
        <v>123.386</v>
      </c>
      <c r="K115" t="str">
        <f>HYPERLINK("http://geossdi.dmp.wa.gov.au/NVCLDataServices/mosaic.html?datasetid=8e8209a8-2f71-4af4-9d9c-1c290e5e67e","20NMDD025_Core Image")</f>
        <v>20NMDD025_Core Image</v>
      </c>
    </row>
    <row r="116" spans="1:11" x14ac:dyDescent="0.25">
      <c r="A116" t="str">
        <f>HYPERLINK("http://www.corstruth.com.au/WA/Abbarwardoo_1_cuttings_cs.png","Abbarwardoo 1_cuttings_A4")</f>
        <v>Abbarwardoo 1_cuttings_A4</v>
      </c>
      <c r="B116" t="str">
        <f>HYPERLINK("http://www.corstruth.com.au/WA/PNG2/Abbarwardoo_1_cuttings_cs.png","Abbarwardoo 1_cuttings_0.25m Bins")</f>
        <v>Abbarwardoo 1_cuttings_0.25m Bins</v>
      </c>
      <c r="C116" t="str">
        <f>HYPERLINK("http://www.corstruth.com.au/WA/CSV/Abbarwardoo_1_cuttings.csv","Abbarwardoo 1_cuttings_CSV File 1m Bins")</f>
        <v>Abbarwardoo 1_cuttings_CSV File 1m Bins</v>
      </c>
      <c r="D116" t="s">
        <v>178</v>
      </c>
      <c r="E116" t="s">
        <v>1</v>
      </c>
      <c r="H116" t="s">
        <v>179</v>
      </c>
      <c r="I116">
        <v>-28.584900000000001</v>
      </c>
      <c r="J116">
        <v>115.161</v>
      </c>
      <c r="K116" t="str">
        <f>HYPERLINK("http://geossdi.dmp.wa.gov.au/NVCLDataServices/mosaic.html?datasetid=4d800e60-1eb3-4e4d-b05b-d206e8d0017","Abbarwardoo 1_cuttings_Core Image")</f>
        <v>Abbarwardoo 1_cuttings_Core Image</v>
      </c>
    </row>
    <row r="117" spans="1:11" x14ac:dyDescent="0.25">
      <c r="A117" t="str">
        <f>HYPERLINK("http://www.corstruth.com.au/WA/00KE16_[Chips]_cs.png","00KE16 [Chips]_A4")</f>
        <v>00KE16 [Chips]_A4</v>
      </c>
      <c r="B117" t="str">
        <f>HYPERLINK("http://www.corstruth.com.au/WA/PNG2/00KE16_[Chips]_cs.png","00KE16 [Chips]_0.25m Bins")</f>
        <v>00KE16 [Chips]_0.25m Bins</v>
      </c>
      <c r="C117" t="str">
        <f>HYPERLINK("http://www.corstruth.com.au/WA/CSV/00KE16_[Chips].csv","00KE16 [Chips]_CSV File 1m Bins")</f>
        <v>00KE16 [Chips]_CSV File 1m Bins</v>
      </c>
      <c r="E117" t="s">
        <v>1</v>
      </c>
      <c r="H117" t="s">
        <v>180</v>
      </c>
      <c r="I117">
        <v>-31.633600000000001</v>
      </c>
      <c r="J117">
        <v>117.712</v>
      </c>
    </row>
    <row r="118" spans="1:11" x14ac:dyDescent="0.25">
      <c r="A118" t="str">
        <f>HYPERLINK("http://www.corstruth.com.au/WA/00QU03_[Chips]_cs.png","00QU03 [Chips]_A4")</f>
        <v>00QU03 [Chips]_A4</v>
      </c>
      <c r="B118" t="str">
        <f>HYPERLINK("http://www.corstruth.com.au/WA/PNG2/00QU03_[Chips]_cs.png","00QU03 [Chips]_0.25m Bins")</f>
        <v>00QU03 [Chips]_0.25m Bins</v>
      </c>
      <c r="C118" t="str">
        <f>HYPERLINK("http://www.corstruth.com.au/WA/CSV/00QU03_[Chips].csv","00QU03 [Chips]_CSV File 1m Bins")</f>
        <v>00QU03 [Chips]_CSV File 1m Bins</v>
      </c>
      <c r="E118" t="s">
        <v>1</v>
      </c>
      <c r="H118" t="s">
        <v>180</v>
      </c>
      <c r="I118">
        <v>-32.002099999999999</v>
      </c>
      <c r="J118">
        <v>117.40600000000001</v>
      </c>
    </row>
    <row r="119" spans="1:11" x14ac:dyDescent="0.25">
      <c r="A119" t="str">
        <f>HYPERLINK("http://www.corstruth.com.au/WA/00ST03_[Chips]_cs.png","00ST03 [Chips]_A4")</f>
        <v>00ST03 [Chips]_A4</v>
      </c>
      <c r="B119" t="str">
        <f>HYPERLINK("http://www.corstruth.com.au/WA/PNG2/00ST03_[Chips]_cs.png","00ST03 [Chips]_0.25m Bins")</f>
        <v>00ST03 [Chips]_0.25m Bins</v>
      </c>
      <c r="C119" t="str">
        <f>HYPERLINK("http://www.corstruth.com.au/WA/CSV/00ST03_[Chips].csv","00ST03 [Chips]_CSV File 1m Bins")</f>
        <v>00ST03 [Chips]_CSV File 1m Bins</v>
      </c>
      <c r="E119" t="s">
        <v>1</v>
      </c>
      <c r="H119" t="s">
        <v>180</v>
      </c>
      <c r="I119">
        <v>-32.999299999999998</v>
      </c>
      <c r="J119">
        <v>119.122</v>
      </c>
    </row>
    <row r="120" spans="1:11" x14ac:dyDescent="0.25">
      <c r="A120" t="str">
        <f>HYPERLINK("http://www.corstruth.com.au/WA/00ST07_[Chips]_cs.png","00ST07 [Chips]_A4")</f>
        <v>00ST07 [Chips]_A4</v>
      </c>
      <c r="B120" t="str">
        <f>HYPERLINK("http://www.corstruth.com.au/WA/PNG2/00ST07_[Chips]_cs.png","00ST07 [Chips]_0.25m Bins")</f>
        <v>00ST07 [Chips]_0.25m Bins</v>
      </c>
      <c r="C120" t="str">
        <f>HYPERLINK("http://www.corstruth.com.au/WA/CSV/00ST07_[Chips].csv","00ST07 [Chips]_CSV File 1m Bins")</f>
        <v>00ST07 [Chips]_CSV File 1m Bins</v>
      </c>
      <c r="E120" t="s">
        <v>1</v>
      </c>
      <c r="H120" t="s">
        <v>180</v>
      </c>
      <c r="I120">
        <v>-32.960299999999997</v>
      </c>
      <c r="J120">
        <v>119.179</v>
      </c>
    </row>
    <row r="121" spans="1:11" x14ac:dyDescent="0.25">
      <c r="A121" t="str">
        <f>HYPERLINK("http://www.corstruth.com.au/WA/02BD05_[Chips]_cs.png","02BD05 [Chips]_A4")</f>
        <v>02BD05 [Chips]_A4</v>
      </c>
      <c r="B121" t="str">
        <f>HYPERLINK("http://www.corstruth.com.au/WA/PNG2/02BD05_[Chips]_cs.png","02BD05 [Chips]_0.25m Bins")</f>
        <v>02BD05 [Chips]_0.25m Bins</v>
      </c>
      <c r="C121" t="str">
        <f>HYPERLINK("http://www.corstruth.com.au/WA/CSV/02BD05_[Chips].csv","02BD05 [Chips]_CSV File 1m Bins")</f>
        <v>02BD05 [Chips]_CSV File 1m Bins</v>
      </c>
      <c r="E121" t="s">
        <v>1</v>
      </c>
      <c r="H121" t="s">
        <v>180</v>
      </c>
      <c r="I121">
        <v>-32.800899999999999</v>
      </c>
      <c r="J121">
        <v>116.465</v>
      </c>
    </row>
    <row r="122" spans="1:11" x14ac:dyDescent="0.25">
      <c r="A122" t="str">
        <f>HYPERLINK("http://www.corstruth.com.au/WA/02BD08_[Chips]_cs.png","02BD08 [Chips]_A4")</f>
        <v>02BD08 [Chips]_A4</v>
      </c>
      <c r="B122" t="str">
        <f>HYPERLINK("http://www.corstruth.com.au/WA/PNG2/02BD08_[Chips]_cs.png","02BD08 [Chips]_0.25m Bins")</f>
        <v>02BD08 [Chips]_0.25m Bins</v>
      </c>
      <c r="C122" t="str">
        <f>HYPERLINK("http://www.corstruth.com.au/WA/CSV/02BD08_[Chips].csv","02BD08 [Chips]_CSV File 1m Bins")</f>
        <v>02BD08 [Chips]_CSV File 1m Bins</v>
      </c>
      <c r="E122" t="s">
        <v>1</v>
      </c>
      <c r="H122" t="s">
        <v>180</v>
      </c>
      <c r="I122">
        <v>-32.802900000000001</v>
      </c>
      <c r="J122">
        <v>116.468</v>
      </c>
    </row>
    <row r="123" spans="1:11" x14ac:dyDescent="0.25">
      <c r="A123" t="str">
        <f>HYPERLINK("http://www.corstruth.com.au/WA/02BD09_[Chips]_cs.png","02BD09 [Chips]_A4")</f>
        <v>02BD09 [Chips]_A4</v>
      </c>
      <c r="B123" t="str">
        <f>HYPERLINK("http://www.corstruth.com.au/WA/PNG2/02BD09_[Chips]_cs.png","02BD09 [Chips]_0.25m Bins")</f>
        <v>02BD09 [Chips]_0.25m Bins</v>
      </c>
      <c r="C123" t="str">
        <f>HYPERLINK("http://www.corstruth.com.au/WA/CSV/02BD09_[Chips].csv","02BD09 [Chips]_CSV File 1m Bins")</f>
        <v>02BD09 [Chips]_CSV File 1m Bins</v>
      </c>
      <c r="E123" t="s">
        <v>1</v>
      </c>
      <c r="H123" t="s">
        <v>180</v>
      </c>
      <c r="I123">
        <v>-32.800899999999999</v>
      </c>
      <c r="J123">
        <v>116.465</v>
      </c>
    </row>
    <row r="124" spans="1:11" x14ac:dyDescent="0.25">
      <c r="A124" t="str">
        <f>HYPERLINK("http://www.corstruth.com.au/WA/02BL03_[Chips]_cs.png","02BL03 [Chips]_A4")</f>
        <v>02BL03 [Chips]_A4</v>
      </c>
      <c r="B124" t="str">
        <f>HYPERLINK("http://www.corstruth.com.au/WA/PNG2/02BL03_[Chips]_cs.png","02BL03 [Chips]_0.25m Bins")</f>
        <v>02BL03 [Chips]_0.25m Bins</v>
      </c>
      <c r="C124" t="str">
        <f>HYPERLINK("http://www.corstruth.com.au/WA/CSV/02BL03_[Chips].csv","02BL03 [Chips]_CSV File 1m Bins")</f>
        <v>02BL03 [Chips]_CSV File 1m Bins</v>
      </c>
      <c r="E124" t="s">
        <v>1</v>
      </c>
      <c r="H124" t="s">
        <v>180</v>
      </c>
      <c r="I124">
        <v>-32.495399999999997</v>
      </c>
      <c r="J124">
        <v>117.745</v>
      </c>
    </row>
    <row r="125" spans="1:11" x14ac:dyDescent="0.25">
      <c r="A125" t="str">
        <f>HYPERLINK("http://www.corstruth.com.au/WA/02DK05_[Chips]_cs.png","02DK05 [Chips]_A4")</f>
        <v>02DK05 [Chips]_A4</v>
      </c>
      <c r="B125" t="str">
        <f>HYPERLINK("http://www.corstruth.com.au/WA/PNG2/02DK05_[Chips]_cs.png","02DK05 [Chips]_0.25m Bins")</f>
        <v>02DK05 [Chips]_0.25m Bins</v>
      </c>
      <c r="C125" t="str">
        <f>HYPERLINK("http://www.corstruth.com.au/WA/CSV/02DK05_[Chips].csv","02DK05 [Chips]_CSV File 1m Bins")</f>
        <v>02DK05 [Chips]_CSV File 1m Bins</v>
      </c>
      <c r="E125" t="s">
        <v>1</v>
      </c>
      <c r="H125" t="s">
        <v>180</v>
      </c>
      <c r="I125">
        <v>-33.334400000000002</v>
      </c>
      <c r="J125">
        <v>116.76</v>
      </c>
    </row>
    <row r="126" spans="1:11" x14ac:dyDescent="0.25">
      <c r="A126" t="str">
        <f>HYPERLINK("http://www.corstruth.com.au/WA/02LB02_[Chips]_cs.png","02LB02 [Chips]_A4")</f>
        <v>02LB02 [Chips]_A4</v>
      </c>
      <c r="B126" t="str">
        <f>HYPERLINK("http://www.corstruth.com.au/WA/PNG2/02LB02_[Chips]_cs.png","02LB02 [Chips]_0.25m Bins")</f>
        <v>02LB02 [Chips]_0.25m Bins</v>
      </c>
      <c r="C126" t="str">
        <f>HYPERLINK("http://www.corstruth.com.au/WA/CSV/02LB02_[Chips].csv","02LB02 [Chips]_CSV File 1m Bins")</f>
        <v>02LB02 [Chips]_CSV File 1m Bins</v>
      </c>
      <c r="E126" t="s">
        <v>1</v>
      </c>
      <c r="H126" t="s">
        <v>180</v>
      </c>
      <c r="I126">
        <v>-33.300199999999997</v>
      </c>
      <c r="J126">
        <v>118.637</v>
      </c>
    </row>
    <row r="127" spans="1:11" x14ac:dyDescent="0.25">
      <c r="A127" t="str">
        <f>HYPERLINK("http://www.corstruth.com.au/WA/02LB03_[Chips]_cs.png","02LB03 [Chips]_A4")</f>
        <v>02LB03 [Chips]_A4</v>
      </c>
      <c r="B127" t="str">
        <f>HYPERLINK("http://www.corstruth.com.au/WA/PNG2/02LB03_[Chips]_cs.png","02LB03 [Chips]_0.25m Bins")</f>
        <v>02LB03 [Chips]_0.25m Bins</v>
      </c>
      <c r="C127" t="str">
        <f>HYPERLINK("http://www.corstruth.com.au/WA/CSV/02LB03_[Chips].csv","02LB03 [Chips]_CSV File 1m Bins")</f>
        <v>02LB03 [Chips]_CSV File 1m Bins</v>
      </c>
      <c r="E127" t="s">
        <v>1</v>
      </c>
      <c r="H127" t="s">
        <v>180</v>
      </c>
      <c r="I127">
        <v>-33.288600000000002</v>
      </c>
      <c r="J127">
        <v>118.655</v>
      </c>
    </row>
    <row r="128" spans="1:11" x14ac:dyDescent="0.25">
      <c r="A128" t="str">
        <f>HYPERLINK("http://www.corstruth.com.au/WA/02LB05_[Chips]_cs.png","02LB05 [Chips]_A4")</f>
        <v>02LB05 [Chips]_A4</v>
      </c>
      <c r="B128" t="str">
        <f>HYPERLINK("http://www.corstruth.com.au/WA/PNG2/02LB05_[Chips]_cs.png","02LB05 [Chips]_0.25m Bins")</f>
        <v>02LB05 [Chips]_0.25m Bins</v>
      </c>
      <c r="C128" t="str">
        <f>HYPERLINK("http://www.corstruth.com.au/WA/CSV/02LB05_[Chips].csv","02LB05 [Chips]_CSV File 1m Bins")</f>
        <v>02LB05 [Chips]_CSV File 1m Bins</v>
      </c>
      <c r="E128" t="s">
        <v>1</v>
      </c>
      <c r="H128" t="s">
        <v>180</v>
      </c>
      <c r="I128">
        <v>-33.248399999999997</v>
      </c>
      <c r="J128">
        <v>118.732</v>
      </c>
    </row>
    <row r="129" spans="1:10" x14ac:dyDescent="0.25">
      <c r="A129" t="str">
        <f>HYPERLINK("http://www.corstruth.com.au/WA/02LB06_[Chips]_cs.png","02LB06 [Chips]_A4")</f>
        <v>02LB06 [Chips]_A4</v>
      </c>
      <c r="B129" t="str">
        <f>HYPERLINK("http://www.corstruth.com.au/WA/PNG2/02LB06_[Chips]_cs.png","02LB06 [Chips]_0.25m Bins")</f>
        <v>02LB06 [Chips]_0.25m Bins</v>
      </c>
      <c r="C129" t="str">
        <f>HYPERLINK("http://www.corstruth.com.au/WA/CSV/02LB06_[Chips].csv","02LB06 [Chips]_CSV File 1m Bins")</f>
        <v>02LB06 [Chips]_CSV File 1m Bins</v>
      </c>
      <c r="E129" t="s">
        <v>1</v>
      </c>
      <c r="H129" t="s">
        <v>180</v>
      </c>
      <c r="I129">
        <v>-33.250300000000003</v>
      </c>
      <c r="J129">
        <v>118.723</v>
      </c>
    </row>
    <row r="130" spans="1:10" x14ac:dyDescent="0.25">
      <c r="A130" t="str">
        <f>HYPERLINK("http://www.corstruth.com.au/WA/02LB07_[Chips]_cs.png","02LB07 [Chips]_A4")</f>
        <v>02LB07 [Chips]_A4</v>
      </c>
      <c r="B130" t="str">
        <f>HYPERLINK("http://www.corstruth.com.au/WA/PNG2/02LB07_[Chips]_cs.png","02LB07 [Chips]_0.25m Bins")</f>
        <v>02LB07 [Chips]_0.25m Bins</v>
      </c>
      <c r="C130" t="str">
        <f>HYPERLINK("http://www.corstruth.com.au/WA/CSV/02LB07_[Chips].csv","02LB07 [Chips]_CSV File 1m Bins")</f>
        <v>02LB07 [Chips]_CSV File 1m Bins</v>
      </c>
      <c r="E130" t="s">
        <v>1</v>
      </c>
      <c r="H130" t="s">
        <v>180</v>
      </c>
      <c r="I130">
        <v>-33.252699999999997</v>
      </c>
      <c r="J130">
        <v>118.71299999999999</v>
      </c>
    </row>
    <row r="131" spans="1:10" x14ac:dyDescent="0.25">
      <c r="A131" t="str">
        <f>HYPERLINK("http://www.corstruth.com.au/WA/02LB11_[Chips]_cs.png","02LB11 [Chips]_A4")</f>
        <v>02LB11 [Chips]_A4</v>
      </c>
      <c r="B131" t="str">
        <f>HYPERLINK("http://www.corstruth.com.au/WA/PNG2/02LB11_[Chips]_cs.png","02LB11 [Chips]_0.25m Bins")</f>
        <v>02LB11 [Chips]_0.25m Bins</v>
      </c>
      <c r="C131" t="str">
        <f>HYPERLINK("http://www.corstruth.com.au/WA/CSV/02LB11_[Chips].csv","02LB11 [Chips]_CSV File 1m Bins")</f>
        <v>02LB11 [Chips]_CSV File 1m Bins</v>
      </c>
      <c r="E131" t="s">
        <v>1</v>
      </c>
      <c r="H131" t="s">
        <v>180</v>
      </c>
      <c r="I131">
        <v>-33.309199999999997</v>
      </c>
      <c r="J131">
        <v>118.755</v>
      </c>
    </row>
    <row r="132" spans="1:10" x14ac:dyDescent="0.25">
      <c r="A132" t="str">
        <f>HYPERLINK("http://www.corstruth.com.au/WA/02LB12_[Chips]_cs.png","02LB12 [Chips]_A4")</f>
        <v>02LB12 [Chips]_A4</v>
      </c>
      <c r="B132" t="str">
        <f>HYPERLINK("http://www.corstruth.com.au/WA/PNG2/02LB12_[Chips]_cs.png","02LB12 [Chips]_0.25m Bins")</f>
        <v>02LB12 [Chips]_0.25m Bins</v>
      </c>
      <c r="C132" t="str">
        <f>HYPERLINK("http://www.corstruth.com.au/WA/CSV/02LB12_[Chips].csv","02LB12 [Chips]_CSV File 1m Bins")</f>
        <v>02LB12 [Chips]_CSV File 1m Bins</v>
      </c>
      <c r="E132" t="s">
        <v>1</v>
      </c>
      <c r="H132" t="s">
        <v>180</v>
      </c>
      <c r="I132">
        <v>-33.308199999999999</v>
      </c>
      <c r="J132">
        <v>118.75700000000001</v>
      </c>
    </row>
    <row r="133" spans="1:10" x14ac:dyDescent="0.25">
      <c r="A133" t="str">
        <f>HYPERLINK("http://www.corstruth.com.au/WA/02LB13_[Chips]_cs.png","02LB13 [Chips]_A4")</f>
        <v>02LB13 [Chips]_A4</v>
      </c>
      <c r="B133" t="str">
        <f>HYPERLINK("http://www.corstruth.com.au/WA/PNG2/02LB13_[Chips]_cs.png","02LB13 [Chips]_0.25m Bins")</f>
        <v>02LB13 [Chips]_0.25m Bins</v>
      </c>
      <c r="C133" t="str">
        <f>HYPERLINK("http://www.corstruth.com.au/WA/CSV/02LB13_[Chips].csv","02LB13 [Chips]_CSV File 1m Bins")</f>
        <v>02LB13 [Chips]_CSV File 1m Bins</v>
      </c>
      <c r="E133" t="s">
        <v>1</v>
      </c>
      <c r="H133" t="s">
        <v>180</v>
      </c>
      <c r="I133">
        <v>-33.310600000000001</v>
      </c>
      <c r="J133">
        <v>118.752</v>
      </c>
    </row>
    <row r="134" spans="1:10" x14ac:dyDescent="0.25">
      <c r="A134" t="str">
        <f>HYPERLINK("http://www.corstruth.com.au/WA/02LB16_[Chips]_cs.png","02LB16 [Chips]_A4")</f>
        <v>02LB16 [Chips]_A4</v>
      </c>
      <c r="B134" t="str">
        <f>HYPERLINK("http://www.corstruth.com.au/WA/PNG2/02LB16_[Chips]_cs.png","02LB16 [Chips]_0.25m Bins")</f>
        <v>02LB16 [Chips]_0.25m Bins</v>
      </c>
      <c r="C134" t="str">
        <f>HYPERLINK("http://www.corstruth.com.au/WA/CSV/02LB16_[Chips].csv","02LB16 [Chips]_CSV File 1m Bins")</f>
        <v>02LB16 [Chips]_CSV File 1m Bins</v>
      </c>
      <c r="E134" t="s">
        <v>1</v>
      </c>
      <c r="H134" t="s">
        <v>180</v>
      </c>
      <c r="I134">
        <v>-33.359299999999998</v>
      </c>
      <c r="J134">
        <v>118.77800000000001</v>
      </c>
    </row>
    <row r="135" spans="1:10" x14ac:dyDescent="0.25">
      <c r="A135" t="str">
        <f>HYPERLINK("http://www.corstruth.com.au/WA/02LB17_[Chips]_cs.png","02LB17 [Chips]_A4")</f>
        <v>02LB17 [Chips]_A4</v>
      </c>
      <c r="B135" t="str">
        <f>HYPERLINK("http://www.corstruth.com.au/WA/PNG2/02LB17_[Chips]_cs.png","02LB17 [Chips]_0.25m Bins")</f>
        <v>02LB17 [Chips]_0.25m Bins</v>
      </c>
      <c r="C135" t="str">
        <f>HYPERLINK("http://www.corstruth.com.au/WA/CSV/02LB17_[Chips].csv","02LB17 [Chips]_CSV File 1m Bins")</f>
        <v>02LB17 [Chips]_CSV File 1m Bins</v>
      </c>
      <c r="E135" t="s">
        <v>1</v>
      </c>
      <c r="H135" t="s">
        <v>180</v>
      </c>
      <c r="I135">
        <v>-33.360999999999997</v>
      </c>
      <c r="J135">
        <v>118.798</v>
      </c>
    </row>
    <row r="136" spans="1:10" x14ac:dyDescent="0.25">
      <c r="A136" t="str">
        <f>HYPERLINK("http://www.corstruth.com.au/WA/02LB18_[Chips]_cs.png","02LB18 [Chips]_A4")</f>
        <v>02LB18 [Chips]_A4</v>
      </c>
      <c r="B136" t="str">
        <f>HYPERLINK("http://www.corstruth.com.au/WA/PNG2/02LB18_[Chips]_cs.png","02LB18 [Chips]_0.25m Bins")</f>
        <v>02LB18 [Chips]_0.25m Bins</v>
      </c>
      <c r="C136" t="str">
        <f>HYPERLINK("http://www.corstruth.com.au/WA/CSV/02LB18_[Chips].csv","02LB18 [Chips]_CSV File 1m Bins")</f>
        <v>02LB18 [Chips]_CSV File 1m Bins</v>
      </c>
      <c r="E136" t="s">
        <v>1</v>
      </c>
      <c r="H136" t="s">
        <v>180</v>
      </c>
      <c r="I136">
        <v>-33.3611</v>
      </c>
      <c r="J136">
        <v>118.81100000000001</v>
      </c>
    </row>
    <row r="137" spans="1:10" x14ac:dyDescent="0.25">
      <c r="A137" t="str">
        <f>HYPERLINK("http://www.corstruth.com.au/WA/02LB19_[Chips]_cs.png","02LB19 [Chips]_A4")</f>
        <v>02LB19 [Chips]_A4</v>
      </c>
      <c r="B137" t="str">
        <f>HYPERLINK("http://www.corstruth.com.au/WA/PNG2/02LB19_[Chips]_cs.png","02LB19 [Chips]_0.25m Bins")</f>
        <v>02LB19 [Chips]_0.25m Bins</v>
      </c>
      <c r="C137" t="str">
        <f>HYPERLINK("http://www.corstruth.com.au/WA/CSV/02LB19_[Chips].csv","02LB19 [Chips]_CSV File 1m Bins")</f>
        <v>02LB19 [Chips]_CSV File 1m Bins</v>
      </c>
      <c r="E137" t="s">
        <v>1</v>
      </c>
      <c r="H137" t="s">
        <v>180</v>
      </c>
      <c r="I137">
        <v>-33.372100000000003</v>
      </c>
      <c r="J137">
        <v>118.842</v>
      </c>
    </row>
    <row r="138" spans="1:10" x14ac:dyDescent="0.25">
      <c r="A138" t="str">
        <f>HYPERLINK("http://www.corstruth.com.au/WA/02LB20_[Chips]_cs.png","02LB20 [Chips]_A4")</f>
        <v>02LB20 [Chips]_A4</v>
      </c>
      <c r="B138" t="str">
        <f>HYPERLINK("http://www.corstruth.com.au/WA/PNG2/02LB20_[Chips]_cs.png","02LB20 [Chips]_0.25m Bins")</f>
        <v>02LB20 [Chips]_0.25m Bins</v>
      </c>
      <c r="C138" t="str">
        <f>HYPERLINK("http://www.corstruth.com.au/WA/CSV/02LB20_[Chips].csv","02LB20 [Chips]_CSV File 1m Bins")</f>
        <v>02LB20 [Chips]_CSV File 1m Bins</v>
      </c>
      <c r="E138" t="s">
        <v>1</v>
      </c>
      <c r="H138" t="s">
        <v>180</v>
      </c>
      <c r="I138">
        <v>-33.362299999999998</v>
      </c>
      <c r="J138">
        <v>118.85</v>
      </c>
    </row>
    <row r="139" spans="1:10" x14ac:dyDescent="0.25">
      <c r="A139" t="str">
        <f>HYPERLINK("http://www.corstruth.com.au/WA/02WR01_[Chips]_cs.png","02WR01 [Chips]_A4")</f>
        <v>02WR01 [Chips]_A4</v>
      </c>
      <c r="B139" t="str">
        <f>HYPERLINK("http://www.corstruth.com.au/WA/PNG2/02WR01_[Chips]_cs.png","02WR01 [Chips]_0.25m Bins")</f>
        <v>02WR01 [Chips]_0.25m Bins</v>
      </c>
      <c r="C139" t="str">
        <f>HYPERLINK("http://www.corstruth.com.au/WA/CSV/02WR01_[Chips].csv","02WR01 [Chips]_CSV File 1m Bins")</f>
        <v>02WR01 [Chips]_CSV File 1m Bins</v>
      </c>
      <c r="E139" t="s">
        <v>1</v>
      </c>
      <c r="H139" t="s">
        <v>180</v>
      </c>
      <c r="I139">
        <v>-32.682899999999997</v>
      </c>
      <c r="J139">
        <v>116.676</v>
      </c>
    </row>
    <row r="140" spans="1:10" x14ac:dyDescent="0.25">
      <c r="A140" t="str">
        <f>HYPERLINK("http://www.corstruth.com.au/WA/02WR04_[Chips]_cs.png","02WR04 [Chips]_A4")</f>
        <v>02WR04 [Chips]_A4</v>
      </c>
      <c r="B140" t="str">
        <f>HYPERLINK("http://www.corstruth.com.au/WA/PNG2/02WR04_[Chips]_cs.png","02WR04 [Chips]_0.25m Bins")</f>
        <v>02WR04 [Chips]_0.25m Bins</v>
      </c>
      <c r="C140" t="str">
        <f>HYPERLINK("http://www.corstruth.com.au/WA/CSV/02WR04_[Chips].csv","02WR04 [Chips]_CSV File 1m Bins")</f>
        <v>02WR04 [Chips]_CSV File 1m Bins</v>
      </c>
      <c r="E140" t="s">
        <v>1</v>
      </c>
      <c r="H140" t="s">
        <v>180</v>
      </c>
      <c r="I140">
        <v>-32.681800000000003</v>
      </c>
      <c r="J140">
        <v>116.67700000000001</v>
      </c>
    </row>
    <row r="141" spans="1:10" x14ac:dyDescent="0.25">
      <c r="A141" t="str">
        <f>HYPERLINK("http://www.corstruth.com.au/WA/03MK01_[Chips]_cs.png","03MK01 [Chips]_A4")</f>
        <v>03MK01 [Chips]_A4</v>
      </c>
      <c r="B141" t="str">
        <f>HYPERLINK("http://www.corstruth.com.au/WA/PNG2/03MK01_[Chips]_cs.png","03MK01 [Chips]_0.25m Bins")</f>
        <v>03MK01 [Chips]_0.25m Bins</v>
      </c>
      <c r="C141" t="str">
        <f>HYPERLINK("http://www.corstruth.com.au/WA/CSV/03MK01_[Chips].csv","03MK01 [Chips]_CSV File 1m Bins")</f>
        <v>03MK01 [Chips]_CSV File 1m Bins</v>
      </c>
      <c r="E141" t="s">
        <v>1</v>
      </c>
      <c r="H141" t="s">
        <v>180</v>
      </c>
      <c r="I141">
        <v>-31.6477</v>
      </c>
      <c r="J141">
        <v>116.96599999999999</v>
      </c>
    </row>
    <row r="142" spans="1:10" x14ac:dyDescent="0.25">
      <c r="A142" t="str">
        <f>HYPERLINK("http://www.corstruth.com.au/WA/03MK02_[Chips]_cs.png","03MK02 [Chips]_A4")</f>
        <v>03MK02 [Chips]_A4</v>
      </c>
      <c r="B142" t="str">
        <f>HYPERLINK("http://www.corstruth.com.au/WA/PNG2/03MK02_[Chips]_cs.png","03MK02 [Chips]_0.25m Bins")</f>
        <v>03MK02 [Chips]_0.25m Bins</v>
      </c>
      <c r="C142" t="str">
        <f>HYPERLINK("http://www.corstruth.com.au/WA/CSV/03MK02_[Chips].csv","03MK02 [Chips]_CSV File 1m Bins")</f>
        <v>03MK02 [Chips]_CSV File 1m Bins</v>
      </c>
      <c r="E142" t="s">
        <v>1</v>
      </c>
      <c r="H142" t="s">
        <v>180</v>
      </c>
      <c r="I142">
        <v>-31.650400000000001</v>
      </c>
      <c r="J142">
        <v>116.96599999999999</v>
      </c>
    </row>
    <row r="143" spans="1:10" x14ac:dyDescent="0.25">
      <c r="A143" t="str">
        <f>HYPERLINK("http://www.corstruth.com.au/WA/07BN18_[Chips]_cs.png","07BN18 [Chips]_A4")</f>
        <v>07BN18 [Chips]_A4</v>
      </c>
      <c r="B143" t="str">
        <f>HYPERLINK("http://www.corstruth.com.au/WA/PNG2/07BN18_[Chips]_cs.png","07BN18 [Chips]_0.25m Bins")</f>
        <v>07BN18 [Chips]_0.25m Bins</v>
      </c>
      <c r="C143" t="str">
        <f>HYPERLINK("http://www.corstruth.com.au/WA/CSV/07BN18_[Chips].csv","07BN18 [Chips]_CSV File 1m Bins")</f>
        <v>07BN18 [Chips]_CSV File 1m Bins</v>
      </c>
      <c r="E143" t="s">
        <v>1</v>
      </c>
      <c r="H143" t="s">
        <v>180</v>
      </c>
      <c r="I143">
        <v>-30.285399999999999</v>
      </c>
      <c r="J143">
        <v>117.979</v>
      </c>
    </row>
    <row r="144" spans="1:10" x14ac:dyDescent="0.25">
      <c r="A144" t="str">
        <f>HYPERLINK("http://www.corstruth.com.au/WA/07DPK02_[Chips]_cs.png","07DPK02 [Chips]_A4")</f>
        <v>07DPK02 [Chips]_A4</v>
      </c>
      <c r="B144" t="str">
        <f>HYPERLINK("http://www.corstruth.com.au/WA/PNG2/07DPK02_[Chips]_cs.png","07DPK02 [Chips]_0.25m Bins")</f>
        <v>07DPK02 [Chips]_0.25m Bins</v>
      </c>
      <c r="C144" t="str">
        <f>HYPERLINK("http://www.corstruth.com.au/WA/CSV/07DPK02_[Chips].csv","07DPK02 [Chips]_CSV File 1m Bins")</f>
        <v>07DPK02 [Chips]_CSV File 1m Bins</v>
      </c>
      <c r="E144" t="s">
        <v>1</v>
      </c>
      <c r="H144" t="s">
        <v>180</v>
      </c>
      <c r="I144">
        <v>-33.537799999999997</v>
      </c>
      <c r="J144">
        <v>117.699</v>
      </c>
    </row>
    <row r="145" spans="1:10" x14ac:dyDescent="0.25">
      <c r="A145" t="str">
        <f>HYPERLINK("http://www.corstruth.com.au/WA/07DPK10_[Chips]_cs.png","07DPK10 [Chips]_A4")</f>
        <v>07DPK10 [Chips]_A4</v>
      </c>
      <c r="B145" t="str">
        <f>HYPERLINK("http://www.corstruth.com.au/WA/PNG2/07DPK10_[Chips]_cs.png","07DPK10 [Chips]_0.25m Bins")</f>
        <v>07DPK10 [Chips]_0.25m Bins</v>
      </c>
      <c r="C145" t="str">
        <f>HYPERLINK("http://www.corstruth.com.au/WA/CSV/07DPK10_[Chips].csv","07DPK10 [Chips]_CSV File 1m Bins")</f>
        <v>07DPK10 [Chips]_CSV File 1m Bins</v>
      </c>
      <c r="E145" t="s">
        <v>1</v>
      </c>
      <c r="H145" t="s">
        <v>180</v>
      </c>
      <c r="I145">
        <v>-33.620399999999997</v>
      </c>
      <c r="J145">
        <v>117.65300000000001</v>
      </c>
    </row>
    <row r="146" spans="1:10" x14ac:dyDescent="0.25">
      <c r="A146" t="str">
        <f>HYPERLINK("http://www.corstruth.com.au/WA/07DPK11_[Chips]_cs.png","07DPK11 [Chips]_A4")</f>
        <v>07DPK11 [Chips]_A4</v>
      </c>
      <c r="B146" t="str">
        <f>HYPERLINK("http://www.corstruth.com.au/WA/PNG2/07DPK11_[Chips]_cs.png","07DPK11 [Chips]_0.25m Bins")</f>
        <v>07DPK11 [Chips]_0.25m Bins</v>
      </c>
      <c r="C146" t="str">
        <f>HYPERLINK("http://www.corstruth.com.au/WA/CSV/07DPK11_[Chips].csv","07DPK11 [Chips]_CSV File 1m Bins")</f>
        <v>07DPK11 [Chips]_CSV File 1m Bins</v>
      </c>
      <c r="E146" t="s">
        <v>1</v>
      </c>
      <c r="H146" t="s">
        <v>180</v>
      </c>
      <c r="I146">
        <v>-33.613399999999999</v>
      </c>
      <c r="J146">
        <v>117.65300000000001</v>
      </c>
    </row>
    <row r="147" spans="1:10" x14ac:dyDescent="0.25">
      <c r="A147" t="str">
        <f>HYPERLINK("http://www.corstruth.com.au/WA/07EP06_[Chips]_cs.png","07EP06 [Chips]_A4")</f>
        <v>07EP06 [Chips]_A4</v>
      </c>
      <c r="B147" t="str">
        <f>HYPERLINK("http://www.corstruth.com.au/WA/PNG2/07EP06_[Chips]_cs.png","07EP06 [Chips]_0.25m Bins")</f>
        <v>07EP06 [Chips]_0.25m Bins</v>
      </c>
      <c r="C147" t="str">
        <f>HYPERLINK("http://www.corstruth.com.au/WA/CSV/07EP06_[Chips].csv","07EP06 [Chips]_CSV File 1m Bins")</f>
        <v>07EP06 [Chips]_CSV File 1m Bins</v>
      </c>
      <c r="E147" t="s">
        <v>1</v>
      </c>
      <c r="H147" t="s">
        <v>180</v>
      </c>
      <c r="I147">
        <v>-30.3842</v>
      </c>
      <c r="J147">
        <v>116.741</v>
      </c>
    </row>
    <row r="148" spans="1:10" x14ac:dyDescent="0.25">
      <c r="A148" t="str">
        <f>HYPERLINK("http://www.corstruth.com.au/WA/07EP07_[Chips]_cs.png","07EP07 [Chips]_A4")</f>
        <v>07EP07 [Chips]_A4</v>
      </c>
      <c r="B148" t="str">
        <f>HYPERLINK("http://www.corstruth.com.au/WA/PNG2/07EP07_[Chips]_cs.png","07EP07 [Chips]_0.25m Bins")</f>
        <v>07EP07 [Chips]_0.25m Bins</v>
      </c>
      <c r="C148" t="str">
        <f>HYPERLINK("http://www.corstruth.com.au/WA/CSV/07EP07_[Chips].csv","07EP07 [Chips]_CSV File 1m Bins")</f>
        <v>07EP07 [Chips]_CSV File 1m Bins</v>
      </c>
      <c r="E148" t="s">
        <v>1</v>
      </c>
      <c r="H148" t="s">
        <v>180</v>
      </c>
      <c r="I148">
        <v>-30.374700000000001</v>
      </c>
      <c r="J148">
        <v>116.712</v>
      </c>
    </row>
    <row r="149" spans="1:10" x14ac:dyDescent="0.25">
      <c r="A149" t="str">
        <f>HYPERLINK("http://www.corstruth.com.au/WA/07HO01_[Chips]_cs.png","07HO01 [Chips]_A4")</f>
        <v>07HO01 [Chips]_A4</v>
      </c>
      <c r="B149" t="str">
        <f>HYPERLINK("http://www.corstruth.com.au/WA/PNG2/07HO01_[Chips]_cs.png","07HO01 [Chips]_0.25m Bins")</f>
        <v>07HO01 [Chips]_0.25m Bins</v>
      </c>
      <c r="C149" t="str">
        <f>HYPERLINK("http://www.corstruth.com.au/WA/CSV/07HO01_[Chips].csv","07HO01 [Chips]_CSV File 1m Bins")</f>
        <v>07HO01 [Chips]_CSV File 1m Bins</v>
      </c>
      <c r="E149" t="s">
        <v>1</v>
      </c>
      <c r="H149" t="s">
        <v>180</v>
      </c>
      <c r="I149">
        <v>-31.9846</v>
      </c>
      <c r="J149">
        <v>119.07</v>
      </c>
    </row>
    <row r="150" spans="1:10" x14ac:dyDescent="0.25">
      <c r="A150" t="str">
        <f>HYPERLINK("http://www.corstruth.com.au/WA/07HO04_[Chips]_cs.png","07HO04 [Chips]_A4")</f>
        <v>07HO04 [Chips]_A4</v>
      </c>
      <c r="B150" t="str">
        <f>HYPERLINK("http://www.corstruth.com.au/WA/PNG2/07HO04_[Chips]_cs.png","07HO04 [Chips]_0.25m Bins")</f>
        <v>07HO04 [Chips]_0.25m Bins</v>
      </c>
      <c r="C150" t="str">
        <f>HYPERLINK("http://www.corstruth.com.au/WA/CSV/07HO04_[Chips].csv","07HO04 [Chips]_CSV File 1m Bins")</f>
        <v>07HO04 [Chips]_CSV File 1m Bins</v>
      </c>
      <c r="E150" t="s">
        <v>1</v>
      </c>
      <c r="H150" t="s">
        <v>180</v>
      </c>
      <c r="I150">
        <v>-31.991</v>
      </c>
      <c r="J150">
        <v>118.989</v>
      </c>
    </row>
    <row r="151" spans="1:10" x14ac:dyDescent="0.25">
      <c r="A151" t="str">
        <f>HYPERLINK("http://www.corstruth.com.au/WA/07HO06_[Chips]_cs.png","07HO06 [Chips]_A4")</f>
        <v>07HO06 [Chips]_A4</v>
      </c>
      <c r="B151" t="str">
        <f>HYPERLINK("http://www.corstruth.com.au/WA/PNG2/07HO06_[Chips]_cs.png","07HO06 [Chips]_0.25m Bins")</f>
        <v>07HO06 [Chips]_0.25m Bins</v>
      </c>
      <c r="C151" t="str">
        <f>HYPERLINK("http://www.corstruth.com.au/WA/CSV/07HO06_[Chips].csv","07HO06 [Chips]_CSV File 1m Bins")</f>
        <v>07HO06 [Chips]_CSV File 1m Bins</v>
      </c>
      <c r="E151" t="s">
        <v>1</v>
      </c>
      <c r="H151" t="s">
        <v>180</v>
      </c>
      <c r="I151">
        <v>-32.023000000000003</v>
      </c>
      <c r="J151">
        <v>118.899</v>
      </c>
    </row>
    <row r="152" spans="1:10" x14ac:dyDescent="0.25">
      <c r="A152" t="str">
        <f>HYPERLINK("http://www.corstruth.com.au/WA/07HO11_[Chips]_cs.png","07HO11 [Chips]_A4")</f>
        <v>07HO11 [Chips]_A4</v>
      </c>
      <c r="B152" t="str">
        <f>HYPERLINK("http://www.corstruth.com.au/WA/PNG2/07HO11_[Chips]_cs.png","07HO11 [Chips]_0.25m Bins")</f>
        <v>07HO11 [Chips]_0.25m Bins</v>
      </c>
      <c r="C152" t="str">
        <f>HYPERLINK("http://www.corstruth.com.au/WA/CSV/07HO11_[Chips].csv","07HO11 [Chips]_CSV File 1m Bins")</f>
        <v>07HO11 [Chips]_CSV File 1m Bins</v>
      </c>
      <c r="E152" t="s">
        <v>1</v>
      </c>
      <c r="H152" t="s">
        <v>180</v>
      </c>
      <c r="I152">
        <v>-32.033000000000001</v>
      </c>
      <c r="J152">
        <v>118.735</v>
      </c>
    </row>
    <row r="153" spans="1:10" x14ac:dyDescent="0.25">
      <c r="A153" t="str">
        <f>HYPERLINK("http://www.corstruth.com.au/WA/07KA07_[Chips]_cs.png","07KA07 [Chips]_A4")</f>
        <v>07KA07 [Chips]_A4</v>
      </c>
      <c r="B153" t="str">
        <f>HYPERLINK("http://www.corstruth.com.au/WA/PNG2/07KA07_[Chips]_cs.png","07KA07 [Chips]_0.25m Bins")</f>
        <v>07KA07 [Chips]_0.25m Bins</v>
      </c>
      <c r="C153" t="str">
        <f>HYPERLINK("http://www.corstruth.com.au/WA/CSV/07KA07_[Chips].csv","07KA07 [Chips]_CSV File 1m Bins")</f>
        <v>07KA07 [Chips]_CSV File 1m Bins</v>
      </c>
      <c r="E153" t="s">
        <v>1</v>
      </c>
      <c r="H153" t="s">
        <v>180</v>
      </c>
      <c r="I153">
        <v>-32.978700000000003</v>
      </c>
      <c r="J153">
        <v>119.72199999999999</v>
      </c>
    </row>
    <row r="154" spans="1:10" x14ac:dyDescent="0.25">
      <c r="A154" t="str">
        <f>HYPERLINK("http://www.corstruth.com.au/WA/07KG07_[Chips]_cs.png","07KG07 [Chips]_A4")</f>
        <v>07KG07 [Chips]_A4</v>
      </c>
      <c r="B154" t="str">
        <f>HYPERLINK("http://www.corstruth.com.au/WA/PNG2/07KG07_[Chips]_cs.png","07KG07 [Chips]_0.25m Bins")</f>
        <v>07KG07 [Chips]_0.25m Bins</v>
      </c>
      <c r="C154" t="str">
        <f>HYPERLINK("http://www.corstruth.com.au/WA/CSV/07KG07_[Chips].csv","07KG07 [Chips]_CSV File 1m Bins")</f>
        <v>07KG07 [Chips]_CSV File 1m Bins</v>
      </c>
      <c r="E154" t="s">
        <v>1</v>
      </c>
      <c r="H154" t="s">
        <v>180</v>
      </c>
      <c r="I154">
        <v>-32.4236</v>
      </c>
      <c r="J154">
        <v>118.584</v>
      </c>
    </row>
    <row r="155" spans="1:10" x14ac:dyDescent="0.25">
      <c r="A155" t="str">
        <f>HYPERLINK("http://www.corstruth.com.au/WA/07KU18_[Chips]_cs.png","07KU18 [Chips]_A4")</f>
        <v>07KU18 [Chips]_A4</v>
      </c>
      <c r="B155" t="str">
        <f>HYPERLINK("http://www.corstruth.com.au/WA/PNG2/07KU18_[Chips]_cs.png","07KU18 [Chips]_0.25m Bins")</f>
        <v>07KU18 [Chips]_0.25m Bins</v>
      </c>
      <c r="C155" t="str">
        <f>HYPERLINK("http://www.corstruth.com.au/WA/CSV/07KU18_[Chips].csv","07KU18 [Chips]_CSV File 1m Bins")</f>
        <v>07KU18 [Chips]_CSV File 1m Bins</v>
      </c>
      <c r="E155" t="s">
        <v>1</v>
      </c>
      <c r="H155" t="s">
        <v>180</v>
      </c>
      <c r="I155">
        <v>-32.908700000000003</v>
      </c>
      <c r="J155">
        <v>118.004</v>
      </c>
    </row>
    <row r="156" spans="1:10" x14ac:dyDescent="0.25">
      <c r="A156" t="str">
        <f>HYPERLINK("http://www.corstruth.com.au/WA/07MV01_[Chips]_cs.png","07MV01 [Chips]_A4")</f>
        <v>07MV01 [Chips]_A4</v>
      </c>
      <c r="B156" t="str">
        <f>HYPERLINK("http://www.corstruth.com.au/WA/PNG2/07MV01_[Chips]_cs.png","07MV01 [Chips]_0.25m Bins")</f>
        <v>07MV01 [Chips]_0.25m Bins</v>
      </c>
      <c r="C156" t="str">
        <f>HYPERLINK("http://www.corstruth.com.au/WA/CSV/07MV01_[Chips].csv","07MV01 [Chips]_CSV File 1m Bins")</f>
        <v>07MV01 [Chips]_CSV File 1m Bins</v>
      </c>
      <c r="E156" t="s">
        <v>1</v>
      </c>
      <c r="H156" t="s">
        <v>180</v>
      </c>
      <c r="I156">
        <v>-31.5547</v>
      </c>
      <c r="J156">
        <v>119.28400000000001</v>
      </c>
    </row>
    <row r="157" spans="1:10" x14ac:dyDescent="0.25">
      <c r="A157" t="str">
        <f>HYPERLINK("http://www.corstruth.com.au/WA/07MV05_[Chips]_cs.png","07MV05 [Chips]_A4")</f>
        <v>07MV05 [Chips]_A4</v>
      </c>
      <c r="B157" t="str">
        <f>HYPERLINK("http://www.corstruth.com.au/WA/PNG2/07MV05_[Chips]_cs.png","07MV05 [Chips]_0.25m Bins")</f>
        <v>07MV05 [Chips]_0.25m Bins</v>
      </c>
      <c r="C157" t="str">
        <f>HYPERLINK("http://www.corstruth.com.au/WA/CSV/07MV05_[Chips].csv","07MV05 [Chips]_CSV File 1m Bins")</f>
        <v>07MV05 [Chips]_CSV File 1m Bins</v>
      </c>
      <c r="E157" t="s">
        <v>1</v>
      </c>
      <c r="H157" t="s">
        <v>180</v>
      </c>
      <c r="I157">
        <v>-31.394100000000002</v>
      </c>
      <c r="J157">
        <v>119.36199999999999</v>
      </c>
    </row>
    <row r="158" spans="1:10" x14ac:dyDescent="0.25">
      <c r="A158" t="str">
        <f>HYPERLINK("http://www.corstruth.com.au/WA/07MV12_[Chips]_cs.png","07MV12 [Chips]_A4")</f>
        <v>07MV12 [Chips]_A4</v>
      </c>
      <c r="B158" t="str">
        <f>HYPERLINK("http://www.corstruth.com.au/WA/PNG2/07MV12_[Chips]_cs.png","07MV12 [Chips]_0.25m Bins")</f>
        <v>07MV12 [Chips]_0.25m Bins</v>
      </c>
      <c r="C158" t="str">
        <f>HYPERLINK("http://www.corstruth.com.au/WA/CSV/07MV12_[Chips].csv","07MV12 [Chips]_CSV File 1m Bins")</f>
        <v>07MV12 [Chips]_CSV File 1m Bins</v>
      </c>
      <c r="E158" t="s">
        <v>1</v>
      </c>
      <c r="H158" t="s">
        <v>180</v>
      </c>
      <c r="I158">
        <v>-31.256</v>
      </c>
      <c r="J158">
        <v>119.33</v>
      </c>
    </row>
    <row r="159" spans="1:10" x14ac:dyDescent="0.25">
      <c r="A159" t="str">
        <f>HYPERLINK("http://www.corstruth.com.au/WA/07WH04_[Chips]_cs.png","07WH04 [Chips]_A4")</f>
        <v>07WH04 [Chips]_A4</v>
      </c>
      <c r="B159" t="str">
        <f>HYPERLINK("http://www.corstruth.com.au/WA/PNG2/07WH04_[Chips]_cs.png","07WH04 [Chips]_0.25m Bins")</f>
        <v>07WH04 [Chips]_0.25m Bins</v>
      </c>
      <c r="C159" t="str">
        <f>HYPERLINK("http://www.corstruth.com.au/WA/CSV/07WH04_[Chips].csv","07WH04 [Chips]_CSV File 1m Bins")</f>
        <v>07WH04 [Chips]_CSV File 1m Bins</v>
      </c>
      <c r="E159" t="s">
        <v>1</v>
      </c>
      <c r="H159" t="s">
        <v>180</v>
      </c>
      <c r="I159">
        <v>-33.114199999999997</v>
      </c>
      <c r="J159">
        <v>117.58799999999999</v>
      </c>
    </row>
    <row r="160" spans="1:10" x14ac:dyDescent="0.25">
      <c r="A160" t="str">
        <f>HYPERLINK("http://www.corstruth.com.au/WA/08DA01_[Chips]_cs.png","08DA01 [Chips]_A4")</f>
        <v>08DA01 [Chips]_A4</v>
      </c>
      <c r="B160" t="str">
        <f>HYPERLINK("http://www.corstruth.com.au/WA/PNG2/08DA01_[Chips]_cs.png","08DA01 [Chips]_0.25m Bins")</f>
        <v>08DA01 [Chips]_0.25m Bins</v>
      </c>
      <c r="C160" t="str">
        <f>HYPERLINK("http://www.corstruth.com.au/WA/CSV/08DA01_[Chips].csv","08DA01 [Chips]_CSV File 1m Bins")</f>
        <v>08DA01 [Chips]_CSV File 1m Bins</v>
      </c>
      <c r="E160" t="s">
        <v>1</v>
      </c>
      <c r="H160" t="s">
        <v>180</v>
      </c>
      <c r="I160">
        <v>-32.795900000000003</v>
      </c>
      <c r="J160">
        <v>116.676</v>
      </c>
    </row>
    <row r="161" spans="1:11" x14ac:dyDescent="0.25">
      <c r="A161" t="str">
        <f>HYPERLINK("http://www.corstruth.com.au/WA/08DA02_[Chips]_cs.png","08DA02 [Chips]_A4")</f>
        <v>08DA02 [Chips]_A4</v>
      </c>
      <c r="B161" t="str">
        <f>HYPERLINK("http://www.corstruth.com.au/WA/PNG2/08DA02_[Chips]_cs.png","08DA02 [Chips]_0.25m Bins")</f>
        <v>08DA02 [Chips]_0.25m Bins</v>
      </c>
      <c r="C161" t="str">
        <f>HYPERLINK("http://www.corstruth.com.au/WA/CSV/08DA02_[Chips].csv","08DA02 [Chips]_CSV File 1m Bins")</f>
        <v>08DA02 [Chips]_CSV File 1m Bins</v>
      </c>
      <c r="E161" t="s">
        <v>1</v>
      </c>
      <c r="H161" t="s">
        <v>180</v>
      </c>
      <c r="I161">
        <v>-32.786200000000001</v>
      </c>
      <c r="J161">
        <v>116.666</v>
      </c>
    </row>
    <row r="162" spans="1:11" x14ac:dyDescent="0.25">
      <c r="A162" t="str">
        <f>HYPERLINK("http://www.corstruth.com.au/WA/08DD06_[Chips]_cs.png","08DD06 [Chips]_A4")</f>
        <v>08DD06 [Chips]_A4</v>
      </c>
      <c r="B162" t="str">
        <f>HYPERLINK("http://www.corstruth.com.au/WA/PNG2/08DD06_[Chips]_cs.png","08DD06 [Chips]_0.25m Bins")</f>
        <v>08DD06 [Chips]_0.25m Bins</v>
      </c>
      <c r="C162" t="str">
        <f>HYPERLINK("http://www.corstruth.com.au/WA/CSV/08DD06_[Chips].csv","08DD06 [Chips]_CSV File 1m Bins")</f>
        <v>08DD06 [Chips]_CSV File 1m Bins</v>
      </c>
      <c r="E162" t="s">
        <v>1</v>
      </c>
      <c r="H162" t="s">
        <v>180</v>
      </c>
      <c r="I162">
        <v>-33.259799999999998</v>
      </c>
      <c r="J162">
        <v>116.929</v>
      </c>
    </row>
    <row r="163" spans="1:11" x14ac:dyDescent="0.25">
      <c r="A163" t="str">
        <f>HYPERLINK("http://www.corstruth.com.au/WA/08DK01_[Chips]_cs.png","08DK01 [Chips]_A4")</f>
        <v>08DK01 [Chips]_A4</v>
      </c>
      <c r="B163" t="str">
        <f>HYPERLINK("http://www.corstruth.com.au/WA/PNG2/08DK01_[Chips]_cs.png","08DK01 [Chips]_0.25m Bins")</f>
        <v>08DK01 [Chips]_0.25m Bins</v>
      </c>
      <c r="C163" t="str">
        <f>HYPERLINK("http://www.corstruth.com.au/WA/CSV/08DK01_[Chips].csv","08DK01 [Chips]_CSV File 1m Bins")</f>
        <v>08DK01 [Chips]_CSV File 1m Bins</v>
      </c>
      <c r="E163" t="s">
        <v>1</v>
      </c>
      <c r="H163" t="s">
        <v>180</v>
      </c>
      <c r="I163">
        <v>-33.334600000000002</v>
      </c>
      <c r="J163">
        <v>116.742</v>
      </c>
    </row>
    <row r="164" spans="1:11" x14ac:dyDescent="0.25">
      <c r="A164" t="str">
        <f>HYPERLINK("http://www.corstruth.com.au/WA/08DK02_[Chips]_cs.png","08DK02 [Chips]_A4")</f>
        <v>08DK02 [Chips]_A4</v>
      </c>
      <c r="B164" t="str">
        <f>HYPERLINK("http://www.corstruth.com.au/WA/PNG2/08DK02_[Chips]_cs.png","08DK02 [Chips]_0.25m Bins")</f>
        <v>08DK02 [Chips]_0.25m Bins</v>
      </c>
      <c r="C164" t="str">
        <f>HYPERLINK("http://www.corstruth.com.au/WA/CSV/08DK02_[Chips].csv","08DK02 [Chips]_CSV File 1m Bins")</f>
        <v>08DK02 [Chips]_CSV File 1m Bins</v>
      </c>
      <c r="E164" t="s">
        <v>1</v>
      </c>
      <c r="H164" t="s">
        <v>180</v>
      </c>
      <c r="I164">
        <v>-33.334800000000001</v>
      </c>
      <c r="J164">
        <v>116.744</v>
      </c>
    </row>
    <row r="165" spans="1:11" x14ac:dyDescent="0.25">
      <c r="A165" t="str">
        <f>HYPERLINK("http://www.corstruth.com.au/WA/09LC05_[Chips]_cs.png","09LC05 [Chips]_A4")</f>
        <v>09LC05 [Chips]_A4</v>
      </c>
      <c r="B165" t="str">
        <f>HYPERLINK("http://www.corstruth.com.au/WA/PNG2/09LC05_[Chips]_cs.png","09LC05 [Chips]_0.25m Bins")</f>
        <v>09LC05 [Chips]_0.25m Bins</v>
      </c>
      <c r="C165" t="str">
        <f>HYPERLINK("http://www.corstruth.com.au/WA/CSV/09LC05_[Chips].csv","09LC05 [Chips]_CSV File 1m Bins")</f>
        <v>09LC05 [Chips]_CSV File 1m Bins</v>
      </c>
      <c r="E165" t="s">
        <v>1</v>
      </c>
      <c r="H165" t="s">
        <v>180</v>
      </c>
      <c r="I165">
        <v>-32.6402</v>
      </c>
      <c r="J165">
        <v>117.553</v>
      </c>
    </row>
    <row r="166" spans="1:11" x14ac:dyDescent="0.25">
      <c r="A166" t="str">
        <f>HYPERLINK("http://www.corstruth.com.au/WA/09LC08_[Chips]_cs.png","09LC08 [Chips]_A4")</f>
        <v>09LC08 [Chips]_A4</v>
      </c>
      <c r="B166" t="str">
        <f>HYPERLINK("http://www.corstruth.com.au/WA/PNG2/09LC08_[Chips]_cs.png","09LC08 [Chips]_0.25m Bins")</f>
        <v>09LC08 [Chips]_0.25m Bins</v>
      </c>
      <c r="C166" t="str">
        <f>HYPERLINK("http://www.corstruth.com.au/WA/CSV/09LC08_[Chips].csv","09LC08 [Chips]_CSV File 1m Bins")</f>
        <v>09LC08 [Chips]_CSV File 1m Bins</v>
      </c>
      <c r="E166" t="s">
        <v>1</v>
      </c>
      <c r="H166" t="s">
        <v>180</v>
      </c>
      <c r="I166">
        <v>-32.6235</v>
      </c>
      <c r="J166">
        <v>117.571</v>
      </c>
    </row>
    <row r="167" spans="1:11" x14ac:dyDescent="0.25">
      <c r="A167" t="str">
        <f>HYPERLINK("http://www.corstruth.com.au/WA/BE10_[Chips]_cs.png","BE10 [Chips]_A4")</f>
        <v>BE10 [Chips]_A4</v>
      </c>
      <c r="B167" t="str">
        <f>HYPERLINK("http://www.corstruth.com.au/WA/PNG2/BE10_[Chips]_cs.png","BE10 [Chips]_0.25m Bins")</f>
        <v>BE10 [Chips]_0.25m Bins</v>
      </c>
      <c r="C167" t="str">
        <f>HYPERLINK("http://www.corstruth.com.au/WA/CSV/BE10_[Chips].csv","BE10 [Chips]_CSV File 1m Bins")</f>
        <v>BE10 [Chips]_CSV File 1m Bins</v>
      </c>
      <c r="E167" t="s">
        <v>1</v>
      </c>
      <c r="H167" t="s">
        <v>180</v>
      </c>
      <c r="I167">
        <v>-30.465299999999999</v>
      </c>
      <c r="J167">
        <v>117.82599999999999</v>
      </c>
    </row>
    <row r="168" spans="1:11" x14ac:dyDescent="0.25">
      <c r="A168" t="str">
        <f>HYPERLINK("http://www.corstruth.com.au/WA/BR26_[Chips]_cs.png","BR26 [Chips]_A4")</f>
        <v>BR26 [Chips]_A4</v>
      </c>
      <c r="B168" t="str">
        <f>HYPERLINK("http://www.corstruth.com.au/WA/PNG2/BR26_[Chips]_cs.png","BR26 [Chips]_0.25m Bins")</f>
        <v>BR26 [Chips]_0.25m Bins</v>
      </c>
      <c r="C168" t="str">
        <f>HYPERLINK("http://www.corstruth.com.au/WA/CSV/BR26_[Chips].csv","BR26 [Chips]_CSV File 1m Bins")</f>
        <v>BR26 [Chips]_CSV File 1m Bins</v>
      </c>
      <c r="E168" t="s">
        <v>1</v>
      </c>
      <c r="H168" t="s">
        <v>180</v>
      </c>
      <c r="I168">
        <v>-30.459700000000002</v>
      </c>
      <c r="J168">
        <v>117.828</v>
      </c>
    </row>
    <row r="169" spans="1:11" x14ac:dyDescent="0.25">
      <c r="A169" t="str">
        <f>HYPERLINK("http://www.corstruth.com.au/WA/KU04_[Chips]_cs.png","KU04 [Chips]_A4")</f>
        <v>KU04 [Chips]_A4</v>
      </c>
      <c r="B169" t="str">
        <f>HYPERLINK("http://www.corstruth.com.au/WA/PNG2/KU04_[Chips]_cs.png","KU04 [Chips]_0.25m Bins")</f>
        <v>KU04 [Chips]_0.25m Bins</v>
      </c>
      <c r="C169" t="str">
        <f>HYPERLINK("http://www.corstruth.com.au/WA/CSV/KU04_[Chips].csv","KU04 [Chips]_CSV File 1m Bins")</f>
        <v>KU04 [Chips]_CSV File 1m Bins</v>
      </c>
      <c r="E169" t="s">
        <v>1</v>
      </c>
      <c r="H169" t="s">
        <v>180</v>
      </c>
      <c r="I169">
        <v>-30.9373</v>
      </c>
      <c r="J169">
        <v>117.946</v>
      </c>
    </row>
    <row r="170" spans="1:11" x14ac:dyDescent="0.25">
      <c r="A170" t="str">
        <f>HYPERLINK("http://www.corstruth.com.au/WA/SS9711_[Chips]_cs.png","SS9711 [Chips]_A4")</f>
        <v>SS9711 [Chips]_A4</v>
      </c>
      <c r="B170" t="str">
        <f>HYPERLINK("http://www.corstruth.com.au/WA/PNG2/SS9711_[Chips]_cs.png","SS9711 [Chips]_0.25m Bins")</f>
        <v>SS9711 [Chips]_0.25m Bins</v>
      </c>
      <c r="C170" t="str">
        <f>HYPERLINK("http://www.corstruth.com.au/WA/CSV/SS9711_[Chips].csv","SS9711 [Chips]_CSV File 1m Bins")</f>
        <v>SS9711 [Chips]_CSV File 1m Bins</v>
      </c>
      <c r="E170" t="s">
        <v>1</v>
      </c>
      <c r="H170" t="s">
        <v>180</v>
      </c>
      <c r="I170">
        <v>-32.884999999999998</v>
      </c>
      <c r="J170">
        <v>117.80200000000001</v>
      </c>
    </row>
    <row r="171" spans="1:11" x14ac:dyDescent="0.25">
      <c r="A171" t="str">
        <f>HYPERLINK("http://www.corstruth.com.au/WA/SS9723_[Chips]_cs.png","SS9723 [Chips]_A4")</f>
        <v>SS9723 [Chips]_A4</v>
      </c>
      <c r="B171" t="str">
        <f>HYPERLINK("http://www.corstruth.com.au/WA/PNG2/SS9723_[Chips]_cs.png","SS9723 [Chips]_0.25m Bins")</f>
        <v>SS9723 [Chips]_0.25m Bins</v>
      </c>
      <c r="C171" t="str">
        <f>HYPERLINK("http://www.corstruth.com.au/WA/CSV/SS9723_[Chips].csv","SS9723 [Chips]_CSV File 1m Bins")</f>
        <v>SS9723 [Chips]_CSV File 1m Bins</v>
      </c>
      <c r="E171" t="s">
        <v>1</v>
      </c>
      <c r="H171" t="s">
        <v>180</v>
      </c>
      <c r="I171">
        <v>-32.901699999999998</v>
      </c>
      <c r="J171">
        <v>117.788</v>
      </c>
    </row>
    <row r="172" spans="1:11" x14ac:dyDescent="0.25">
      <c r="A172" t="str">
        <f>HYPERLINK("http://www.corstruth.com.au/WA/WO01_[Chips]_cs.png","WO01 [Chips]_A4")</f>
        <v>WO01 [Chips]_A4</v>
      </c>
      <c r="B172" t="str">
        <f>HYPERLINK("http://www.corstruth.com.au/WA/PNG2/WO01_[Chips]_cs.png","WO01 [Chips]_0.25m Bins")</f>
        <v>WO01 [Chips]_0.25m Bins</v>
      </c>
      <c r="C172" t="str">
        <f>HYPERLINK("http://www.corstruth.com.au/WA/CSV/WO01_[Chips].csv","WO01 [Chips]_CSV File 1m Bins")</f>
        <v>WO01 [Chips]_CSV File 1m Bins</v>
      </c>
      <c r="E172" t="s">
        <v>1</v>
      </c>
      <c r="H172" t="s">
        <v>180</v>
      </c>
      <c r="I172">
        <v>-32.560200000000002</v>
      </c>
      <c r="J172">
        <v>117.46</v>
      </c>
    </row>
    <row r="173" spans="1:11" x14ac:dyDescent="0.25">
      <c r="A173" t="str">
        <f>HYPERLINK("http://www.corstruth.com.au/WA/WO05_[Chips]_cs.png","WO05 [Chips]_A4")</f>
        <v>WO05 [Chips]_A4</v>
      </c>
      <c r="B173" t="str">
        <f>HYPERLINK("http://www.corstruth.com.au/WA/PNG2/WO05_[Chips]_cs.png","WO05 [Chips]_0.25m Bins")</f>
        <v>WO05 [Chips]_0.25m Bins</v>
      </c>
      <c r="C173" t="str">
        <f>HYPERLINK("http://www.corstruth.com.au/WA/CSV/WO05_[Chips].csv","WO05 [Chips]_CSV File 1m Bins")</f>
        <v>WO05 [Chips]_CSV File 1m Bins</v>
      </c>
      <c r="E173" t="s">
        <v>1</v>
      </c>
      <c r="H173" t="s">
        <v>180</v>
      </c>
      <c r="I173">
        <v>-32.524099999999997</v>
      </c>
      <c r="J173">
        <v>117.46</v>
      </c>
    </row>
    <row r="174" spans="1:11" x14ac:dyDescent="0.25">
      <c r="A174" t="str">
        <f>HYPERLINK("http://www.corstruth.com.au/WA/YB01_[Chips]_cs.png","YB01 [Chips]_A4")</f>
        <v>YB01 [Chips]_A4</v>
      </c>
      <c r="B174" t="str">
        <f>HYPERLINK("http://www.corstruth.com.au/WA/PNG2/YB01_[Chips]_cs.png","YB01 [Chips]_0.25m Bins")</f>
        <v>YB01 [Chips]_0.25m Bins</v>
      </c>
      <c r="C174" t="str">
        <f>HYPERLINK("http://www.corstruth.com.au/WA/CSV/YB01_[Chips].csv","YB01 [Chips]_CSV File 1m Bins")</f>
        <v>YB01 [Chips]_CSV File 1m Bins</v>
      </c>
      <c r="E174" t="s">
        <v>1</v>
      </c>
      <c r="H174" t="s">
        <v>180</v>
      </c>
      <c r="I174">
        <v>-33.798499999999997</v>
      </c>
      <c r="J174">
        <v>116.613</v>
      </c>
    </row>
    <row r="175" spans="1:11" x14ac:dyDescent="0.25">
      <c r="A175" t="str">
        <f>HYPERLINK("http://www.corstruth.com.au/WA/Agonis_1_cuttings_cs.png","Agonis 1_cuttings_A4")</f>
        <v>Agonis 1_cuttings_A4</v>
      </c>
      <c r="B175" t="str">
        <f>HYPERLINK("http://www.corstruth.com.au/WA/PNG2/Agonis_1_cuttings_cs.png","Agonis 1_cuttings_0.25m Bins")</f>
        <v>Agonis 1_cuttings_0.25m Bins</v>
      </c>
      <c r="C175" t="str">
        <f>HYPERLINK("http://www.corstruth.com.au/WA/CSV/Agonis_1_cuttings.csv","Agonis 1_cuttings_CSV File 1m Bins")</f>
        <v>Agonis 1_cuttings_CSV File 1m Bins</v>
      </c>
      <c r="D175" t="s">
        <v>181</v>
      </c>
      <c r="E175" t="s">
        <v>1</v>
      </c>
      <c r="H175" t="s">
        <v>182</v>
      </c>
      <c r="I175">
        <v>-29.3109</v>
      </c>
      <c r="J175">
        <v>115.104</v>
      </c>
      <c r="K175" t="str">
        <f>HYPERLINK("http://geossdi.dmp.wa.gov.au/NVCLDataServices/mosaic.html?datasetid=12e8d283-fe2a-4675-8ac7-28060033195","Agonis 1_cuttings_Core Image")</f>
        <v>Agonis 1_cuttings_Core Image</v>
      </c>
    </row>
    <row r="176" spans="1:11" x14ac:dyDescent="0.25">
      <c r="A176" t="str">
        <f>HYPERLINK("http://www.corstruth.com.au/WA/BVD001_cs.png","BVD001_A4")</f>
        <v>BVD001_A4</v>
      </c>
      <c r="B176" t="str">
        <f>HYPERLINK("http://www.corstruth.com.au/WA/PNG2/BVD001_cs.png","BVD001_0.25m Bins")</f>
        <v>BVD001_0.25m Bins</v>
      </c>
      <c r="C176" t="str">
        <f>HYPERLINK("http://www.corstruth.com.au/WA/CSV/BVD001.csv","BVD001_CSV File 1m Bins")</f>
        <v>BVD001_CSV File 1m Bins</v>
      </c>
      <c r="D176" t="s">
        <v>183</v>
      </c>
      <c r="E176" t="s">
        <v>1</v>
      </c>
      <c r="G176" t="s">
        <v>184</v>
      </c>
      <c r="H176" t="s">
        <v>185</v>
      </c>
      <c r="I176">
        <v>-29.294</v>
      </c>
      <c r="J176">
        <v>124.925</v>
      </c>
      <c r="K176" t="str">
        <f>HYPERLINK("http://geossdi.dmp.wa.gov.au/NVCLDataServices/mosaic.html?datasetid=07a3e82f-decc-45fa-952a-0c0f45d6735","BVD001_Core Image")</f>
        <v>BVD001_Core Image</v>
      </c>
    </row>
    <row r="177" spans="1:11" x14ac:dyDescent="0.25">
      <c r="A177" t="str">
        <f>HYPERLINK("http://www.corstruth.com.au/WA/SCDD002_cs.png","SCDD002_A4")</f>
        <v>SCDD002_A4</v>
      </c>
      <c r="B177" t="str">
        <f>HYPERLINK("http://www.corstruth.com.au/WA/PNG2/SCDD002_cs.png","SCDD002_0.25m Bins")</f>
        <v>SCDD002_0.25m Bins</v>
      </c>
      <c r="C177" t="str">
        <f>HYPERLINK("http://www.corstruth.com.au/WA/CSV/SCDD002.csv","SCDD002_CSV File 1m Bins")</f>
        <v>SCDD002_CSV File 1m Bins</v>
      </c>
      <c r="D177" t="s">
        <v>186</v>
      </c>
      <c r="E177" t="s">
        <v>1</v>
      </c>
      <c r="G177" t="s">
        <v>184</v>
      </c>
      <c r="H177" t="s">
        <v>187</v>
      </c>
      <c r="I177">
        <v>-30.018599999999999</v>
      </c>
      <c r="J177">
        <v>124.038</v>
      </c>
      <c r="K177" t="str">
        <f>HYPERLINK("http://geossdi.dmp.wa.gov.au/NVCLDataServices/mosaic.html?datasetid=a0df696a-381e-4d61-9983-9cfa8b0632c","SCDD002_Core Image")</f>
        <v>SCDD002_Core Image</v>
      </c>
    </row>
    <row r="178" spans="1:11" x14ac:dyDescent="0.25">
      <c r="A178" t="str">
        <f>HYPERLINK("http://www.corstruth.com.au/WA/SFRD0017_cs.png","SFRD0017_A4")</f>
        <v>SFRD0017_A4</v>
      </c>
      <c r="B178" t="str">
        <f>HYPERLINK("http://www.corstruth.com.au/WA/PNG2/SFRD0017_cs.png","SFRD0017_0.25m Bins")</f>
        <v>SFRD0017_0.25m Bins</v>
      </c>
      <c r="C178" t="str">
        <f>HYPERLINK("http://www.corstruth.com.au/WA/CSV/SFRD0017.csv","SFRD0017_CSV File 1m Bins")</f>
        <v>SFRD0017_CSV File 1m Bins</v>
      </c>
      <c r="D178" t="s">
        <v>188</v>
      </c>
      <c r="E178" t="s">
        <v>1</v>
      </c>
      <c r="G178" t="s">
        <v>189</v>
      </c>
      <c r="H178" t="s">
        <v>190</v>
      </c>
      <c r="I178">
        <v>-31.817299999999999</v>
      </c>
      <c r="J178">
        <v>123.2</v>
      </c>
      <c r="K178" t="str">
        <f>HYPERLINK("http://geossdi.dmp.wa.gov.au/NVCLDataServices/mosaic.html?datasetid=64e108a1-5c98-46dd-9a24-6bd38321543","SFRD0017_Core Image")</f>
        <v>SFRD0017_Core Image</v>
      </c>
    </row>
    <row r="179" spans="1:11" x14ac:dyDescent="0.25">
      <c r="A179" t="str">
        <f>HYPERLINK("http://www.corstruth.com.au/WA/APRC004D_cs.png","APRC004D_A4")</f>
        <v>APRC004D_A4</v>
      </c>
      <c r="B179" t="str">
        <f>HYPERLINK("http://www.corstruth.com.au/WA/PNG2/APRC004D_cs.png","APRC004D_0.25m Bins")</f>
        <v>APRC004D_0.25m Bins</v>
      </c>
      <c r="C179" t="str">
        <f>HYPERLINK("http://www.corstruth.com.au/WA/CSV/APRC004D.csv","APRC004D_CSV File 1m Bins")</f>
        <v>APRC004D_CSV File 1m Bins</v>
      </c>
      <c r="D179" t="s">
        <v>191</v>
      </c>
      <c r="E179" t="s">
        <v>1</v>
      </c>
      <c r="G179" t="s">
        <v>192</v>
      </c>
      <c r="H179" t="s">
        <v>193</v>
      </c>
      <c r="I179">
        <v>-29.0245</v>
      </c>
      <c r="J179">
        <v>124.636</v>
      </c>
      <c r="K179" t="str">
        <f>HYPERLINK("http://geossdi.dmp.wa.gov.au/NVCLDataServices/mosaic.html?datasetid=1e358004-9d79-40c4-98fa-e23430a7fc4","APRC004D_Core Image")</f>
        <v>APRC004D_Core Image</v>
      </c>
    </row>
    <row r="180" spans="1:11" x14ac:dyDescent="0.25">
      <c r="A180" t="str">
        <f>HYPERLINK("http://www.corstruth.com.au/WA/BRDDH001_cs.png","BRDDH001_A4")</f>
        <v>BRDDH001_A4</v>
      </c>
      <c r="B180" t="str">
        <f>HYPERLINK("http://www.corstruth.com.au/WA/PNG2/BRDDH001_cs.png","BRDDH001_0.25m Bins")</f>
        <v>BRDDH001_0.25m Bins</v>
      </c>
      <c r="C180" t="str">
        <f>HYPERLINK("http://www.corstruth.com.au/WA/CSV/BRDDH001.csv","BRDDH001_CSV File 1m Bins")</f>
        <v>BRDDH001_CSV File 1m Bins</v>
      </c>
      <c r="D180" t="s">
        <v>194</v>
      </c>
      <c r="E180" t="s">
        <v>1</v>
      </c>
      <c r="G180" t="s">
        <v>195</v>
      </c>
      <c r="H180" t="s">
        <v>196</v>
      </c>
      <c r="I180">
        <v>-30.272300000000001</v>
      </c>
      <c r="J180">
        <v>124.979</v>
      </c>
      <c r="K180" t="str">
        <f>HYPERLINK("http://geossdi.dmp.wa.gov.au/NVCLDataServices/mosaic.html?datasetid=dd124667-c921-4a2c-86bf-ff808ffad84","BRDDH001_Core Image")</f>
        <v>BRDDH001_Core Image</v>
      </c>
    </row>
    <row r="181" spans="1:11" x14ac:dyDescent="0.25">
      <c r="A181" t="str">
        <f>HYPERLINK("http://www.corstruth.com.au/WA/BRDDH002_cs.png","BRDDH002_A4")</f>
        <v>BRDDH002_A4</v>
      </c>
      <c r="B181" t="str">
        <f>HYPERLINK("http://www.corstruth.com.au/WA/PNG2/BRDDH002_cs.png","BRDDH002_0.25m Bins")</f>
        <v>BRDDH002_0.25m Bins</v>
      </c>
      <c r="C181" t="str">
        <f>HYPERLINK("http://www.corstruth.com.au/WA/CSV/BRDDH002.csv","BRDDH002_CSV File 1m Bins")</f>
        <v>BRDDH002_CSV File 1m Bins</v>
      </c>
      <c r="D181" t="s">
        <v>197</v>
      </c>
      <c r="E181" t="s">
        <v>1</v>
      </c>
      <c r="G181" t="s">
        <v>195</v>
      </c>
      <c r="H181" t="s">
        <v>196</v>
      </c>
      <c r="I181">
        <v>-30.279499999999999</v>
      </c>
      <c r="J181">
        <v>124.94499999999999</v>
      </c>
      <c r="K181" t="str">
        <f>HYPERLINK("http://geossdi.dmp.wa.gov.au/NVCLDataServices/mosaic.html?datasetid=9c0be19f-03fa-4742-b85b-3bbe7cc3110","BRDDH002_Core Image")</f>
        <v>BRDDH002_Core Image</v>
      </c>
    </row>
    <row r="182" spans="1:11" x14ac:dyDescent="0.25">
      <c r="A182" t="str">
        <f>HYPERLINK("http://www.corstruth.com.au/WA/BKD_1_cs.png","BKD 1_A4")</f>
        <v>BKD 1_A4</v>
      </c>
      <c r="B182" t="str">
        <f>HYPERLINK("http://www.corstruth.com.au/WA/PNG2/BKD_1_cs.png","BKD 1_0.25m Bins")</f>
        <v>BKD 1_0.25m Bins</v>
      </c>
      <c r="C182" t="str">
        <f>HYPERLINK("http://www.corstruth.com.au/WA/CSV/BKD_1.csv","BKD 1_CSV File 1m Bins")</f>
        <v>BKD 1_CSV File 1m Bins</v>
      </c>
      <c r="D182" t="s">
        <v>198</v>
      </c>
      <c r="E182" t="s">
        <v>1</v>
      </c>
      <c r="G182" t="s">
        <v>195</v>
      </c>
      <c r="H182" t="s">
        <v>199</v>
      </c>
      <c r="I182">
        <v>-30.354500000000002</v>
      </c>
      <c r="J182">
        <v>126.209</v>
      </c>
      <c r="K182" t="str">
        <f>HYPERLINK("http://geossdi.dmp.wa.gov.au/NVCLDataServices/mosaic.html?datasetid=8a606adc-1195-4b5b-8abb-f9b807b7029","BKD 1_Core Image")</f>
        <v>BKD 1_Core Image</v>
      </c>
    </row>
    <row r="183" spans="1:11" x14ac:dyDescent="0.25">
      <c r="A183" t="str">
        <f>HYPERLINK("http://www.corstruth.com.au/WA/BKD_2_cs.png","BKD 2_A4")</f>
        <v>BKD 2_A4</v>
      </c>
      <c r="B183" t="str">
        <f>HYPERLINK("http://www.corstruth.com.au/WA/PNG2/BKD_2_cs.png","BKD 2_0.25m Bins")</f>
        <v>BKD 2_0.25m Bins</v>
      </c>
      <c r="C183" t="str">
        <f>HYPERLINK("http://www.corstruth.com.au/WA/CSV/BKD_2.csv","BKD 2_CSV File 1m Bins")</f>
        <v>BKD 2_CSV File 1m Bins</v>
      </c>
      <c r="D183" t="s">
        <v>200</v>
      </c>
      <c r="E183" t="s">
        <v>1</v>
      </c>
      <c r="G183" t="s">
        <v>195</v>
      </c>
      <c r="H183" t="s">
        <v>199</v>
      </c>
      <c r="I183">
        <v>-30.3687</v>
      </c>
      <c r="J183">
        <v>126.19799999999999</v>
      </c>
      <c r="K183" t="str">
        <f>HYPERLINK("http://geossdi.dmp.wa.gov.au/NVCLDataServices/mosaic.html?datasetid=10594477-d221-4057-8d63-92606e2d10a","BKD 2_Core Image")</f>
        <v>BKD 2_Core Image</v>
      </c>
    </row>
    <row r="184" spans="1:11" x14ac:dyDescent="0.25">
      <c r="A184" t="str">
        <f>HYPERLINK("http://www.corstruth.com.au/WA/BLRCD007_cs.png","BLRCD007_A4")</f>
        <v>BLRCD007_A4</v>
      </c>
      <c r="B184" t="str">
        <f>HYPERLINK("http://www.corstruth.com.au/WA/PNG2/BLRCD007_cs.png","BLRCD007_0.25m Bins")</f>
        <v>BLRCD007_0.25m Bins</v>
      </c>
      <c r="C184" t="str">
        <f>HYPERLINK("http://www.corstruth.com.au/WA/CSV/BLRCD007.csv","BLRCD007_CSV File 1m Bins")</f>
        <v>BLRCD007_CSV File 1m Bins</v>
      </c>
      <c r="D184" t="s">
        <v>201</v>
      </c>
      <c r="E184" t="s">
        <v>1</v>
      </c>
      <c r="G184" t="s">
        <v>195</v>
      </c>
      <c r="H184" t="s">
        <v>202</v>
      </c>
      <c r="I184">
        <v>-32.439500000000002</v>
      </c>
      <c r="J184">
        <v>123.88500000000001</v>
      </c>
      <c r="K184" t="str">
        <f>HYPERLINK("http://geossdi.dmp.wa.gov.au/NVCLDataServices/mosaic.html?datasetid=62680c56-f4b2-44cc-b8a4-2f7dada2efe","BLRCD007_Core Image")</f>
        <v>BLRCD007_Core Image</v>
      </c>
    </row>
    <row r="185" spans="1:11" x14ac:dyDescent="0.25">
      <c r="A185" t="str">
        <f>HYPERLINK("http://www.corstruth.com.au/WA/BLRCD006_cs.png","BLRCD006_A4")</f>
        <v>BLRCD006_A4</v>
      </c>
      <c r="B185" t="str">
        <f>HYPERLINK("http://www.corstruth.com.au/WA/PNG2/BLRCD006_cs.png","BLRCD006_0.25m Bins")</f>
        <v>BLRCD006_0.25m Bins</v>
      </c>
      <c r="C185" t="str">
        <f>HYPERLINK("http://www.corstruth.com.au/WA/CSV/BLRCD006.csv","BLRCD006_CSV File 1m Bins")</f>
        <v>BLRCD006_CSV File 1m Bins</v>
      </c>
      <c r="D185" t="s">
        <v>203</v>
      </c>
      <c r="E185" t="s">
        <v>1</v>
      </c>
      <c r="G185" t="s">
        <v>195</v>
      </c>
      <c r="H185" t="s">
        <v>204</v>
      </c>
      <c r="I185">
        <v>-32.729799999999997</v>
      </c>
      <c r="J185">
        <v>123.95099999999999</v>
      </c>
      <c r="K185" t="str">
        <f>HYPERLINK("http://geossdi.dmp.wa.gov.au/NVCLDataServices/mosaic.html?datasetid=a0d7ddb9-dcf6-4217-8add-a6d14adbef0","BLRCD006_Core Image")</f>
        <v>BLRCD006_Core Image</v>
      </c>
    </row>
    <row r="186" spans="1:11" x14ac:dyDescent="0.25">
      <c r="A186" t="str">
        <f>HYPERLINK("http://www.corstruth.com.au/WA/BLRCD005_cs.png","BLRCD005_A4")</f>
        <v>BLRCD005_A4</v>
      </c>
      <c r="B186" t="str">
        <f>HYPERLINK("http://www.corstruth.com.au/WA/PNG2/BLRCD005_cs.png","BLRCD005_0.25m Bins")</f>
        <v>BLRCD005_0.25m Bins</v>
      </c>
      <c r="C186" t="str">
        <f>HYPERLINK("http://www.corstruth.com.au/WA/CSV/BLRCD005.csv","BLRCD005_CSV File 1m Bins")</f>
        <v>BLRCD005_CSV File 1m Bins</v>
      </c>
      <c r="D186" t="s">
        <v>205</v>
      </c>
      <c r="E186" t="s">
        <v>1</v>
      </c>
      <c r="G186" t="s">
        <v>195</v>
      </c>
      <c r="H186" t="s">
        <v>206</v>
      </c>
      <c r="I186">
        <v>-32.518500000000003</v>
      </c>
      <c r="J186">
        <v>123.878</v>
      </c>
      <c r="K186" t="str">
        <f>HYPERLINK("http://geossdi.dmp.wa.gov.au/NVCLDataServices/mosaic.html?datasetid=e286c6ce-6c17-4628-ba7d-b84095285f9","BLRCD005_Core Image")</f>
        <v>BLRCD005_Core Image</v>
      </c>
    </row>
    <row r="187" spans="1:11" x14ac:dyDescent="0.25">
      <c r="A187" t="str">
        <f>HYPERLINK("http://www.corstruth.com.au/WA/HDDH001_cs.png","HDDH001_A4")</f>
        <v>HDDH001_A4</v>
      </c>
      <c r="B187" t="str">
        <f>HYPERLINK("http://www.corstruth.com.au/WA/PNG2/HDDH001_cs.png","HDDH001_0.25m Bins")</f>
        <v>HDDH001_0.25m Bins</v>
      </c>
      <c r="C187" t="str">
        <f>HYPERLINK("http://www.corstruth.com.au/WA/CSV/HDDH001.csv","HDDH001_CSV File 1m Bins")</f>
        <v>HDDH001_CSV File 1m Bins</v>
      </c>
      <c r="D187" t="s">
        <v>207</v>
      </c>
      <c r="E187" t="s">
        <v>1</v>
      </c>
      <c r="G187" t="s">
        <v>195</v>
      </c>
      <c r="H187" t="s">
        <v>208</v>
      </c>
      <c r="I187">
        <v>-31.0534</v>
      </c>
      <c r="J187">
        <v>126.07899999999999</v>
      </c>
      <c r="K187" t="str">
        <f>HYPERLINK("http://geossdi.dmp.wa.gov.au/NVCLDataServices/mosaic.html?datasetid=b9fd9560-bcff-4735-bb91-302c553d942","HDDH001_Core Image")</f>
        <v>HDDH001_Core Image</v>
      </c>
    </row>
    <row r="188" spans="1:11" x14ac:dyDescent="0.25">
      <c r="A188" t="str">
        <f>HYPERLINK("http://www.corstruth.com.au/WA/HDDH002_cs.png","HDDH002_A4")</f>
        <v>HDDH002_A4</v>
      </c>
      <c r="B188" t="str">
        <f>HYPERLINK("http://www.corstruth.com.au/WA/PNG2/HDDH002_cs.png","HDDH002_0.25m Bins")</f>
        <v>HDDH002_0.25m Bins</v>
      </c>
      <c r="C188" t="str">
        <f>HYPERLINK("http://www.corstruth.com.au/WA/CSV/HDDH002.csv","HDDH002_CSV File 1m Bins")</f>
        <v>HDDH002_CSV File 1m Bins</v>
      </c>
      <c r="D188" t="s">
        <v>209</v>
      </c>
      <c r="E188" t="s">
        <v>1</v>
      </c>
      <c r="G188" t="s">
        <v>195</v>
      </c>
      <c r="H188" t="s">
        <v>208</v>
      </c>
      <c r="I188">
        <v>-30.9451</v>
      </c>
      <c r="J188">
        <v>126.104</v>
      </c>
      <c r="K188" t="str">
        <f>HYPERLINK("http://geossdi.dmp.wa.gov.au/NVCLDataServices/mosaic.html?datasetid=9617b580-87be-465a-997f-f4bf339c435","HDDH002_Core Image")</f>
        <v>HDDH002_Core Image</v>
      </c>
    </row>
    <row r="189" spans="1:11" x14ac:dyDescent="0.25">
      <c r="A189" t="str">
        <f>HYPERLINK("http://www.corstruth.com.au/WA/NDDH002_cs.png","NDDH002_A4")</f>
        <v>NDDH002_A4</v>
      </c>
      <c r="B189" t="str">
        <f>HYPERLINK("http://www.corstruth.com.au/WA/PNG2/NDDH002_cs.png","NDDH002_0.25m Bins")</f>
        <v>NDDH002_0.25m Bins</v>
      </c>
      <c r="C189" t="str">
        <f>HYPERLINK("http://www.corstruth.com.au/WA/CSV/NDDH002.csv","NDDH002_CSV File 1m Bins")</f>
        <v>NDDH002_CSV File 1m Bins</v>
      </c>
      <c r="D189" t="s">
        <v>210</v>
      </c>
      <c r="E189" t="s">
        <v>1</v>
      </c>
      <c r="G189" t="s">
        <v>195</v>
      </c>
      <c r="H189" t="s">
        <v>211</v>
      </c>
      <c r="I189">
        <v>-30.1738</v>
      </c>
      <c r="J189">
        <v>125.41</v>
      </c>
      <c r="K189" t="str">
        <f>HYPERLINK("http://geossdi.dmp.wa.gov.au/NVCLDataServices/mosaic.html?datasetid=d31a68c1-8158-4d86-afa0-88a8b1ad719","NDDH002_Core Image")</f>
        <v>NDDH002_Core Image</v>
      </c>
    </row>
    <row r="190" spans="1:11" x14ac:dyDescent="0.25">
      <c r="A190" t="str">
        <f>HYPERLINK("http://www.corstruth.com.au/WA/SDDH001_cs.png","SDDH001_A4")</f>
        <v>SDDH001_A4</v>
      </c>
      <c r="B190" t="str">
        <f>HYPERLINK("http://www.corstruth.com.au/WA/PNG2/SDDH001_cs.png","SDDH001_0.25m Bins")</f>
        <v>SDDH001_0.25m Bins</v>
      </c>
      <c r="C190" t="str">
        <f>HYPERLINK("http://www.corstruth.com.au/WA/CSV/SDDH001.csv","SDDH001_CSV File 1m Bins")</f>
        <v>SDDH001_CSV File 1m Bins</v>
      </c>
      <c r="D190" t="s">
        <v>212</v>
      </c>
      <c r="E190" t="s">
        <v>1</v>
      </c>
      <c r="G190" t="s">
        <v>195</v>
      </c>
      <c r="H190" t="s">
        <v>213</v>
      </c>
      <c r="I190">
        <v>-31.227599999999999</v>
      </c>
      <c r="J190">
        <v>126.081</v>
      </c>
      <c r="K190" t="str">
        <f>HYPERLINK("http://geossdi.dmp.wa.gov.au/NVCLDataServices/mosaic.html?datasetid=b34e60c2-a18f-4262-8369-eddc337e967","SDDH001_Core Image")</f>
        <v>SDDH001_Core Image</v>
      </c>
    </row>
    <row r="191" spans="1:11" x14ac:dyDescent="0.25">
      <c r="A191" t="str">
        <f>HYPERLINK("http://www.corstruth.com.au/WA/SDDH002_cs.png","SDDH002_A4")</f>
        <v>SDDH002_A4</v>
      </c>
      <c r="B191" t="str">
        <f>HYPERLINK("http://www.corstruth.com.au/WA/PNG2/SDDH002_cs.png","SDDH002_0.25m Bins")</f>
        <v>SDDH002_0.25m Bins</v>
      </c>
      <c r="C191" t="str">
        <f>HYPERLINK("http://www.corstruth.com.au/WA/CSV/SDDH002.csv","SDDH002_CSV File 1m Bins")</f>
        <v>SDDH002_CSV File 1m Bins</v>
      </c>
      <c r="D191" t="s">
        <v>214</v>
      </c>
      <c r="E191" t="s">
        <v>1</v>
      </c>
      <c r="G191" t="s">
        <v>195</v>
      </c>
      <c r="H191" t="s">
        <v>213</v>
      </c>
      <c r="I191">
        <v>-31.215399999999999</v>
      </c>
      <c r="J191">
        <v>126.071</v>
      </c>
      <c r="K191" t="str">
        <f>HYPERLINK("http://geossdi.dmp.wa.gov.au/NVCLDataServices/mosaic.html?datasetid=f2fe8549-5692-4630-9d21-1aedc56ca72","SDDH002_Core Image")</f>
        <v>SDDH002_Core Image</v>
      </c>
    </row>
    <row r="192" spans="1:11" x14ac:dyDescent="0.25">
      <c r="A192" t="str">
        <f>HYPERLINK("http://www.corstruth.com.au/WA/19AFDD1009_cs.png","19AFDD1009_A4")</f>
        <v>19AFDD1009_A4</v>
      </c>
      <c r="B192" t="str">
        <f>HYPERLINK("http://www.corstruth.com.au/WA/PNG2/19AFDD1009_cs.png","19AFDD1009_0.25m Bins")</f>
        <v>19AFDD1009_0.25m Bins</v>
      </c>
      <c r="C192" t="str">
        <f>HYPERLINK("http://www.corstruth.com.au/WA/CSV/19AFDD1009.csv","19AFDD1009_CSV File 1m Bins")</f>
        <v>19AFDD1009_CSV File 1m Bins</v>
      </c>
      <c r="D192" t="s">
        <v>215</v>
      </c>
      <c r="E192" t="s">
        <v>1</v>
      </c>
      <c r="G192" t="s">
        <v>216</v>
      </c>
      <c r="H192" t="s">
        <v>217</v>
      </c>
      <c r="I192">
        <v>-30.632200000000001</v>
      </c>
      <c r="J192">
        <v>124.642</v>
      </c>
    </row>
    <row r="193" spans="1:11" x14ac:dyDescent="0.25">
      <c r="A193" t="str">
        <f>HYPERLINK("http://www.corstruth.com.au/WA/18AFRD002_cs.png","18AFRD002_A4")</f>
        <v>18AFRD002_A4</v>
      </c>
      <c r="B193" t="str">
        <f>HYPERLINK("http://www.corstruth.com.au/WA/PNG2/18AFRD002_cs.png","18AFRD002_0.25m Bins")</f>
        <v>18AFRD002_0.25m Bins</v>
      </c>
      <c r="C193" t="str">
        <f>HYPERLINK("http://www.corstruth.com.au/WA/CSV/18AFRD002.csv","18AFRD002_CSV File 1m Bins")</f>
        <v>18AFRD002_CSV File 1m Bins</v>
      </c>
      <c r="D193" t="s">
        <v>218</v>
      </c>
      <c r="E193" t="s">
        <v>1</v>
      </c>
      <c r="G193" t="s">
        <v>216</v>
      </c>
      <c r="H193" t="s">
        <v>219</v>
      </c>
      <c r="I193">
        <v>-31.269600000000001</v>
      </c>
      <c r="J193">
        <v>123.614</v>
      </c>
      <c r="K193" t="str">
        <f>HYPERLINK("http://geossdi.dmp.wa.gov.au/NVCLDataServices/mosaic.html?datasetid=dfa2ea42-3d6c-4cae-94b6-9c3e808a53a","18AFRD002_Core Image")</f>
        <v>18AFRD002_Core Image</v>
      </c>
    </row>
    <row r="194" spans="1:11" x14ac:dyDescent="0.25">
      <c r="A194" t="str">
        <f>HYPERLINK("http://www.corstruth.com.au/WA/FWDD001_cs.png","FWDD001_A4")</f>
        <v>FWDD001_A4</v>
      </c>
      <c r="B194" t="str">
        <f>HYPERLINK("http://www.corstruth.com.au/WA/PNG2/FWDD001_cs.png","FWDD001_0.25m Bins")</f>
        <v>FWDD001_0.25m Bins</v>
      </c>
      <c r="C194" t="str">
        <f>HYPERLINK("http://www.corstruth.com.au/WA/CSV/FWDD001.csv","FWDD001_CSV File 1m Bins")</f>
        <v>FWDD001_CSV File 1m Bins</v>
      </c>
      <c r="D194" t="s">
        <v>220</v>
      </c>
      <c r="E194" t="s">
        <v>1</v>
      </c>
      <c r="G194" t="s">
        <v>216</v>
      </c>
      <c r="H194" t="s">
        <v>221</v>
      </c>
      <c r="I194">
        <v>-32.620600000000003</v>
      </c>
      <c r="J194">
        <v>122.197</v>
      </c>
      <c r="K194" t="str">
        <f>HYPERLINK("http://geossdi.dmp.wa.gov.au/NVCLDataServices/mosaic.html?datasetid=4192d5df-acb4-4d2d-91da-97d8d7ee259","FWDD001_Core Image")</f>
        <v>FWDD001_Core Image</v>
      </c>
    </row>
    <row r="195" spans="1:11" x14ac:dyDescent="0.25">
      <c r="A195" t="str">
        <f>HYPERLINK("http://www.corstruth.com.au/WA/FWDD002_cs.png","FWDD002_A4")</f>
        <v>FWDD002_A4</v>
      </c>
      <c r="B195" t="str">
        <f>HYPERLINK("http://www.corstruth.com.au/WA/PNG2/FWDD002_cs.png","FWDD002_0.25m Bins")</f>
        <v>FWDD002_0.25m Bins</v>
      </c>
      <c r="C195" t="str">
        <f>HYPERLINK("http://www.corstruth.com.au/WA/CSV/FWDD002.csv","FWDD002_CSV File 1m Bins")</f>
        <v>FWDD002_CSV File 1m Bins</v>
      </c>
      <c r="D195" t="s">
        <v>222</v>
      </c>
      <c r="E195" t="s">
        <v>1</v>
      </c>
      <c r="G195" t="s">
        <v>216</v>
      </c>
      <c r="H195" t="s">
        <v>221</v>
      </c>
      <c r="I195">
        <v>-32.6205</v>
      </c>
      <c r="J195">
        <v>122.196</v>
      </c>
      <c r="K195" t="str">
        <f>HYPERLINK("http://geossdi.dmp.wa.gov.au/NVCLDataServices/mosaic.html?datasetid=48ba74ec-25bc-416e-9fdc-fa02a89d85d","FWDD002_Core Image")</f>
        <v>FWDD002_Core Image</v>
      </c>
    </row>
    <row r="196" spans="1:11" x14ac:dyDescent="0.25">
      <c r="A196" t="str">
        <f>HYPERLINK("http://www.corstruth.com.au/WA/FWDD003_cs.png","FWDD003_A4")</f>
        <v>FWDD003_A4</v>
      </c>
      <c r="B196" t="str">
        <f>HYPERLINK("http://www.corstruth.com.au/WA/PNG2/FWDD003_cs.png","FWDD003_0.25m Bins")</f>
        <v>FWDD003_0.25m Bins</v>
      </c>
      <c r="C196" t="str">
        <f>HYPERLINK("http://www.corstruth.com.au/WA/CSV/FWDD003.csv","FWDD003_CSV File 1m Bins")</f>
        <v>FWDD003_CSV File 1m Bins</v>
      </c>
      <c r="D196" t="s">
        <v>223</v>
      </c>
      <c r="E196" t="s">
        <v>1</v>
      </c>
      <c r="G196" t="s">
        <v>216</v>
      </c>
      <c r="H196" t="s">
        <v>221</v>
      </c>
      <c r="I196">
        <v>-32.6205</v>
      </c>
      <c r="J196">
        <v>122.196</v>
      </c>
      <c r="K196" t="str">
        <f>HYPERLINK("http://geossdi.dmp.wa.gov.au/NVCLDataServices/mosaic.html?datasetid=a3f67b17-8c73-47ce-bbc3-a75f185a278","FWDD003_Core Image")</f>
        <v>FWDD003_Core Image</v>
      </c>
    </row>
    <row r="197" spans="1:11" x14ac:dyDescent="0.25">
      <c r="A197" t="str">
        <f>HYPERLINK("http://www.corstruth.com.au/WA/BRDD001_cs.png","BRDD001_A4")</f>
        <v>BRDD001_A4</v>
      </c>
      <c r="B197" t="str">
        <f>HYPERLINK("http://www.corstruth.com.au/WA/PNG2/BRDD001_cs.png","BRDD001_0.25m Bins")</f>
        <v>BRDD001_0.25m Bins</v>
      </c>
      <c r="C197" t="str">
        <f>HYPERLINK("http://www.corstruth.com.au/WA/CSV/BRDD001.csv","BRDD001_CSV File 1m Bins")</f>
        <v>BRDD001_CSV File 1m Bins</v>
      </c>
      <c r="D197" t="s">
        <v>224</v>
      </c>
      <c r="E197" t="s">
        <v>1</v>
      </c>
      <c r="G197" t="s">
        <v>216</v>
      </c>
      <c r="H197" t="s">
        <v>225</v>
      </c>
      <c r="I197">
        <v>-30.279499999999999</v>
      </c>
      <c r="J197">
        <v>124.97199999999999</v>
      </c>
      <c r="K197" t="str">
        <f>HYPERLINK("http://geossdi.dmp.wa.gov.au/NVCLDataServices/mosaic.html?datasetid=5d018b8a-c439-48ba-a755-e14e14e41c4","BRDD001_Core Image")</f>
        <v>BRDD001_Core Image</v>
      </c>
    </row>
    <row r="198" spans="1:11" x14ac:dyDescent="0.25">
      <c r="A198" t="str">
        <f>HYPERLINK("http://www.corstruth.com.au/WA/BRDD002_cs.png","BRDD002_A4")</f>
        <v>BRDD002_A4</v>
      </c>
      <c r="B198" t="str">
        <f>HYPERLINK("http://www.corstruth.com.au/WA/PNG2/BRDD002_cs.png","BRDD002_0.25m Bins")</f>
        <v>BRDD002_0.25m Bins</v>
      </c>
      <c r="C198" t="str">
        <f>HYPERLINK("http://www.corstruth.com.au/WA/CSV/BRDD002.csv","BRDD002_CSV File 1m Bins")</f>
        <v>BRDD002_CSV File 1m Bins</v>
      </c>
      <c r="D198" t="s">
        <v>226</v>
      </c>
      <c r="E198" t="s">
        <v>1</v>
      </c>
      <c r="G198" t="s">
        <v>216</v>
      </c>
      <c r="H198" t="s">
        <v>225</v>
      </c>
      <c r="I198">
        <v>-30.279499999999999</v>
      </c>
      <c r="J198">
        <v>124.97199999999999</v>
      </c>
      <c r="K198" t="str">
        <f>HYPERLINK("http://geossdi.dmp.wa.gov.au/NVCLDataServices/mosaic.html?datasetid=2e754f1d-dfd5-4f1c-ab46-087df9a9a66","BRDD002_Core Image")</f>
        <v>BRDD002_Core Image</v>
      </c>
    </row>
    <row r="199" spans="1:11" x14ac:dyDescent="0.25">
      <c r="A199" t="str">
        <f>HYPERLINK("http://www.corstruth.com.au/WA/BRDD003_cs.png","BRDD003_A4")</f>
        <v>BRDD003_A4</v>
      </c>
      <c r="B199" t="str">
        <f>HYPERLINK("http://www.corstruth.com.au/WA/PNG2/BRDD003_cs.png","BRDD003_0.25m Bins")</f>
        <v>BRDD003_0.25m Bins</v>
      </c>
      <c r="C199" t="str">
        <f>HYPERLINK("http://www.corstruth.com.au/WA/CSV/BRDD003.csv","BRDD003_CSV File 1m Bins")</f>
        <v>BRDD003_CSV File 1m Bins</v>
      </c>
      <c r="D199" t="s">
        <v>227</v>
      </c>
      <c r="E199" t="s">
        <v>1</v>
      </c>
      <c r="G199" t="s">
        <v>216</v>
      </c>
      <c r="H199" t="s">
        <v>225</v>
      </c>
      <c r="I199">
        <v>-30.2776</v>
      </c>
      <c r="J199">
        <v>124.97199999999999</v>
      </c>
      <c r="K199" t="str">
        <f>HYPERLINK("http://geossdi.dmp.wa.gov.au/NVCLDataServices/mosaic.html?datasetid=eb19097a-f2dc-48da-9c12-749a662a5df","BRDD003_Core Image")</f>
        <v>BRDD003_Core Image</v>
      </c>
    </row>
    <row r="200" spans="1:11" x14ac:dyDescent="0.25">
      <c r="A200" t="str">
        <f>HYPERLINK("http://www.corstruth.com.au/WA/BRDD004_cs.png","BRDD004_A4")</f>
        <v>BRDD004_A4</v>
      </c>
      <c r="B200" t="str">
        <f>HYPERLINK("http://www.corstruth.com.au/WA/PNG2/BRDD004_cs.png","BRDD004_0.25m Bins")</f>
        <v>BRDD004_0.25m Bins</v>
      </c>
      <c r="C200" t="str">
        <f>HYPERLINK("http://www.corstruth.com.au/WA/CSV/BRDD004.csv","BRDD004_CSV File 1m Bins")</f>
        <v>BRDD004_CSV File 1m Bins</v>
      </c>
      <c r="D200" t="s">
        <v>228</v>
      </c>
      <c r="E200" t="s">
        <v>1</v>
      </c>
      <c r="G200" t="s">
        <v>216</v>
      </c>
      <c r="H200" t="s">
        <v>225</v>
      </c>
      <c r="I200">
        <v>-30.2822</v>
      </c>
      <c r="J200">
        <v>124.971</v>
      </c>
      <c r="K200" t="str">
        <f>HYPERLINK("http://geossdi.dmp.wa.gov.au/NVCLDataServices/mosaic.html?datasetid=d4895e55-a9fb-47dd-90d8-a98578c92ef","BRDD004_Core Image")</f>
        <v>BRDD004_Core Image</v>
      </c>
    </row>
    <row r="201" spans="1:11" x14ac:dyDescent="0.25">
      <c r="A201" t="str">
        <f>HYPERLINK("http://www.corstruth.com.au/WA/16SHDD10_cs.png","16SHDD10_A4")</f>
        <v>16SHDD10_A4</v>
      </c>
      <c r="B201" t="str">
        <f>HYPERLINK("http://www.corstruth.com.au/WA/PNG2/16SHDD10_cs.png","16SHDD10_0.25m Bins")</f>
        <v>16SHDD10_0.25m Bins</v>
      </c>
      <c r="C201" t="str">
        <f>HYPERLINK("http://www.corstruth.com.au/WA/CSV/16SHDD10.csv","16SHDD10_CSV File 1m Bins")</f>
        <v>16SHDD10_CSV File 1m Bins</v>
      </c>
      <c r="D201" t="s">
        <v>229</v>
      </c>
      <c r="E201" t="s">
        <v>1</v>
      </c>
      <c r="G201" t="s">
        <v>216</v>
      </c>
      <c r="H201" t="s">
        <v>230</v>
      </c>
      <c r="I201">
        <v>-31.9558</v>
      </c>
      <c r="J201">
        <v>123.179</v>
      </c>
      <c r="K201" t="str">
        <f>HYPERLINK("http://geossdi.dmp.wa.gov.au/NVCLDataServices/mosaic.html?datasetid=fe7f30db-6681-480d-9896-f2c00ddd964","16SHDD10_Core Image")</f>
        <v>16SHDD10_Core Image</v>
      </c>
    </row>
    <row r="202" spans="1:11" x14ac:dyDescent="0.25">
      <c r="A202" t="str">
        <f>HYPERLINK("http://www.corstruth.com.au/WA/NLD_046_cs.png","NLD 046_A4")</f>
        <v>NLD 046_A4</v>
      </c>
      <c r="B202" t="str">
        <f>HYPERLINK("http://www.corstruth.com.au/WA/PNG2/NLD_046_cs.png","NLD 046_0.25m Bins")</f>
        <v>NLD 046_0.25m Bins</v>
      </c>
      <c r="C202" t="str">
        <f>HYPERLINK("http://www.corstruth.com.au/WA/CSV/NLD_046.csv","NLD 046_CSV File 1m Bins")</f>
        <v>NLD 046_CSV File 1m Bins</v>
      </c>
      <c r="D202" t="s">
        <v>231</v>
      </c>
      <c r="E202" t="s">
        <v>1</v>
      </c>
      <c r="G202" t="s">
        <v>216</v>
      </c>
      <c r="H202" t="s">
        <v>232</v>
      </c>
      <c r="I202">
        <v>-28.7896</v>
      </c>
      <c r="J202">
        <v>124.90300000000001</v>
      </c>
      <c r="K202" t="str">
        <f>HYPERLINK("http://geossdi.dmp.wa.gov.au/NVCLDataServices/mosaic.html?datasetid=5ce3c9b9-daed-451f-a51f-75428a9ff9b","NLD 046_Core Image")</f>
        <v>NLD 046_Core Image</v>
      </c>
    </row>
    <row r="203" spans="1:11" x14ac:dyDescent="0.25">
      <c r="A203" t="str">
        <f>HYPERLINK("http://www.corstruth.com.au/WA/NLD_069_cs.png","NLD 069_A4")</f>
        <v>NLD 069_A4</v>
      </c>
      <c r="B203" t="str">
        <f>HYPERLINK("http://www.corstruth.com.au/WA/PNG2/NLD_069_cs.png","NLD 069_0.25m Bins")</f>
        <v>NLD 069_0.25m Bins</v>
      </c>
      <c r="C203" t="str">
        <f>HYPERLINK("http://www.corstruth.com.au/WA/CSV/NLD_069.csv","NLD 069_CSV File 1m Bins")</f>
        <v>NLD 069_CSV File 1m Bins</v>
      </c>
      <c r="D203" t="s">
        <v>233</v>
      </c>
      <c r="E203" t="s">
        <v>1</v>
      </c>
      <c r="G203" t="s">
        <v>216</v>
      </c>
      <c r="H203" t="s">
        <v>232</v>
      </c>
      <c r="I203">
        <v>-28.790199999999999</v>
      </c>
      <c r="J203">
        <v>124.90300000000001</v>
      </c>
      <c r="K203" t="str">
        <f>HYPERLINK("http://geossdi.dmp.wa.gov.au/NVCLDataServices/mosaic.html?datasetid=a62166d9-7703-433e-8fe6-5ea90934b9c","NLD 069_Core Image")</f>
        <v>NLD 069_Core Image</v>
      </c>
    </row>
    <row r="204" spans="1:11" x14ac:dyDescent="0.25">
      <c r="A204" t="str">
        <f>HYPERLINK("http://www.corstruth.com.au/WA/NLD_070_cs.png","NLD 070_A4")</f>
        <v>NLD 070_A4</v>
      </c>
      <c r="B204" t="str">
        <f>HYPERLINK("http://www.corstruth.com.au/WA/PNG2/NLD_070_cs.png","NLD 070_0.25m Bins")</f>
        <v>NLD 070_0.25m Bins</v>
      </c>
      <c r="C204" t="str">
        <f>HYPERLINK("http://www.corstruth.com.au/WA/CSV/NLD_070.csv","NLD 070_CSV File 1m Bins")</f>
        <v>NLD 070_CSV File 1m Bins</v>
      </c>
      <c r="D204" t="s">
        <v>234</v>
      </c>
      <c r="E204" t="s">
        <v>1</v>
      </c>
      <c r="G204" t="s">
        <v>216</v>
      </c>
      <c r="H204" t="s">
        <v>232</v>
      </c>
      <c r="I204">
        <v>-28.799099999999999</v>
      </c>
      <c r="J204">
        <v>124.89700000000001</v>
      </c>
      <c r="K204" t="str">
        <f>HYPERLINK("http://geossdi.dmp.wa.gov.au/NVCLDataServices/mosaic.html?datasetid=78f4c591-5ced-4558-8ab3-ae2d938df8b","NLD 070_Core Image")</f>
        <v>NLD 070_Core Image</v>
      </c>
    </row>
    <row r="205" spans="1:11" x14ac:dyDescent="0.25">
      <c r="A205" t="str">
        <f>HYPERLINK("http://www.corstruth.com.au/WA/NLD_071_cs.png","NLD 071_A4")</f>
        <v>NLD 071_A4</v>
      </c>
      <c r="B205" t="str">
        <f>HYPERLINK("http://www.corstruth.com.au/WA/PNG2/NLD_071_cs.png","NLD 071_0.25m Bins")</f>
        <v>NLD 071_0.25m Bins</v>
      </c>
      <c r="C205" t="str">
        <f>HYPERLINK("http://www.corstruth.com.au/WA/CSV/NLD_071.csv","NLD 071_CSV File 1m Bins")</f>
        <v>NLD 071_CSV File 1m Bins</v>
      </c>
      <c r="D205" t="s">
        <v>235</v>
      </c>
      <c r="E205" t="s">
        <v>1</v>
      </c>
      <c r="G205" t="s">
        <v>216</v>
      </c>
      <c r="H205" t="s">
        <v>232</v>
      </c>
      <c r="I205">
        <v>-28.790700000000001</v>
      </c>
      <c r="J205">
        <v>124.904</v>
      </c>
      <c r="K205" t="str">
        <f>HYPERLINK("http://geossdi.dmp.wa.gov.au/NVCLDataServices/mosaic.html?datasetid=b89a4837-a445-47df-8fbb-e1d354d2d4f","NLD 071_Core Image")</f>
        <v>NLD 071_Core Image</v>
      </c>
    </row>
    <row r="206" spans="1:11" x14ac:dyDescent="0.25">
      <c r="A206" t="str">
        <f>HYPERLINK("http://www.corstruth.com.au/WA/NLD_080_cs.png","NLD 080_A4")</f>
        <v>NLD 080_A4</v>
      </c>
      <c r="B206" t="str">
        <f>HYPERLINK("http://www.corstruth.com.au/WA/PNG2/NLD_080_cs.png","NLD 080_0.25m Bins")</f>
        <v>NLD 080_0.25m Bins</v>
      </c>
      <c r="C206" t="str">
        <f>HYPERLINK("http://www.corstruth.com.au/WA/CSV/NLD_080.csv","NLD 080_CSV File 1m Bins")</f>
        <v>NLD 080_CSV File 1m Bins</v>
      </c>
      <c r="D206" t="s">
        <v>236</v>
      </c>
      <c r="E206" t="s">
        <v>1</v>
      </c>
      <c r="G206" t="s">
        <v>216</v>
      </c>
      <c r="H206" t="s">
        <v>232</v>
      </c>
      <c r="I206">
        <v>-28.7818</v>
      </c>
      <c r="J206">
        <v>124.908</v>
      </c>
      <c r="K206" t="str">
        <f>HYPERLINK("http://geossdi.dmp.wa.gov.au/NVCLDataServices/mosaic.html?datasetid=a5139f99-7fcf-4342-a220-3d3de6ee81b","NLD 080_Core Image")</f>
        <v>NLD 080_Core Image</v>
      </c>
    </row>
    <row r="207" spans="1:11" x14ac:dyDescent="0.25">
      <c r="A207" t="str">
        <f>HYPERLINK("http://www.corstruth.com.au/WA/NLD_097_cs.png","NLD 097_A4")</f>
        <v>NLD 097_A4</v>
      </c>
      <c r="B207" t="str">
        <f>HYPERLINK("http://www.corstruth.com.au/WA/PNG2/NLD_097_cs.png","NLD 097_0.25m Bins")</f>
        <v>NLD 097_0.25m Bins</v>
      </c>
      <c r="C207" t="str">
        <f>HYPERLINK("http://www.corstruth.com.au/WA/CSV/NLD_097.csv","NLD 097_CSV File 1m Bins")</f>
        <v>NLD 097_CSV File 1m Bins</v>
      </c>
      <c r="D207" t="s">
        <v>237</v>
      </c>
      <c r="E207" t="s">
        <v>1</v>
      </c>
      <c r="G207" t="s">
        <v>216</v>
      </c>
      <c r="H207" t="s">
        <v>232</v>
      </c>
      <c r="I207">
        <v>-28.729600000000001</v>
      </c>
      <c r="J207">
        <v>124.931</v>
      </c>
      <c r="K207" t="str">
        <f>HYPERLINK("http://geossdi.dmp.wa.gov.au/NVCLDataServices/mosaic.html?datasetid=b7c387f6-dee2-4a56-a95c-3ff43fd889a","NLD 097_Core Image")</f>
        <v>NLD 097_Core Image</v>
      </c>
    </row>
    <row r="208" spans="1:11" x14ac:dyDescent="0.25">
      <c r="A208" t="str">
        <f>HYPERLINK("http://www.corstruth.com.au/WA/NLD_210_cs.png","NLD 210_A4")</f>
        <v>NLD 210_A4</v>
      </c>
      <c r="B208" t="str">
        <f>HYPERLINK("http://www.corstruth.com.au/WA/PNG2/NLD_210_cs.png","NLD 210_0.25m Bins")</f>
        <v>NLD 210_0.25m Bins</v>
      </c>
      <c r="C208" t="str">
        <f>HYPERLINK("http://www.corstruth.com.au/WA/CSV/NLD_210.csv","NLD 210_CSV File 1m Bins")</f>
        <v>NLD 210_CSV File 1m Bins</v>
      </c>
      <c r="D208" t="s">
        <v>238</v>
      </c>
      <c r="E208" t="s">
        <v>1</v>
      </c>
      <c r="G208" t="s">
        <v>216</v>
      </c>
      <c r="H208" t="s">
        <v>232</v>
      </c>
      <c r="I208">
        <v>-28.738099999999999</v>
      </c>
      <c r="J208">
        <v>124.93300000000001</v>
      </c>
      <c r="K208" t="str">
        <f>HYPERLINK("http://geossdi.dmp.wa.gov.au/NVCLDataServices/mosaic.html?datasetid=c85ebdf3-9e64-459c-8389-805400f6c5e","NLD 210_Core Image")</f>
        <v>NLD 210_Core Image</v>
      </c>
    </row>
    <row r="209" spans="1:11" x14ac:dyDescent="0.25">
      <c r="A209" t="str">
        <f>HYPERLINK("http://www.corstruth.com.au/WA/PLRCD001_cs.png","PLRCD001_A4")</f>
        <v>PLRCD001_A4</v>
      </c>
      <c r="B209" t="str">
        <f>HYPERLINK("http://www.corstruth.com.au/WA/PNG2/PLRCD001_cs.png","PLRCD001_0.25m Bins")</f>
        <v>PLRCD001_0.25m Bins</v>
      </c>
      <c r="C209" t="str">
        <f>HYPERLINK("http://www.corstruth.com.au/WA/CSV/PLRCD001.csv","PLRCD001_CSV File 1m Bins")</f>
        <v>PLRCD001_CSV File 1m Bins</v>
      </c>
      <c r="D209" t="s">
        <v>239</v>
      </c>
      <c r="E209" t="s">
        <v>1</v>
      </c>
      <c r="G209" t="s">
        <v>216</v>
      </c>
      <c r="H209" t="s">
        <v>240</v>
      </c>
      <c r="I209">
        <v>-32.229199999999999</v>
      </c>
      <c r="J209">
        <v>122.90300000000001</v>
      </c>
      <c r="K209" t="str">
        <f>HYPERLINK("http://geossdi.dmp.wa.gov.au/NVCLDataServices/mosaic.html?datasetid=10504f78-2f2d-4746-8723-2abc36cd473","PLRCD001_Core Image")</f>
        <v>PLRCD001_Core Image</v>
      </c>
    </row>
    <row r="210" spans="1:11" x14ac:dyDescent="0.25">
      <c r="A210" t="str">
        <f>HYPERLINK("http://www.corstruth.com.au/WA/PLRCD003_cs.png","PLRCD003_A4")</f>
        <v>PLRCD003_A4</v>
      </c>
      <c r="B210" t="str">
        <f>HYPERLINK("http://www.corstruth.com.au/WA/PNG2/PLRCD003_cs.png","PLRCD003_0.25m Bins")</f>
        <v>PLRCD003_0.25m Bins</v>
      </c>
      <c r="C210" t="str">
        <f>HYPERLINK("http://www.corstruth.com.au/WA/CSV/PLRCD003.csv","PLRCD003_CSV File 1m Bins")</f>
        <v>PLRCD003_CSV File 1m Bins</v>
      </c>
      <c r="D210" t="s">
        <v>241</v>
      </c>
      <c r="E210" t="s">
        <v>1</v>
      </c>
      <c r="G210" t="s">
        <v>216</v>
      </c>
      <c r="H210" t="s">
        <v>240</v>
      </c>
      <c r="I210">
        <v>-32.229199999999999</v>
      </c>
      <c r="J210">
        <v>122.899</v>
      </c>
      <c r="K210" t="str">
        <f>HYPERLINK("http://geossdi.dmp.wa.gov.au/NVCLDataServices/mosaic.html?datasetid=f4459ce5-7499-48a9-a14b-5ebea4c631a","PLRCD003_Core Image")</f>
        <v>PLRCD003_Core Image</v>
      </c>
    </row>
    <row r="211" spans="1:11" x14ac:dyDescent="0.25">
      <c r="A211" t="str">
        <f>HYPERLINK("http://www.corstruth.com.au/WA/PLRCD005_cs.png","PLRCD005_A4")</f>
        <v>PLRCD005_A4</v>
      </c>
      <c r="B211" t="str">
        <f>HYPERLINK("http://www.corstruth.com.au/WA/PNG2/PLRCD005_cs.png","PLRCD005_0.25m Bins")</f>
        <v>PLRCD005_0.25m Bins</v>
      </c>
      <c r="C211" t="str">
        <f>HYPERLINK("http://www.corstruth.com.au/WA/CSV/PLRCD005.csv","PLRCD005_CSV File 1m Bins")</f>
        <v>PLRCD005_CSV File 1m Bins</v>
      </c>
      <c r="D211" t="s">
        <v>242</v>
      </c>
      <c r="E211" t="s">
        <v>1</v>
      </c>
      <c r="G211" t="s">
        <v>216</v>
      </c>
      <c r="H211" t="s">
        <v>240</v>
      </c>
      <c r="I211">
        <v>-32.229199999999999</v>
      </c>
      <c r="J211">
        <v>122.89400000000001</v>
      </c>
      <c r="K211" t="str">
        <f>HYPERLINK("http://geossdi.dmp.wa.gov.au/NVCLDataServices/mosaic.html?datasetid=76bf9e40-abea-4422-b4c8-7d60ea1045c","PLRCD005_Core Image")</f>
        <v>PLRCD005_Core Image</v>
      </c>
    </row>
    <row r="212" spans="1:11" x14ac:dyDescent="0.25">
      <c r="A212" t="str">
        <f>HYPERLINK("http://www.corstruth.com.au/WA/PLRCD006_cs.png","PLRCD006_A4")</f>
        <v>PLRCD006_A4</v>
      </c>
      <c r="B212" t="str">
        <f>HYPERLINK("http://www.corstruth.com.au/WA/PNG2/PLRCD006_cs.png","PLRCD006_0.25m Bins")</f>
        <v>PLRCD006_0.25m Bins</v>
      </c>
      <c r="C212" t="str">
        <f>HYPERLINK("http://www.corstruth.com.au/WA/CSV/PLRCD006.csv","PLRCD006_CSV File 1m Bins")</f>
        <v>PLRCD006_CSV File 1m Bins</v>
      </c>
      <c r="D212" t="s">
        <v>243</v>
      </c>
      <c r="E212" t="s">
        <v>1</v>
      </c>
      <c r="G212" t="s">
        <v>216</v>
      </c>
      <c r="H212" t="s">
        <v>240</v>
      </c>
      <c r="I212">
        <v>-32.229199999999999</v>
      </c>
      <c r="J212">
        <v>122.907</v>
      </c>
      <c r="K212" t="str">
        <f>HYPERLINK("http://geossdi.dmp.wa.gov.au/NVCLDataServices/mosaic.html?datasetid=aab937d2-13ec-4875-90ac-e0e7a7bcf9a","PLRCD006_Core Image")</f>
        <v>PLRCD006_Core Image</v>
      </c>
    </row>
    <row r="213" spans="1:11" x14ac:dyDescent="0.25">
      <c r="A213" t="str">
        <f>HYPERLINK("http://www.corstruth.com.au/WA/CVDD001_cs.png","CVDD001_A4")</f>
        <v>CVDD001_A4</v>
      </c>
      <c r="B213" t="str">
        <f>HYPERLINK("http://www.corstruth.com.au/WA/PNG2/CVDD001_cs.png","CVDD001_0.25m Bins")</f>
        <v>CVDD001_0.25m Bins</v>
      </c>
      <c r="C213" t="str">
        <f>HYPERLINK("http://www.corstruth.com.au/WA/CSV/CVDD001.csv","CVDD001_CSV File 1m Bins")</f>
        <v>CVDD001_CSV File 1m Bins</v>
      </c>
      <c r="D213" t="s">
        <v>244</v>
      </c>
      <c r="E213" t="s">
        <v>1</v>
      </c>
      <c r="G213" t="s">
        <v>216</v>
      </c>
      <c r="H213" t="s">
        <v>245</v>
      </c>
      <c r="I213">
        <v>-29.956499999999998</v>
      </c>
      <c r="J213">
        <v>124.405</v>
      </c>
      <c r="K213" t="str">
        <f>HYPERLINK("http://geossdi.dmp.wa.gov.au/NVCLDataServices/mosaic.html?datasetid=4173093e-98ad-48da-920b-47b37171f33","CVDD001_Core Image")</f>
        <v>CVDD001_Core Image</v>
      </c>
    </row>
    <row r="214" spans="1:11" x14ac:dyDescent="0.25">
      <c r="A214" t="str">
        <f>HYPERLINK("http://www.corstruth.com.au/WA/CVDD002_cs.png","CVDD002_A4")</f>
        <v>CVDD002_A4</v>
      </c>
      <c r="B214" t="str">
        <f>HYPERLINK("http://www.corstruth.com.au/WA/PNG2/CVDD002_cs.png","CVDD002_0.25m Bins")</f>
        <v>CVDD002_0.25m Bins</v>
      </c>
      <c r="C214" t="str">
        <f>HYPERLINK("http://www.corstruth.com.au/WA/CSV/CVDD002.csv","CVDD002_CSV File 1m Bins")</f>
        <v>CVDD002_CSV File 1m Bins</v>
      </c>
      <c r="D214" t="s">
        <v>246</v>
      </c>
      <c r="E214" t="s">
        <v>1</v>
      </c>
      <c r="G214" t="s">
        <v>216</v>
      </c>
      <c r="H214" t="s">
        <v>245</v>
      </c>
      <c r="I214">
        <v>-29.956600000000002</v>
      </c>
      <c r="J214">
        <v>124.405</v>
      </c>
      <c r="K214" t="str">
        <f>HYPERLINK("http://geossdi.dmp.wa.gov.au/NVCLDataServices/mosaic.html?datasetid=f840390f-1d6c-4f3e-b69f-885096d2edf","CVDD002_Core Image")</f>
        <v>CVDD002_Core Image</v>
      </c>
    </row>
    <row r="215" spans="1:11" x14ac:dyDescent="0.25">
      <c r="A215" t="str">
        <f>HYPERLINK("http://www.corstruth.com.au/WA/CVDD003_cs.png","CVDD003_A4")</f>
        <v>CVDD003_A4</v>
      </c>
      <c r="B215" t="str">
        <f>HYPERLINK("http://www.corstruth.com.au/WA/PNG2/CVDD003_cs.png","CVDD003_0.25m Bins")</f>
        <v>CVDD003_0.25m Bins</v>
      </c>
      <c r="C215" t="str">
        <f>HYPERLINK("http://www.corstruth.com.au/WA/CSV/CVDD003.csv","CVDD003_CSV File 1m Bins")</f>
        <v>CVDD003_CSV File 1m Bins</v>
      </c>
      <c r="D215" t="s">
        <v>247</v>
      </c>
      <c r="E215" t="s">
        <v>1</v>
      </c>
      <c r="G215" t="s">
        <v>216</v>
      </c>
      <c r="H215" t="s">
        <v>245</v>
      </c>
      <c r="I215">
        <v>-29.956499999999998</v>
      </c>
      <c r="J215">
        <v>124.404</v>
      </c>
      <c r="K215" t="str">
        <f>HYPERLINK("http://geossdi.dmp.wa.gov.au/NVCLDataServices/mosaic.html?datasetid=ce9d531d-fc3a-44c2-9393-bcad4d0d660","CVDD003_Core Image")</f>
        <v>CVDD003_Core Image</v>
      </c>
    </row>
    <row r="216" spans="1:11" x14ac:dyDescent="0.25">
      <c r="A216" t="str">
        <f>HYPERLINK("http://www.corstruth.com.au/WA/CVDD004_cs.png","CVDD004_A4")</f>
        <v>CVDD004_A4</v>
      </c>
      <c r="B216" t="str">
        <f>HYPERLINK("http://www.corstruth.com.au/WA/PNG2/CVDD004_cs.png","CVDD004_0.25m Bins")</f>
        <v>CVDD004_0.25m Bins</v>
      </c>
      <c r="C216" t="str">
        <f>HYPERLINK("http://www.corstruth.com.au/WA/CSV/CVDD004.csv","CVDD004_CSV File 1m Bins")</f>
        <v>CVDD004_CSV File 1m Bins</v>
      </c>
      <c r="D216" t="s">
        <v>248</v>
      </c>
      <c r="E216" t="s">
        <v>1</v>
      </c>
      <c r="G216" t="s">
        <v>216</v>
      </c>
      <c r="H216" t="s">
        <v>249</v>
      </c>
      <c r="I216">
        <v>-29.956199999999999</v>
      </c>
      <c r="J216">
        <v>124.399</v>
      </c>
      <c r="K216" t="str">
        <f>HYPERLINK("http://geossdi.dmp.wa.gov.au/NVCLDataServices/mosaic.html?datasetid=2d3abe73-09dd-4179-9fb9-a2b0806fb47","CVDD004_Core Image")</f>
        <v>CVDD004_Core Image</v>
      </c>
    </row>
    <row r="217" spans="1:11" x14ac:dyDescent="0.25">
      <c r="A217" t="str">
        <f>HYPERLINK("http://www.corstruth.com.au/WA/CVDD005_cs.png","CVDD005_A4")</f>
        <v>CVDD005_A4</v>
      </c>
      <c r="B217" t="str">
        <f>HYPERLINK("http://www.corstruth.com.au/WA/PNG2/CVDD005_cs.png","CVDD005_0.25m Bins")</f>
        <v>CVDD005_0.25m Bins</v>
      </c>
      <c r="C217" t="str">
        <f>HYPERLINK("http://www.corstruth.com.au/WA/CSV/CVDD005.csv","CVDD005_CSV File 1m Bins")</f>
        <v>CVDD005_CSV File 1m Bins</v>
      </c>
      <c r="D217" t="s">
        <v>250</v>
      </c>
      <c r="E217" t="s">
        <v>1</v>
      </c>
      <c r="G217" t="s">
        <v>216</v>
      </c>
      <c r="H217" t="s">
        <v>251</v>
      </c>
      <c r="I217">
        <v>-30.003699999999998</v>
      </c>
      <c r="J217">
        <v>124.383</v>
      </c>
      <c r="K217" t="str">
        <f>HYPERLINK("http://geossdi.dmp.wa.gov.au/NVCLDataServices/mosaic.html?datasetid=72964258-aee8-40e5-bba6-6b6ca3a1199","CVDD005_Core Image")</f>
        <v>CVDD005_Core Image</v>
      </c>
    </row>
    <row r="218" spans="1:11" x14ac:dyDescent="0.25">
      <c r="A218" t="str">
        <f>HYPERLINK("http://www.corstruth.com.au/WA/SGD001_cs.png","SGD001_A4")</f>
        <v>SGD001_A4</v>
      </c>
      <c r="B218" t="str">
        <f>HYPERLINK("http://www.corstruth.com.au/WA/PNG2/SGD001_cs.png","SGD001_0.25m Bins")</f>
        <v>SGD001_0.25m Bins</v>
      </c>
      <c r="C218" t="str">
        <f>HYPERLINK("http://www.corstruth.com.au/WA/CSV/SGD001.csv","SGD001_CSV File 1m Bins")</f>
        <v>SGD001_CSV File 1m Bins</v>
      </c>
      <c r="D218" t="s">
        <v>252</v>
      </c>
      <c r="E218" t="s">
        <v>1</v>
      </c>
      <c r="G218" t="s">
        <v>216</v>
      </c>
      <c r="H218" t="s">
        <v>253</v>
      </c>
      <c r="I218">
        <v>-33.256399999999999</v>
      </c>
      <c r="J218">
        <v>121.518</v>
      </c>
      <c r="K218" t="str">
        <f>HYPERLINK("http://geossdi.dmp.wa.gov.au/NVCLDataServices/mosaic.html?datasetid=5ee78faa-1bcf-4086-980e-dfebe08c8db","SGD001_Core Image")</f>
        <v>SGD001_Core Image</v>
      </c>
    </row>
    <row r="219" spans="1:11" x14ac:dyDescent="0.25">
      <c r="A219" t="str">
        <f>HYPERLINK("http://www.corstruth.com.au/WA/SGD002_cs.png","SGD002_A4")</f>
        <v>SGD002_A4</v>
      </c>
      <c r="B219" t="str">
        <f>HYPERLINK("http://www.corstruth.com.au/WA/PNG2/SGD002_cs.png","SGD002_0.25m Bins")</f>
        <v>SGD002_0.25m Bins</v>
      </c>
      <c r="C219" t="str">
        <f>HYPERLINK("http://www.corstruth.com.au/WA/CSV/SGD002.csv","SGD002_CSV File 1m Bins")</f>
        <v>SGD002_CSV File 1m Bins</v>
      </c>
      <c r="D219" t="s">
        <v>254</v>
      </c>
      <c r="E219" t="s">
        <v>1</v>
      </c>
      <c r="G219" t="s">
        <v>216</v>
      </c>
      <c r="H219" t="s">
        <v>253</v>
      </c>
      <c r="I219">
        <v>-33.261400000000002</v>
      </c>
      <c r="J219">
        <v>121.51600000000001</v>
      </c>
      <c r="K219" t="str">
        <f>HYPERLINK("http://geossdi.dmp.wa.gov.au/NVCLDataServices/mosaic.html?datasetid=b00cfe42-401e-40ea-9fe5-348aeb48a71","SGD002_Core Image")</f>
        <v>SGD002_Core Image</v>
      </c>
    </row>
    <row r="220" spans="1:11" x14ac:dyDescent="0.25">
      <c r="A220" t="str">
        <f>HYPERLINK("http://www.corstruth.com.au/WA/SGD003_cs.png","SGD003_A4")</f>
        <v>SGD003_A4</v>
      </c>
      <c r="B220" t="str">
        <f>HYPERLINK("http://www.corstruth.com.au/WA/PNG2/SGD003_cs.png","SGD003_0.25m Bins")</f>
        <v>SGD003_0.25m Bins</v>
      </c>
      <c r="C220" t="str">
        <f>HYPERLINK("http://www.corstruth.com.au/WA/CSV/SGD003.csv","SGD003_CSV File 1m Bins")</f>
        <v>SGD003_CSV File 1m Bins</v>
      </c>
      <c r="D220" t="s">
        <v>255</v>
      </c>
      <c r="E220" t="s">
        <v>1</v>
      </c>
      <c r="G220" t="s">
        <v>216</v>
      </c>
      <c r="H220" t="s">
        <v>253</v>
      </c>
      <c r="I220">
        <v>-33.245600000000003</v>
      </c>
      <c r="J220">
        <v>121.538</v>
      </c>
      <c r="K220" t="str">
        <f>HYPERLINK("http://geossdi.dmp.wa.gov.au/NVCLDataServices/mosaic.html?datasetid=ed4bbe44-91e1-44c6-b214-fcffddb157d","SGD003_Core Image")</f>
        <v>SGD003_Core Image</v>
      </c>
    </row>
    <row r="221" spans="1:11" x14ac:dyDescent="0.25">
      <c r="A221" t="str">
        <f>HYPERLINK("http://www.corstruth.com.au/WA/SGD004_cs.png","SGD004_A4")</f>
        <v>SGD004_A4</v>
      </c>
      <c r="B221" t="str">
        <f>HYPERLINK("http://www.corstruth.com.au/WA/PNG2/SGD004_cs.png","SGD004_0.25m Bins")</f>
        <v>SGD004_0.25m Bins</v>
      </c>
      <c r="C221" t="str">
        <f>HYPERLINK("http://www.corstruth.com.au/WA/CSV/SGD004.csv","SGD004_CSV File 1m Bins")</f>
        <v>SGD004_CSV File 1m Bins</v>
      </c>
      <c r="D221" t="s">
        <v>256</v>
      </c>
      <c r="E221" t="s">
        <v>1</v>
      </c>
      <c r="G221" t="s">
        <v>216</v>
      </c>
      <c r="H221" t="s">
        <v>253</v>
      </c>
      <c r="I221">
        <v>-33.205800000000004</v>
      </c>
      <c r="J221">
        <v>121.544</v>
      </c>
      <c r="K221" t="str">
        <f>HYPERLINK("http://geossdi.dmp.wa.gov.au/NVCLDataServices/mosaic.html?datasetid=05de761a-a914-4ef0-ac50-6c568385501","SGD004_Core Image")</f>
        <v>SGD004_Core Image</v>
      </c>
    </row>
    <row r="222" spans="1:11" x14ac:dyDescent="0.25">
      <c r="A222" t="str">
        <f>HYPERLINK("http://www.corstruth.com.au/WA/SGD005_cs.png","SGD005_A4")</f>
        <v>SGD005_A4</v>
      </c>
      <c r="B222" t="str">
        <f>HYPERLINK("http://www.corstruth.com.au/WA/PNG2/SGD005_cs.png","SGD005_0.25m Bins")</f>
        <v>SGD005_0.25m Bins</v>
      </c>
      <c r="C222" t="str">
        <f>HYPERLINK("http://www.corstruth.com.au/WA/CSV/SGD005.csv","SGD005_CSV File 1m Bins")</f>
        <v>SGD005_CSV File 1m Bins</v>
      </c>
      <c r="D222" t="s">
        <v>257</v>
      </c>
      <c r="E222" t="s">
        <v>1</v>
      </c>
      <c r="G222" t="s">
        <v>216</v>
      </c>
      <c r="H222" t="s">
        <v>253</v>
      </c>
      <c r="I222">
        <v>-33.191200000000002</v>
      </c>
      <c r="J222">
        <v>121.553</v>
      </c>
      <c r="K222" t="str">
        <f>HYPERLINK("http://geossdi.dmp.wa.gov.au/NVCLDataServices/mosaic.html?datasetid=b2bd082b-a3aa-49ec-990e-c77bb4bca93","SGD005_Core Image")</f>
        <v>SGD005_Core Image</v>
      </c>
    </row>
    <row r="223" spans="1:11" x14ac:dyDescent="0.25">
      <c r="A223" t="str">
        <f>HYPERLINK("http://www.corstruth.com.au/WA/SCDD001_cs.png","SCDD001_A4")</f>
        <v>SCDD001_A4</v>
      </c>
      <c r="B223" t="str">
        <f>HYPERLINK("http://www.corstruth.com.au/WA/PNG2/SCDD001_cs.png","SCDD001_0.25m Bins")</f>
        <v>SCDD001_0.25m Bins</v>
      </c>
      <c r="C223" t="str">
        <f>HYPERLINK("http://www.corstruth.com.au/WA/CSV/SCDD001.csv","SCDD001_CSV File 1m Bins")</f>
        <v>SCDD001_CSV File 1m Bins</v>
      </c>
      <c r="D223" t="s">
        <v>258</v>
      </c>
      <c r="E223" t="s">
        <v>1</v>
      </c>
      <c r="G223" t="s">
        <v>216</v>
      </c>
      <c r="H223" t="s">
        <v>187</v>
      </c>
      <c r="I223">
        <v>-30.016300000000001</v>
      </c>
      <c r="J223">
        <v>124.039</v>
      </c>
      <c r="K223" t="str">
        <f>HYPERLINK("http://geossdi.dmp.wa.gov.au/NVCLDataServices/mosaic.html?datasetid=7ea6ceb1-de9c-4543-97e7-f5d68b2c830","SCDD001_Core Image")</f>
        <v>SCDD001_Core Image</v>
      </c>
    </row>
    <row r="224" spans="1:11" x14ac:dyDescent="0.25">
      <c r="A224" t="str">
        <f>HYPERLINK("http://www.corstruth.com.au/WA/SCDD003_cs.png","SCDD003_A4")</f>
        <v>SCDD003_A4</v>
      </c>
      <c r="B224" t="str">
        <f>HYPERLINK("http://www.corstruth.com.au/WA/PNG2/SCDD003_cs.png","SCDD003_0.25m Bins")</f>
        <v>SCDD003_0.25m Bins</v>
      </c>
      <c r="C224" t="str">
        <f>HYPERLINK("http://www.corstruth.com.au/WA/CSV/SCDD003.csv","SCDD003_CSV File 1m Bins")</f>
        <v>SCDD003_CSV File 1m Bins</v>
      </c>
      <c r="D224" t="s">
        <v>259</v>
      </c>
      <c r="E224" t="s">
        <v>1</v>
      </c>
      <c r="G224" t="s">
        <v>216</v>
      </c>
      <c r="H224" t="s">
        <v>187</v>
      </c>
      <c r="I224">
        <v>-30.019400000000001</v>
      </c>
      <c r="J224">
        <v>124.039</v>
      </c>
      <c r="K224" t="str">
        <f>HYPERLINK("http://geossdi.dmp.wa.gov.au/NVCLDataServices/mosaic.html?datasetid=0fc03a7b-ea04-4b03-9094-65dcd121f77","SCDD003_Core Image")</f>
        <v>SCDD003_Core Image</v>
      </c>
    </row>
    <row r="225" spans="1:11" x14ac:dyDescent="0.25">
      <c r="A225" t="str">
        <f>HYPERLINK("http://www.corstruth.com.au/WA/NSD001_cs.png","NSD001_A4")</f>
        <v>NSD001_A4</v>
      </c>
      <c r="B225" t="str">
        <f>HYPERLINK("http://www.corstruth.com.au/WA/PNG2/NSD001_cs.png","NSD001_0.25m Bins")</f>
        <v>NSD001_0.25m Bins</v>
      </c>
      <c r="C225" t="str">
        <f>HYPERLINK("http://www.corstruth.com.au/WA/CSV/NSD001.csv","NSD001_CSV File 1m Bins")</f>
        <v>NSD001_CSV File 1m Bins</v>
      </c>
      <c r="D225" t="s">
        <v>260</v>
      </c>
      <c r="E225" t="s">
        <v>1</v>
      </c>
      <c r="G225" t="s">
        <v>216</v>
      </c>
      <c r="H225" t="s">
        <v>261</v>
      </c>
      <c r="I225">
        <v>-32.974699999999999</v>
      </c>
      <c r="J225">
        <v>122.76900000000001</v>
      </c>
      <c r="K225" t="str">
        <f>HYPERLINK("http://geossdi.dmp.wa.gov.au/NVCLDataServices/mosaic.html?datasetid=28b31d2a-7b2d-4e25-9d8c-32a193d7cc0","NSD001_Core Image")</f>
        <v>NSD001_Core Image</v>
      </c>
    </row>
    <row r="226" spans="1:11" x14ac:dyDescent="0.25">
      <c r="A226" t="str">
        <f>HYPERLINK("http://www.corstruth.com.au/WA/NSD002_cs.png","NSD002_A4")</f>
        <v>NSD002_A4</v>
      </c>
      <c r="B226" t="str">
        <f>HYPERLINK("http://www.corstruth.com.au/WA/PNG2/NSD002_cs.png","NSD002_0.25m Bins")</f>
        <v>NSD002_0.25m Bins</v>
      </c>
      <c r="C226" t="str">
        <f>HYPERLINK("http://www.corstruth.com.au/WA/CSV/NSD002.csv","NSD002_CSV File 1m Bins")</f>
        <v>NSD002_CSV File 1m Bins</v>
      </c>
      <c r="D226" t="s">
        <v>262</v>
      </c>
      <c r="E226" t="s">
        <v>1</v>
      </c>
      <c r="G226" t="s">
        <v>216</v>
      </c>
      <c r="H226" t="s">
        <v>261</v>
      </c>
      <c r="I226">
        <v>-32.970199999999998</v>
      </c>
      <c r="J226">
        <v>122.77800000000001</v>
      </c>
      <c r="K226" t="str">
        <f>HYPERLINK("http://geossdi.dmp.wa.gov.au/NVCLDataServices/mosaic.html?datasetid=3a477a8f-9eb7-4c3f-ae9f-924afef765d","NSD002_Core Image")</f>
        <v>NSD002_Core Image</v>
      </c>
    </row>
    <row r="227" spans="1:11" x14ac:dyDescent="0.25">
      <c r="A227" t="str">
        <f>HYPERLINK("http://www.corstruth.com.au/WA/HD009_cs.png","HD009_A4")</f>
        <v>HD009_A4</v>
      </c>
      <c r="B227" t="str">
        <f>HYPERLINK("http://www.corstruth.com.au/WA/PNG2/HD009_cs.png","HD009_0.25m Bins")</f>
        <v>HD009_0.25m Bins</v>
      </c>
      <c r="C227" t="str">
        <f>HYPERLINK("http://www.corstruth.com.au/WA/CSV/HD009.csv","HD009_CSV File 1m Bins")</f>
        <v>HD009_CSV File 1m Bins</v>
      </c>
      <c r="D227" t="s">
        <v>263</v>
      </c>
      <c r="E227" t="s">
        <v>1</v>
      </c>
      <c r="G227" t="s">
        <v>216</v>
      </c>
      <c r="H227" t="s">
        <v>264</v>
      </c>
      <c r="I227">
        <v>-33.895899999999997</v>
      </c>
      <c r="J227">
        <v>120.372</v>
      </c>
      <c r="K227" t="str">
        <f>HYPERLINK("http://geossdi.dmp.wa.gov.au/NVCLDataServices/mosaic.html?datasetid=37a5735f-14a0-40af-aeb1-3ee7ef17d0c","HD009_Core Image")</f>
        <v>HD009_Core Image</v>
      </c>
    </row>
    <row r="228" spans="1:11" x14ac:dyDescent="0.25">
      <c r="A228" t="str">
        <f>HYPERLINK("http://www.corstruth.com.au/WA/HD012_cs.png","HD012_A4")</f>
        <v>HD012_A4</v>
      </c>
      <c r="B228" t="str">
        <f>HYPERLINK("http://www.corstruth.com.au/WA/PNG2/HD012_cs.png","HD012_0.25m Bins")</f>
        <v>HD012_0.25m Bins</v>
      </c>
      <c r="C228" t="str">
        <f>HYPERLINK("http://www.corstruth.com.au/WA/CSV/HD012.csv","HD012_CSV File 1m Bins")</f>
        <v>HD012_CSV File 1m Bins</v>
      </c>
      <c r="D228" t="s">
        <v>265</v>
      </c>
      <c r="E228" t="s">
        <v>1</v>
      </c>
      <c r="G228" t="s">
        <v>216</v>
      </c>
      <c r="H228" t="s">
        <v>264</v>
      </c>
      <c r="I228">
        <v>-33.892600000000002</v>
      </c>
      <c r="J228">
        <v>120.376</v>
      </c>
      <c r="K228" t="str">
        <f>HYPERLINK("http://geossdi.dmp.wa.gov.au/NVCLDataServices/mosaic.html?datasetid=11d11fe3-388c-4766-b3be-2585bb09166","HD012_Core Image")</f>
        <v>HD012_Core Image</v>
      </c>
    </row>
    <row r="229" spans="1:11" x14ac:dyDescent="0.25">
      <c r="A229" t="str">
        <f>HYPERLINK("http://www.corstruth.com.au/WA/HD015_cs.png","HD015_A4")</f>
        <v>HD015_A4</v>
      </c>
      <c r="B229" t="str">
        <f>HYPERLINK("http://www.corstruth.com.au/WA/PNG2/HD015_cs.png","HD015_0.25m Bins")</f>
        <v>HD015_0.25m Bins</v>
      </c>
      <c r="C229" t="str">
        <f>HYPERLINK("http://www.corstruth.com.au/WA/CSV/HD015.csv","HD015_CSV File 1m Bins")</f>
        <v>HD015_CSV File 1m Bins</v>
      </c>
      <c r="D229" t="s">
        <v>266</v>
      </c>
      <c r="E229" t="s">
        <v>1</v>
      </c>
      <c r="G229" t="s">
        <v>216</v>
      </c>
      <c r="H229" t="s">
        <v>264</v>
      </c>
      <c r="I229">
        <v>-33.897199999999998</v>
      </c>
      <c r="J229">
        <v>120.384</v>
      </c>
      <c r="K229" t="str">
        <f>HYPERLINK("http://geossdi.dmp.wa.gov.au/NVCLDataServices/mosaic.html?datasetid=cfed3635-5e21-47af-b829-6e7ab2d0ba1","HD015_Core Image")</f>
        <v>HD015_Core Image</v>
      </c>
    </row>
    <row r="230" spans="1:11" x14ac:dyDescent="0.25">
      <c r="A230" t="str">
        <f>HYPERLINK("http://www.corstruth.com.au/WA/HD016_cs.png","HD016_A4")</f>
        <v>HD016_A4</v>
      </c>
      <c r="B230" t="str">
        <f>HYPERLINK("http://www.corstruth.com.au/WA/PNG2/HD016_cs.png","HD016_0.25m Bins")</f>
        <v>HD016_0.25m Bins</v>
      </c>
      <c r="C230" t="str">
        <f>HYPERLINK("http://www.corstruth.com.au/WA/CSV/HD016.csv","HD016_CSV File 1m Bins")</f>
        <v>HD016_CSV File 1m Bins</v>
      </c>
      <c r="D230" t="s">
        <v>267</v>
      </c>
      <c r="E230" t="s">
        <v>1</v>
      </c>
      <c r="G230" t="s">
        <v>216</v>
      </c>
      <c r="H230" t="s">
        <v>264</v>
      </c>
      <c r="I230">
        <v>-33.887799999999999</v>
      </c>
      <c r="J230">
        <v>120.38</v>
      </c>
      <c r="K230" t="str">
        <f>HYPERLINK("http://geossdi.dmp.wa.gov.au/NVCLDataServices/mosaic.html?datasetid=a82fe162-9fdb-427b-90e5-300072d3608","HD016_Core Image")</f>
        <v>HD016_Core Image</v>
      </c>
    </row>
    <row r="231" spans="1:11" x14ac:dyDescent="0.25">
      <c r="A231" t="str">
        <f>HYPERLINK("http://www.corstruth.com.au/WA/BSHD002_cs.png","BSHD002_A4")</f>
        <v>BSHD002_A4</v>
      </c>
      <c r="B231" t="str">
        <f>HYPERLINK("http://www.corstruth.com.au/WA/PNG2/BSHD002_cs.png","BSHD002_0.25m Bins")</f>
        <v>BSHD002_0.25m Bins</v>
      </c>
      <c r="C231" t="str">
        <f>HYPERLINK("http://www.corstruth.com.au/WA/CSV/BSHD002.csv","BSHD002_CSV File 1m Bins")</f>
        <v>BSHD002_CSV File 1m Bins</v>
      </c>
      <c r="D231" t="s">
        <v>268</v>
      </c>
      <c r="E231" t="s">
        <v>1</v>
      </c>
      <c r="G231" t="s">
        <v>216</v>
      </c>
      <c r="H231" t="s">
        <v>269</v>
      </c>
      <c r="I231">
        <v>-31.7743</v>
      </c>
      <c r="J231">
        <v>123.244</v>
      </c>
      <c r="K231" t="str">
        <f>HYPERLINK("http://geossdi.dmp.wa.gov.au/NVCLDataServices/mosaic.html?datasetid=c7fac719-6197-43ad-88f6-4c102ce06e6","BSHD002_Core Image")</f>
        <v>BSHD002_Core Image</v>
      </c>
    </row>
    <row r="232" spans="1:11" x14ac:dyDescent="0.25">
      <c r="A232" t="str">
        <f>HYPERLINK("http://www.corstruth.com.au/WA/19AFRD2003_cs.png","19AFRD2003_A4")</f>
        <v>19AFRD2003_A4</v>
      </c>
      <c r="B232" t="str">
        <f>HYPERLINK("http://www.corstruth.com.au/WA/PNG2/19AFRD2003_cs.png","19AFRD2003_0.25m Bins")</f>
        <v>19AFRD2003_0.25m Bins</v>
      </c>
      <c r="C232" t="str">
        <f>HYPERLINK("http://www.corstruth.com.au/WA/CSV/19AFRD2003.csv","19AFRD2003_CSV File 1m Bins")</f>
        <v>19AFRD2003_CSV File 1m Bins</v>
      </c>
      <c r="D232" t="s">
        <v>270</v>
      </c>
      <c r="E232" t="s">
        <v>1</v>
      </c>
      <c r="G232" t="s">
        <v>216</v>
      </c>
      <c r="H232" t="s">
        <v>271</v>
      </c>
      <c r="I232">
        <v>-31.2424</v>
      </c>
      <c r="J232">
        <v>123.752</v>
      </c>
      <c r="K232" t="str">
        <f>HYPERLINK("http://geossdi.dmp.wa.gov.au/NVCLDataServices/mosaic.html?datasetid=394c251c-f889-41bc-8443-748dcb3c981","19AFRD2003_Core Image")</f>
        <v>19AFRD2003_Core Image</v>
      </c>
    </row>
    <row r="233" spans="1:11" x14ac:dyDescent="0.25">
      <c r="A233" t="str">
        <f>HYPERLINK("http://www.corstruth.com.au/WA/19AFRD2004_cs.png","19AFRD2004_A4")</f>
        <v>19AFRD2004_A4</v>
      </c>
      <c r="B233" t="str">
        <f>HYPERLINK("http://www.corstruth.com.au/WA/PNG2/19AFRD2004_cs.png","19AFRD2004_0.25m Bins")</f>
        <v>19AFRD2004_0.25m Bins</v>
      </c>
      <c r="C233" t="str">
        <f>HYPERLINK("http://www.corstruth.com.au/WA/CSV/19AFRD2004.csv","19AFRD2004_CSV File 1m Bins")</f>
        <v>19AFRD2004_CSV File 1m Bins</v>
      </c>
      <c r="D233" t="s">
        <v>272</v>
      </c>
      <c r="E233" t="s">
        <v>1</v>
      </c>
      <c r="G233" t="s">
        <v>216</v>
      </c>
      <c r="H233" t="s">
        <v>271</v>
      </c>
      <c r="I233">
        <v>-31.2364</v>
      </c>
      <c r="J233">
        <v>123.73</v>
      </c>
      <c r="K233" t="str">
        <f>HYPERLINK("http://geossdi.dmp.wa.gov.au/NVCLDataServices/mosaic.html?datasetid=56140063-798f-477c-a350-ded56bcb345","19AFRD2004_Core Image")</f>
        <v>19AFRD2004_Core Image</v>
      </c>
    </row>
    <row r="234" spans="1:11" x14ac:dyDescent="0.25">
      <c r="A234" t="str">
        <f>HYPERLINK("http://www.corstruth.com.au/WA/19AFRD2005_cs.png","19AFRD2005_A4")</f>
        <v>19AFRD2005_A4</v>
      </c>
      <c r="B234" t="str">
        <f>HYPERLINK("http://www.corstruth.com.au/WA/PNG2/19AFRD2005_cs.png","19AFRD2005_0.25m Bins")</f>
        <v>19AFRD2005_0.25m Bins</v>
      </c>
      <c r="C234" t="str">
        <f>HYPERLINK("http://www.corstruth.com.au/WA/CSV/19AFRD2005.csv","19AFRD2005_CSV File 1m Bins")</f>
        <v>19AFRD2005_CSV File 1m Bins</v>
      </c>
      <c r="D234" t="s">
        <v>273</v>
      </c>
      <c r="E234" t="s">
        <v>1</v>
      </c>
      <c r="G234" t="s">
        <v>216</v>
      </c>
      <c r="H234" t="s">
        <v>271</v>
      </c>
      <c r="I234">
        <v>-31.2255</v>
      </c>
      <c r="J234">
        <v>123.74299999999999</v>
      </c>
      <c r="K234" t="str">
        <f>HYPERLINK("http://geossdi.dmp.wa.gov.au/NVCLDataServices/mosaic.html?datasetid=5331b882-3171-4d2c-9bcd-420770eb0a0","19AFRD2005_Core Image")</f>
        <v>19AFRD2005_Core Image</v>
      </c>
    </row>
    <row r="235" spans="1:11" x14ac:dyDescent="0.25">
      <c r="A235" t="str">
        <f>HYPERLINK("http://www.corstruth.com.au/WA/Arrowsmith_1_cuttings_cs.png","Arrowsmith 1_cuttings_A4")</f>
        <v>Arrowsmith 1_cuttings_A4</v>
      </c>
      <c r="B235" t="str">
        <f>HYPERLINK("http://www.corstruth.com.au/WA/PNG2/Arrowsmith_1_cuttings_cs.png","Arrowsmith 1_cuttings_0.25m Bins")</f>
        <v>Arrowsmith 1_cuttings_0.25m Bins</v>
      </c>
      <c r="C235" t="str">
        <f>HYPERLINK("http://www.corstruth.com.au/WA/CSV/Arrowsmith_1_cuttings.csv","Arrowsmith 1_cuttings_CSV File 1m Bins")</f>
        <v>Arrowsmith 1_cuttings_CSV File 1m Bins</v>
      </c>
      <c r="D235" t="s">
        <v>274</v>
      </c>
      <c r="E235" t="s">
        <v>1</v>
      </c>
      <c r="H235" t="s">
        <v>275</v>
      </c>
      <c r="I235">
        <v>-29.610800000000001</v>
      </c>
      <c r="J235">
        <v>115.119</v>
      </c>
      <c r="K235" t="str">
        <f>HYPERLINK("http://geossdi.dmp.wa.gov.au/NVCLDataServices/mosaic.html?datasetid=ddac37e6-c82f-47d7-b66b-177e4aa0a0f","Arrowsmith 1_cuttings_Core Image")</f>
        <v>Arrowsmith 1_cuttings_Core Image</v>
      </c>
    </row>
    <row r="236" spans="1:11" x14ac:dyDescent="0.25">
      <c r="A236" t="str">
        <f>HYPERLINK("http://www.corstruth.com.au/WA/Arrowsmith_2_cuttings_cs.png","Arrowsmith 2_cuttings_A4")</f>
        <v>Arrowsmith 2_cuttings_A4</v>
      </c>
      <c r="B236" t="str">
        <f>HYPERLINK("http://www.corstruth.com.au/WA/PNG2/Arrowsmith_2_cuttings_cs.png","Arrowsmith 2_cuttings_0.25m Bins")</f>
        <v>Arrowsmith 2_cuttings_0.25m Bins</v>
      </c>
      <c r="C236" t="str">
        <f>HYPERLINK("http://www.corstruth.com.au/WA/CSV/Arrowsmith_2_cuttings.csv","Arrowsmith 2_cuttings_CSV File 1m Bins")</f>
        <v>Arrowsmith 2_cuttings_CSV File 1m Bins</v>
      </c>
      <c r="D236" t="s">
        <v>276</v>
      </c>
      <c r="E236" t="s">
        <v>1</v>
      </c>
      <c r="H236" t="s">
        <v>275</v>
      </c>
      <c r="I236">
        <v>-29.613299999999999</v>
      </c>
      <c r="J236">
        <v>115.121</v>
      </c>
      <c r="K236" t="str">
        <f>HYPERLINK("http://geossdi.dmp.wa.gov.au/NVCLDataServices/mosaic.html?datasetid=e1d56f79-15b1-47e1-9281-914400d7d81","Arrowsmith 2_cuttings_Core Image")</f>
        <v>Arrowsmith 2_cuttings_Core Image</v>
      </c>
    </row>
    <row r="237" spans="1:11" x14ac:dyDescent="0.25">
      <c r="A237" t="str">
        <f>HYPERLINK("http://www.corstruth.com.au/WA/TUR13DD001_cs.png","TUR13DD001_A4")</f>
        <v>TUR13DD001_A4</v>
      </c>
      <c r="B237" t="str">
        <f>HYPERLINK("http://www.corstruth.com.au/WA/PNG2/TUR13DD001_cs.png","TUR13DD001_0.25m Bins")</f>
        <v>TUR13DD001_0.25m Bins</v>
      </c>
      <c r="C237" t="str">
        <f>HYPERLINK("http://www.corstruth.com.au/WA/CSV/TUR13DD001.csv","TUR13DD001_CSV File 1m Bins")</f>
        <v>TUR13DD001_CSV File 1m Bins</v>
      </c>
      <c r="D237" t="s">
        <v>277</v>
      </c>
      <c r="E237" t="s">
        <v>1</v>
      </c>
      <c r="G237" t="s">
        <v>278</v>
      </c>
      <c r="H237" t="s">
        <v>279</v>
      </c>
      <c r="I237">
        <v>-22.601199999999999</v>
      </c>
      <c r="J237">
        <v>127.419</v>
      </c>
      <c r="K237" t="str">
        <f>HYPERLINK("http://geossdi.dmp.wa.gov.au/NVCLDataServices/mosaic.html?datasetid=e3e25a49-39c6-424e-bc24-d33b8b3f8a0","TUR13DD001_Core Image")</f>
        <v>TUR13DD001_Core Image</v>
      </c>
    </row>
    <row r="238" spans="1:11" x14ac:dyDescent="0.25">
      <c r="A238" t="str">
        <f>HYPERLINK("http://www.corstruth.com.au/WA/TUR13DD002_cs.png","TUR13DD002_A4")</f>
        <v>TUR13DD002_A4</v>
      </c>
      <c r="B238" t="str">
        <f>HYPERLINK("http://www.corstruth.com.au/WA/PNG2/TUR13DD002_cs.png","TUR13DD002_0.25m Bins")</f>
        <v>TUR13DD002_0.25m Bins</v>
      </c>
      <c r="C238" t="str">
        <f>HYPERLINK("http://www.corstruth.com.au/WA/CSV/TUR13DD002.csv","TUR13DD002_CSV File 1m Bins")</f>
        <v>TUR13DD002_CSV File 1m Bins</v>
      </c>
      <c r="D238" t="s">
        <v>280</v>
      </c>
      <c r="E238" t="s">
        <v>1</v>
      </c>
      <c r="G238" t="s">
        <v>278</v>
      </c>
      <c r="H238" t="s">
        <v>279</v>
      </c>
      <c r="I238">
        <v>-22.6191</v>
      </c>
      <c r="J238">
        <v>127.437</v>
      </c>
      <c r="K238" t="str">
        <f>HYPERLINK("http://geossdi.dmp.wa.gov.au/NVCLDataServices/mosaic.html?datasetid=bbe63b6a-3ec0-408a-9fbc-afda15df7fc","TUR13DD002_Core Image")</f>
        <v>TUR13DD002_Core Image</v>
      </c>
    </row>
    <row r="239" spans="1:11" x14ac:dyDescent="0.25">
      <c r="A239" t="str">
        <f>HYPERLINK("http://www.corstruth.com.au/WA/TUR13DD003_cs.png","TUR13DD003_A4")</f>
        <v>TUR13DD003_A4</v>
      </c>
      <c r="B239" t="str">
        <f>HYPERLINK("http://www.corstruth.com.au/WA/PNG2/TUR13DD003_cs.png","TUR13DD003_0.25m Bins")</f>
        <v>TUR13DD003_0.25m Bins</v>
      </c>
      <c r="C239" t="str">
        <f>HYPERLINK("http://www.corstruth.com.au/WA/CSV/TUR13DD003.csv","TUR13DD003_CSV File 1m Bins")</f>
        <v>TUR13DD003_CSV File 1m Bins</v>
      </c>
      <c r="D239" t="s">
        <v>281</v>
      </c>
      <c r="E239" t="s">
        <v>1</v>
      </c>
      <c r="G239" t="s">
        <v>278</v>
      </c>
      <c r="H239" t="s">
        <v>279</v>
      </c>
      <c r="I239">
        <v>-22.6191</v>
      </c>
      <c r="J239">
        <v>127.435</v>
      </c>
      <c r="K239" t="str">
        <f>HYPERLINK("http://geossdi.dmp.wa.gov.au/NVCLDataServices/mosaic.html?datasetid=b469443b-dc67-4b2f-a5c5-0993fbbff24","TUR13DD003_Core Image")</f>
        <v>TUR13DD003_Core Image</v>
      </c>
    </row>
    <row r="240" spans="1:11" x14ac:dyDescent="0.25">
      <c r="A240" t="str">
        <f>HYPERLINK("http://www.corstruth.com.au/WA/TUR13DD004_cs.png","TUR13DD004_A4")</f>
        <v>TUR13DD004_A4</v>
      </c>
      <c r="B240" t="str">
        <f>HYPERLINK("http://www.corstruth.com.au/WA/PNG2/TUR13DD004_cs.png","TUR13DD004_0.25m Bins")</f>
        <v>TUR13DD004_0.25m Bins</v>
      </c>
      <c r="C240" t="str">
        <f>HYPERLINK("http://www.corstruth.com.au/WA/CSV/TUR13DD004.csv","TUR13DD004_CSV File 1m Bins")</f>
        <v>TUR13DD004_CSV File 1m Bins</v>
      </c>
      <c r="D240" t="s">
        <v>282</v>
      </c>
      <c r="E240" t="s">
        <v>1</v>
      </c>
      <c r="G240" t="s">
        <v>278</v>
      </c>
      <c r="H240" t="s">
        <v>279</v>
      </c>
      <c r="I240">
        <v>-22.571400000000001</v>
      </c>
      <c r="J240">
        <v>127.428</v>
      </c>
      <c r="K240" t="str">
        <f>HYPERLINK("http://geossdi.dmp.wa.gov.au/NVCLDataServices/mosaic.html?datasetid=155e39d4-ed73-42d0-a050-ca1b2e70ad0","TUR13DD004_Core Image")</f>
        <v>TUR13DD004_Core Image</v>
      </c>
    </row>
    <row r="241" spans="1:11" x14ac:dyDescent="0.25">
      <c r="A241" t="str">
        <f>HYPERLINK("http://www.corstruth.com.au/WA/TUR13DD005_cs.png","TUR13DD005_A4")</f>
        <v>TUR13DD005_A4</v>
      </c>
      <c r="B241" t="str">
        <f>HYPERLINK("http://www.corstruth.com.au/WA/PNG2/TUR13DD005_cs.png","TUR13DD005_0.25m Bins")</f>
        <v>TUR13DD005_0.25m Bins</v>
      </c>
      <c r="C241" t="str">
        <f>HYPERLINK("http://www.corstruth.com.au/WA/CSV/TUR13DD005.csv","TUR13DD005_CSV File 1m Bins")</f>
        <v>TUR13DD005_CSV File 1m Bins</v>
      </c>
      <c r="D241" t="s">
        <v>283</v>
      </c>
      <c r="E241" t="s">
        <v>1</v>
      </c>
      <c r="G241" t="s">
        <v>278</v>
      </c>
      <c r="H241" t="s">
        <v>279</v>
      </c>
      <c r="I241">
        <v>-22.6069</v>
      </c>
      <c r="J241">
        <v>127.444</v>
      </c>
      <c r="K241" t="str">
        <f>HYPERLINK("http://geossdi.dmp.wa.gov.au/NVCLDataServices/mosaic.html?datasetid=eabc9ccb-0a4d-4905-bc46-f94d662597c","TUR13DD005_Core Image")</f>
        <v>TUR13DD005_Core Image</v>
      </c>
    </row>
    <row r="242" spans="1:11" x14ac:dyDescent="0.25">
      <c r="A242" t="str">
        <f>HYPERLINK("http://www.corstruth.com.au/WA/TUR13RC001_chips_cs.png","TUR13RC001_chips_A4")</f>
        <v>TUR13RC001_chips_A4</v>
      </c>
      <c r="B242" t="str">
        <f>HYPERLINK("http://www.corstruth.com.au/WA/PNG2/TUR13RC001_chips_cs.png","TUR13RC001_chips_0.25m Bins")</f>
        <v>TUR13RC001_chips_0.25m Bins</v>
      </c>
      <c r="C242" t="str">
        <f>HYPERLINK("http://www.corstruth.com.au/WA/CSV/TUR13RC001_chips.csv","TUR13RC001_chips_CSV File 1m Bins")</f>
        <v>TUR13RC001_chips_CSV File 1m Bins</v>
      </c>
      <c r="D242" t="s">
        <v>284</v>
      </c>
      <c r="E242" t="s">
        <v>1</v>
      </c>
      <c r="G242" t="s">
        <v>278</v>
      </c>
      <c r="H242" t="s">
        <v>279</v>
      </c>
      <c r="I242">
        <v>-22.601099999999999</v>
      </c>
      <c r="J242">
        <v>127.417</v>
      </c>
    </row>
    <row r="243" spans="1:11" x14ac:dyDescent="0.25">
      <c r="A243" t="str">
        <f>HYPERLINK("http://www.corstruth.com.au/WA/TUR13RC002_chips_cs.png","TUR13RC002_chips_A4")</f>
        <v>TUR13RC002_chips_A4</v>
      </c>
      <c r="B243" t="str">
        <f>HYPERLINK("http://www.corstruth.com.au/WA/PNG2/TUR13RC002_chips_cs.png","TUR13RC002_chips_0.25m Bins")</f>
        <v>TUR13RC002_chips_0.25m Bins</v>
      </c>
      <c r="C243" t="str">
        <f>HYPERLINK("http://www.corstruth.com.au/WA/CSV/TUR13RC002_chips.csv","TUR13RC002_chips_CSV File 1m Bins")</f>
        <v>TUR13RC002_chips_CSV File 1m Bins</v>
      </c>
      <c r="D243" t="s">
        <v>277</v>
      </c>
      <c r="E243" t="s">
        <v>1</v>
      </c>
      <c r="G243" t="s">
        <v>278</v>
      </c>
      <c r="H243" t="s">
        <v>279</v>
      </c>
      <c r="I243">
        <v>-22.601199999999999</v>
      </c>
      <c r="J243">
        <v>127.419</v>
      </c>
    </row>
    <row r="244" spans="1:11" x14ac:dyDescent="0.25">
      <c r="A244" t="str">
        <f>HYPERLINK("http://www.corstruth.com.au/WA/TUR13RC003_chips_cs.png","TUR13RC003_chips_A4")</f>
        <v>TUR13RC003_chips_A4</v>
      </c>
      <c r="B244" t="str">
        <f>HYPERLINK("http://www.corstruth.com.au/WA/PNG2/TUR13RC003_chips_cs.png","TUR13RC003_chips_0.25m Bins")</f>
        <v>TUR13RC003_chips_0.25m Bins</v>
      </c>
      <c r="C244" t="str">
        <f>HYPERLINK("http://www.corstruth.com.au/WA/CSV/TUR13RC003_chips.csv","TUR13RC003_chips_CSV File 1m Bins")</f>
        <v>TUR13RC003_chips_CSV File 1m Bins</v>
      </c>
      <c r="D244" t="s">
        <v>280</v>
      </c>
      <c r="E244" t="s">
        <v>1</v>
      </c>
      <c r="G244" t="s">
        <v>278</v>
      </c>
      <c r="H244" t="s">
        <v>279</v>
      </c>
      <c r="I244">
        <v>-22.6191</v>
      </c>
      <c r="J244">
        <v>127.437</v>
      </c>
    </row>
    <row r="245" spans="1:11" x14ac:dyDescent="0.25">
      <c r="A245" t="str">
        <f>HYPERLINK("http://www.corstruth.com.au/WA/TUR13RC004_chips_cs.png","TUR13RC004_chips_A4")</f>
        <v>TUR13RC004_chips_A4</v>
      </c>
      <c r="B245" t="str">
        <f>HYPERLINK("http://www.corstruth.com.au/WA/PNG2/TUR13RC004_chips_cs.png","TUR13RC004_chips_0.25m Bins")</f>
        <v>TUR13RC004_chips_0.25m Bins</v>
      </c>
      <c r="C245" t="str">
        <f>HYPERLINK("http://www.corstruth.com.au/WA/CSV/TUR13RC004_chips.csv","TUR13RC004_chips_CSV File 1m Bins")</f>
        <v>TUR13RC004_chips_CSV File 1m Bins</v>
      </c>
      <c r="D245" t="s">
        <v>281</v>
      </c>
      <c r="E245" t="s">
        <v>1</v>
      </c>
      <c r="G245" t="s">
        <v>278</v>
      </c>
      <c r="H245" t="s">
        <v>279</v>
      </c>
      <c r="I245">
        <v>-22.6191</v>
      </c>
      <c r="J245">
        <v>127.435</v>
      </c>
    </row>
    <row r="246" spans="1:11" x14ac:dyDescent="0.25">
      <c r="A246" t="str">
        <f>HYPERLINK("http://www.corstruth.com.au/WA/TUR13RC005_chips_cs.png","TUR13RC005_chips_A4")</f>
        <v>TUR13RC005_chips_A4</v>
      </c>
      <c r="B246" t="str">
        <f>HYPERLINK("http://www.corstruth.com.au/WA/PNG2/TUR13RC005_chips_cs.png","TUR13RC005_chips_0.25m Bins")</f>
        <v>TUR13RC005_chips_0.25m Bins</v>
      </c>
      <c r="C246" t="str">
        <f>HYPERLINK("http://www.corstruth.com.au/WA/CSV/TUR13RC005_chips.csv","TUR13RC005_chips_CSV File 1m Bins")</f>
        <v>TUR13RC005_chips_CSV File 1m Bins</v>
      </c>
      <c r="D246" t="s">
        <v>282</v>
      </c>
      <c r="E246" t="s">
        <v>1</v>
      </c>
      <c r="G246" t="s">
        <v>278</v>
      </c>
      <c r="H246" t="s">
        <v>279</v>
      </c>
      <c r="I246">
        <v>-22.571400000000001</v>
      </c>
      <c r="J246">
        <v>127.428</v>
      </c>
    </row>
    <row r="247" spans="1:11" x14ac:dyDescent="0.25">
      <c r="A247" t="str">
        <f>HYPERLINK("http://www.corstruth.com.au/WA/TUR13RC006_chips_cs.png","TUR13RC006_chips_A4")</f>
        <v>TUR13RC006_chips_A4</v>
      </c>
      <c r="B247" t="str">
        <f>HYPERLINK("http://www.corstruth.com.au/WA/PNG2/TUR13RC006_chips_cs.png","TUR13RC006_chips_0.25m Bins")</f>
        <v>TUR13RC006_chips_0.25m Bins</v>
      </c>
      <c r="C247" t="str">
        <f>HYPERLINK("http://www.corstruth.com.au/WA/CSV/TUR13RC006_chips.csv","TUR13RC006_chips_CSV File 1m Bins")</f>
        <v>TUR13RC006_chips_CSV File 1m Bins</v>
      </c>
      <c r="D247" t="s">
        <v>283</v>
      </c>
      <c r="E247" t="s">
        <v>1</v>
      </c>
      <c r="G247" t="s">
        <v>278</v>
      </c>
      <c r="H247" t="s">
        <v>279</v>
      </c>
      <c r="I247">
        <v>-22.6069</v>
      </c>
      <c r="J247">
        <v>127.444</v>
      </c>
    </row>
    <row r="248" spans="1:11" x14ac:dyDescent="0.25">
      <c r="A248" t="str">
        <f>HYPERLINK("http://www.corstruth.com.au/WA/TUR13RC007_chips_cs.png","TUR13RC007_chips_A4")</f>
        <v>TUR13RC007_chips_A4</v>
      </c>
      <c r="B248" t="str">
        <f>HYPERLINK("http://www.corstruth.com.au/WA/PNG2/TUR13RC007_chips_cs.png","TUR13RC007_chips_0.25m Bins")</f>
        <v>TUR13RC007_chips_0.25m Bins</v>
      </c>
      <c r="C248" t="str">
        <f>HYPERLINK("http://www.corstruth.com.au/WA/CSV/TUR13RC007_chips.csv","TUR13RC007_chips_CSV File 1m Bins")</f>
        <v>TUR13RC007_chips_CSV File 1m Bins</v>
      </c>
      <c r="D248" t="s">
        <v>285</v>
      </c>
      <c r="E248" t="s">
        <v>1</v>
      </c>
      <c r="G248" t="s">
        <v>278</v>
      </c>
      <c r="H248" t="s">
        <v>279</v>
      </c>
      <c r="I248">
        <v>-22.608000000000001</v>
      </c>
      <c r="J248">
        <v>127.426</v>
      </c>
    </row>
    <row r="249" spans="1:11" x14ac:dyDescent="0.25">
      <c r="A249" t="str">
        <f>HYPERLINK("http://www.corstruth.com.au/WA/TUR13RC008_chips_cs.png","TUR13RC008_chips_A4")</f>
        <v>TUR13RC008_chips_A4</v>
      </c>
      <c r="B249" t="str">
        <f>HYPERLINK("http://www.corstruth.com.au/WA/PNG2/TUR13RC008_chips_cs.png","TUR13RC008_chips_0.25m Bins")</f>
        <v>TUR13RC008_chips_0.25m Bins</v>
      </c>
      <c r="C249" t="str">
        <f>HYPERLINK("http://www.corstruth.com.au/WA/CSV/TUR13RC008_chips.csv","TUR13RC008_chips_CSV File 1m Bins")</f>
        <v>TUR13RC008_chips_CSV File 1m Bins</v>
      </c>
      <c r="D249" t="s">
        <v>286</v>
      </c>
      <c r="E249" t="s">
        <v>1</v>
      </c>
      <c r="G249" t="s">
        <v>278</v>
      </c>
      <c r="H249" t="s">
        <v>279</v>
      </c>
      <c r="I249">
        <v>-22.601099999999999</v>
      </c>
      <c r="J249">
        <v>127.456</v>
      </c>
    </row>
    <row r="250" spans="1:11" x14ac:dyDescent="0.25">
      <c r="A250" t="str">
        <f>HYPERLINK("http://www.corstruth.com.au/WA/TUR13RC009_chips_cs.png","TUR13RC009_chips_A4")</f>
        <v>TUR13RC009_chips_A4</v>
      </c>
      <c r="B250" t="str">
        <f>HYPERLINK("http://www.corstruth.com.au/WA/PNG2/TUR13RC009_chips_cs.png","TUR13RC009_chips_0.25m Bins")</f>
        <v>TUR13RC009_chips_0.25m Bins</v>
      </c>
      <c r="C250" t="str">
        <f>HYPERLINK("http://www.corstruth.com.au/WA/CSV/TUR13RC009_chips.csv","TUR13RC009_chips_CSV File 1m Bins")</f>
        <v>TUR13RC009_chips_CSV File 1m Bins</v>
      </c>
      <c r="D250" t="s">
        <v>287</v>
      </c>
      <c r="E250" t="s">
        <v>1</v>
      </c>
      <c r="G250" t="s">
        <v>278</v>
      </c>
      <c r="H250" t="s">
        <v>279</v>
      </c>
      <c r="I250">
        <v>-22.6295</v>
      </c>
      <c r="J250">
        <v>127.428</v>
      </c>
    </row>
    <row r="251" spans="1:11" x14ac:dyDescent="0.25">
      <c r="A251" t="str">
        <f>HYPERLINK("http://www.corstruth.com.au/WA/TUR13RC010_chips_cs.png","TUR13RC010_chips_A4")</f>
        <v>TUR13RC010_chips_A4</v>
      </c>
      <c r="B251" t="str">
        <f>HYPERLINK("http://www.corstruth.com.au/WA/PNG2/TUR13RC010_chips_cs.png","TUR13RC010_chips_0.25m Bins")</f>
        <v>TUR13RC010_chips_0.25m Bins</v>
      </c>
      <c r="C251" t="str">
        <f>HYPERLINK("http://www.corstruth.com.au/WA/CSV/TUR13RC010_chips.csv","TUR13RC010_chips_CSV File 1m Bins")</f>
        <v>TUR13RC010_chips_CSV File 1m Bins</v>
      </c>
      <c r="D251" t="s">
        <v>288</v>
      </c>
      <c r="E251" t="s">
        <v>1</v>
      </c>
      <c r="G251" t="s">
        <v>278</v>
      </c>
      <c r="H251" t="s">
        <v>279</v>
      </c>
      <c r="I251">
        <v>-22.63</v>
      </c>
      <c r="J251">
        <v>127.41200000000001</v>
      </c>
    </row>
    <row r="252" spans="1:11" x14ac:dyDescent="0.25">
      <c r="A252" t="str">
        <f>HYPERLINK("http://www.corstruth.com.au/WA/TUR13RC011_chips_cs.png","TUR13RC011_chips_A4")</f>
        <v>TUR13RC011_chips_A4</v>
      </c>
      <c r="B252" t="str">
        <f>HYPERLINK("http://www.corstruth.com.au/WA/PNG2/TUR13RC011_chips_cs.png","TUR13RC011_chips_0.25m Bins")</f>
        <v>TUR13RC011_chips_0.25m Bins</v>
      </c>
      <c r="C252" t="str">
        <f>HYPERLINK("http://www.corstruth.com.au/WA/CSV/TUR13RC011_chips.csv","TUR13RC011_chips_CSV File 1m Bins")</f>
        <v>TUR13RC011_chips_CSV File 1m Bins</v>
      </c>
      <c r="D252" t="s">
        <v>289</v>
      </c>
      <c r="E252" t="s">
        <v>1</v>
      </c>
      <c r="G252" t="s">
        <v>278</v>
      </c>
      <c r="H252" t="s">
        <v>279</v>
      </c>
      <c r="I252">
        <v>-22.593900000000001</v>
      </c>
      <c r="J252">
        <v>127.444</v>
      </c>
    </row>
    <row r="253" spans="1:11" x14ac:dyDescent="0.25">
      <c r="A253" t="str">
        <f>HYPERLINK("http://www.corstruth.com.au/WA/TUR13RC012_chips_cs.png","TUR13RC012_chips_A4")</f>
        <v>TUR13RC012_chips_A4</v>
      </c>
      <c r="B253" t="str">
        <f>HYPERLINK("http://www.corstruth.com.au/WA/PNG2/TUR13RC012_chips_cs.png","TUR13RC012_chips_0.25m Bins")</f>
        <v>TUR13RC012_chips_0.25m Bins</v>
      </c>
      <c r="C253" t="str">
        <f>HYPERLINK("http://www.corstruth.com.au/WA/CSV/TUR13RC012_chips.csv","TUR13RC012_chips_CSV File 1m Bins")</f>
        <v>TUR13RC012_chips_CSV File 1m Bins</v>
      </c>
      <c r="D253" t="s">
        <v>290</v>
      </c>
      <c r="E253" t="s">
        <v>1</v>
      </c>
      <c r="G253" t="s">
        <v>278</v>
      </c>
      <c r="H253" t="s">
        <v>279</v>
      </c>
      <c r="I253">
        <v>-22.593499999999999</v>
      </c>
      <c r="J253">
        <v>127.43</v>
      </c>
    </row>
    <row r="254" spans="1:11" x14ac:dyDescent="0.25">
      <c r="A254" t="str">
        <f>HYPERLINK("http://www.corstruth.com.au/WA/TUR13RC013_chips_cs.png","TUR13RC013_chips_A4")</f>
        <v>TUR13RC013_chips_A4</v>
      </c>
      <c r="B254" t="str">
        <f>HYPERLINK("http://www.corstruth.com.au/WA/PNG2/TUR13RC013_chips_cs.png","TUR13RC013_chips_0.25m Bins")</f>
        <v>TUR13RC013_chips_0.25m Bins</v>
      </c>
      <c r="C254" t="str">
        <f>HYPERLINK("http://www.corstruth.com.au/WA/CSV/TUR13RC013_chips.csv","TUR13RC013_chips_CSV File 1m Bins")</f>
        <v>TUR13RC013_chips_CSV File 1m Bins</v>
      </c>
      <c r="D254" t="s">
        <v>291</v>
      </c>
      <c r="E254" t="s">
        <v>1</v>
      </c>
      <c r="G254" t="s">
        <v>278</v>
      </c>
      <c r="H254" t="s">
        <v>279</v>
      </c>
      <c r="I254">
        <v>-22.595600000000001</v>
      </c>
      <c r="J254">
        <v>127.44199999999999</v>
      </c>
    </row>
    <row r="255" spans="1:11" x14ac:dyDescent="0.25">
      <c r="A255" t="str">
        <f>HYPERLINK("http://www.corstruth.com.au/WA/TUR13RC014_chips_cs.png","TUR13RC014_chips_A4")</f>
        <v>TUR13RC014_chips_A4</v>
      </c>
      <c r="B255" t="str">
        <f>HYPERLINK("http://www.corstruth.com.au/WA/PNG2/TUR13RC014_chips_cs.png","TUR13RC014_chips_0.25m Bins")</f>
        <v>TUR13RC014_chips_0.25m Bins</v>
      </c>
      <c r="C255" t="str">
        <f>HYPERLINK("http://www.corstruth.com.au/WA/CSV/TUR13RC014_chips.csv","TUR13RC014_chips_CSV File 1m Bins")</f>
        <v>TUR13RC014_chips_CSV File 1m Bins</v>
      </c>
      <c r="D255" t="s">
        <v>292</v>
      </c>
      <c r="E255" t="s">
        <v>1</v>
      </c>
      <c r="G255" t="s">
        <v>278</v>
      </c>
      <c r="H255" t="s">
        <v>279</v>
      </c>
      <c r="I255">
        <v>-22.5992</v>
      </c>
      <c r="J255">
        <v>127.443</v>
      </c>
    </row>
    <row r="256" spans="1:11" x14ac:dyDescent="0.25">
      <c r="A256" t="str">
        <f>HYPERLINK("http://www.corstruth.com.au/WA/NDD1901_cs.png","NDD1901_A4")</f>
        <v>NDD1901_A4</v>
      </c>
      <c r="B256" t="str">
        <f>HYPERLINK("http://www.corstruth.com.au/WA/PNG2/NDD1901_cs.png","NDD1901_0.25m Bins")</f>
        <v>NDD1901_0.25m Bins</v>
      </c>
      <c r="C256" t="str">
        <f>HYPERLINK("http://www.corstruth.com.au/WA/CSV/NDD1901.csv","NDD1901_CSV File 1m Bins")</f>
        <v>NDD1901_CSV File 1m Bins</v>
      </c>
      <c r="D256" t="s">
        <v>293</v>
      </c>
      <c r="E256" t="s">
        <v>1</v>
      </c>
      <c r="G256" t="s">
        <v>294</v>
      </c>
      <c r="H256" t="s">
        <v>295</v>
      </c>
      <c r="I256">
        <v>-23.120899999999999</v>
      </c>
      <c r="J256">
        <v>116.854</v>
      </c>
      <c r="K256" t="str">
        <f>HYPERLINK("http://geossdi.dmp.wa.gov.au/NVCLDataServices/mosaic.html?datasetid=434f128f-a755-40cb-ba7a-6a56c64cc71","NDD1901_Core Image")</f>
        <v>NDD1901_Core Image</v>
      </c>
    </row>
    <row r="257" spans="1:11" x14ac:dyDescent="0.25">
      <c r="A257" t="str">
        <f>HYPERLINK("http://www.corstruth.com.au/WA/NDD1902_cs.png","NDD1902_A4")</f>
        <v>NDD1902_A4</v>
      </c>
      <c r="B257" t="str">
        <f>HYPERLINK("http://www.corstruth.com.au/WA/PNG2/NDD1902_cs.png","NDD1902_0.25m Bins")</f>
        <v>NDD1902_0.25m Bins</v>
      </c>
      <c r="C257" t="str">
        <f>HYPERLINK("http://www.corstruth.com.au/WA/CSV/NDD1902.csv","NDD1902_CSV File 1m Bins")</f>
        <v>NDD1902_CSV File 1m Bins</v>
      </c>
      <c r="D257" t="s">
        <v>296</v>
      </c>
      <c r="E257" t="s">
        <v>1</v>
      </c>
      <c r="G257" t="s">
        <v>294</v>
      </c>
      <c r="H257" t="s">
        <v>295</v>
      </c>
      <c r="I257">
        <v>-23.113700000000001</v>
      </c>
      <c r="J257">
        <v>128.85300000000001</v>
      </c>
      <c r="K257" t="str">
        <f>HYPERLINK("http://geossdi.dmp.wa.gov.au/NVCLDataServices/mosaic.html?datasetid=b8597137-2211-4ec9-be71-2f18696a135","NDD1902_Core Image")</f>
        <v>NDD1902_Core Image</v>
      </c>
    </row>
    <row r="258" spans="1:11" x14ac:dyDescent="0.25">
      <c r="A258" t="str">
        <f>HYPERLINK("http://www.corstruth.com.au/WA/NDD1903_cs.png","NDD1903_A4")</f>
        <v>NDD1903_A4</v>
      </c>
      <c r="B258" t="str">
        <f>HYPERLINK("http://www.corstruth.com.au/WA/PNG2/NDD1903_cs.png","NDD1903_0.25m Bins")</f>
        <v>NDD1903_0.25m Bins</v>
      </c>
      <c r="C258" t="str">
        <f>HYPERLINK("http://www.corstruth.com.au/WA/CSV/NDD1903.csv","NDD1903_CSV File 1m Bins")</f>
        <v>NDD1903_CSV File 1m Bins</v>
      </c>
      <c r="D258" t="s">
        <v>297</v>
      </c>
      <c r="E258" t="s">
        <v>1</v>
      </c>
      <c r="G258" t="s">
        <v>294</v>
      </c>
      <c r="H258" t="s">
        <v>295</v>
      </c>
      <c r="I258">
        <v>-23.120699999999999</v>
      </c>
      <c r="J258">
        <v>128.85400000000001</v>
      </c>
      <c r="K258" t="str">
        <f>HYPERLINK("http://geossdi.dmp.wa.gov.au/NVCLDataServices/mosaic.html?datasetid=f3086124-1390-4fae-b5c9-0cb60dc9366","NDD1903_Core Image")</f>
        <v>NDD1903_Core Image</v>
      </c>
    </row>
    <row r="259" spans="1:11" x14ac:dyDescent="0.25">
      <c r="A259" t="str">
        <f>HYPERLINK("http://www.corstruth.com.au/WA/EAL001_cs.png","EAL001_A4")</f>
        <v>EAL001_A4</v>
      </c>
      <c r="B259" t="str">
        <f>HYPERLINK("http://www.corstruth.com.au/WA/PNG2/EAL001_cs.png","EAL001_0.25m Bins")</f>
        <v>EAL001_0.25m Bins</v>
      </c>
      <c r="C259" t="str">
        <f>HYPERLINK("http://www.corstruth.com.au/WA/CSV/EAL001.csv","EAL001_CSV File 1m Bins")</f>
        <v>EAL001_CSV File 1m Bins</v>
      </c>
      <c r="D259" t="s">
        <v>298</v>
      </c>
      <c r="E259" t="s">
        <v>1</v>
      </c>
      <c r="G259" t="s">
        <v>299</v>
      </c>
      <c r="H259" t="s">
        <v>300</v>
      </c>
      <c r="I259">
        <v>-22.179300000000001</v>
      </c>
      <c r="J259">
        <v>128.27199999999999</v>
      </c>
      <c r="K259" t="str">
        <f>HYPERLINK("http://geossdi.dmp.wa.gov.au/NVCLDataServices/mosaic.html?datasetid=c2ac7a3d-63af-4a4f-aaa6-f2cf6dec1d6","EAL001_Core Image")</f>
        <v>EAL001_Core Image</v>
      </c>
    </row>
    <row r="260" spans="1:11" x14ac:dyDescent="0.25">
      <c r="A260" t="str">
        <f>HYPERLINK("http://www.corstruth.com.au/WA/LD00001_cs.png","LD00001_A4")</f>
        <v>LD00001_A4</v>
      </c>
      <c r="B260" t="str">
        <f>HYPERLINK("http://www.corstruth.com.au/WA/PNG2/LD00001_cs.png","LD00001_0.25m Bins")</f>
        <v>LD00001_0.25m Bins</v>
      </c>
      <c r="C260" t="str">
        <f>HYPERLINK("http://www.corstruth.com.au/WA/CSV/LD00001.csv","LD00001_CSV File 1m Bins")</f>
        <v>LD00001_CSV File 1m Bins</v>
      </c>
      <c r="D260" t="s">
        <v>301</v>
      </c>
      <c r="E260" t="s">
        <v>1</v>
      </c>
      <c r="G260" t="s">
        <v>299</v>
      </c>
      <c r="H260" t="s">
        <v>302</v>
      </c>
      <c r="I260">
        <v>-22.681899999999999</v>
      </c>
      <c r="J260">
        <v>128.48099999999999</v>
      </c>
      <c r="K260" t="str">
        <f>HYPERLINK("http://geossdi.dmp.wa.gov.au/NVCLDataServices/mosaic.html?datasetid=c1328b6e-b2f2-4fec-8855-3c9417e2ff4","LD00001_Core Image")</f>
        <v>LD00001_Core Image</v>
      </c>
    </row>
    <row r="261" spans="1:11" x14ac:dyDescent="0.25">
      <c r="A261" t="str">
        <f>HYPERLINK("http://www.corstruth.com.au/WA/RCRC2201_chips_cs.png","RCRC2201_chips_A4")</f>
        <v>RCRC2201_chips_A4</v>
      </c>
      <c r="B261" t="str">
        <f>HYPERLINK("http://www.corstruth.com.au/WA/PNG2/RCRC2201_chips_cs.png","RCRC2201_chips_0.25m Bins")</f>
        <v>RCRC2201_chips_0.25m Bins</v>
      </c>
      <c r="C261" t="str">
        <f>HYPERLINK("http://www.corstruth.com.au/WA/CSV/RCRC2201_chips.csv","RCRC2201_chips_CSV File 1m Bins")</f>
        <v>RCRC2201_chips_CSV File 1m Bins</v>
      </c>
      <c r="D261" t="s">
        <v>303</v>
      </c>
      <c r="E261" t="s">
        <v>1</v>
      </c>
      <c r="G261" t="s">
        <v>299</v>
      </c>
      <c r="H261" t="s">
        <v>302</v>
      </c>
      <c r="I261">
        <v>-23.0688</v>
      </c>
      <c r="J261">
        <v>128.999</v>
      </c>
      <c r="K261" t="str">
        <f>HYPERLINK("http://geossdi.dmp.wa.gov.au/NVCLDataServices/mosaic.html?datasetid=89c63175-ece7-4c1d-8309-14035b52bc1","RCRC2201_chips_Core Image")</f>
        <v>RCRC2201_chips_Core Image</v>
      </c>
    </row>
    <row r="262" spans="1:11" x14ac:dyDescent="0.25">
      <c r="A262" t="str">
        <f>HYPERLINK("http://www.corstruth.com.au/WA/RCRC2202_chips_cs.png","RCRC2202_chips_A4")</f>
        <v>RCRC2202_chips_A4</v>
      </c>
      <c r="B262" t="str">
        <f>HYPERLINK("http://www.corstruth.com.au/WA/PNG2/RCRC2202_chips_cs.png","RCRC2202_chips_0.25m Bins")</f>
        <v>RCRC2202_chips_0.25m Bins</v>
      </c>
      <c r="C262" t="str">
        <f>HYPERLINK("http://www.corstruth.com.au/WA/CSV/RCRC2202_chips.csv","RCRC2202_chips_CSV File 1m Bins")</f>
        <v>RCRC2202_chips_CSV File 1m Bins</v>
      </c>
      <c r="D262" t="s">
        <v>304</v>
      </c>
      <c r="E262" t="s">
        <v>1</v>
      </c>
      <c r="G262" t="s">
        <v>299</v>
      </c>
      <c r="H262" t="s">
        <v>302</v>
      </c>
      <c r="I262">
        <v>-23.068200000000001</v>
      </c>
      <c r="J262">
        <v>128.99700000000001</v>
      </c>
      <c r="K262" t="str">
        <f>HYPERLINK("http://geossdi.dmp.wa.gov.au/NVCLDataServices/mosaic.html?datasetid=7bd49cbc-7934-4d17-9a96-40179c70fb0","RCRC2202_chips_Core Image")</f>
        <v>RCRC2202_chips_Core Image</v>
      </c>
    </row>
    <row r="263" spans="1:11" x14ac:dyDescent="0.25">
      <c r="A263" t="str">
        <f>HYPERLINK("http://www.corstruth.com.au/WA/RCRC2203A_chips_cs.png","RCRC2203A_chips_A4")</f>
        <v>RCRC2203A_chips_A4</v>
      </c>
      <c r="B263" t="str">
        <f>HYPERLINK("http://www.corstruth.com.au/WA/PNG2/RCRC2203A_chips_cs.png","RCRC2203A_chips_0.25m Bins")</f>
        <v>RCRC2203A_chips_0.25m Bins</v>
      </c>
      <c r="C263" t="str">
        <f>HYPERLINK("http://www.corstruth.com.au/WA/CSV/RCRC2203A_chips.csv","RCRC2203A_chips_CSV File 1m Bins")</f>
        <v>RCRC2203A_chips_CSV File 1m Bins</v>
      </c>
      <c r="D263" t="s">
        <v>305</v>
      </c>
      <c r="E263" t="s">
        <v>1</v>
      </c>
      <c r="G263" t="s">
        <v>299</v>
      </c>
      <c r="H263" t="s">
        <v>302</v>
      </c>
      <c r="I263">
        <v>-23.067599999999999</v>
      </c>
      <c r="J263">
        <v>128.99700000000001</v>
      </c>
      <c r="K263" t="str">
        <f>HYPERLINK("http://geossdi.dmp.wa.gov.au/NVCLDataServices/mosaic.html?datasetid=bfd8a18a-922e-4eb1-b072-5f22e32585b","RCRC2203A_chips_Core Image")</f>
        <v>RCRC2203A_chips_Core Image</v>
      </c>
    </row>
    <row r="264" spans="1:11" x14ac:dyDescent="0.25">
      <c r="A264" t="str">
        <f>HYPERLINK("http://www.corstruth.com.au/WA/RCRC2204_chips_cs.png","RCRC2204_chips_A4")</f>
        <v>RCRC2204_chips_A4</v>
      </c>
      <c r="B264" t="str">
        <f>HYPERLINK("http://www.corstruth.com.au/WA/PNG2/RCRC2204_chips_cs.png","RCRC2204_chips_0.25m Bins")</f>
        <v>RCRC2204_chips_0.25m Bins</v>
      </c>
      <c r="C264" t="str">
        <f>HYPERLINK("http://www.corstruth.com.au/WA/CSV/RCRC2204_chips.csv","RCRC2204_chips_CSV File 1m Bins")</f>
        <v>RCRC2204_chips_CSV File 1m Bins</v>
      </c>
      <c r="D264" t="s">
        <v>306</v>
      </c>
      <c r="E264" t="s">
        <v>1</v>
      </c>
      <c r="G264" t="s">
        <v>299</v>
      </c>
      <c r="H264" t="s">
        <v>302</v>
      </c>
      <c r="I264">
        <v>-23.0669</v>
      </c>
      <c r="J264">
        <v>128.99600000000001</v>
      </c>
      <c r="K264" t="str">
        <f>HYPERLINK("http://geossdi.dmp.wa.gov.au/NVCLDataServices/mosaic.html?datasetid=cf2ff823-842f-4b6c-b5fd-70262e330a0","RCRC2204_chips_Core Image")</f>
        <v>RCRC2204_chips_Core Image</v>
      </c>
    </row>
    <row r="265" spans="1:11" x14ac:dyDescent="0.25">
      <c r="A265" t="str">
        <f>HYPERLINK("http://www.corstruth.com.au/WA/RCRC2205_chips_cs.png","RCRC2205_chips_A4")</f>
        <v>RCRC2205_chips_A4</v>
      </c>
      <c r="B265" t="str">
        <f>HYPERLINK("http://www.corstruth.com.au/WA/PNG2/RCRC2205_chips_cs.png","RCRC2205_chips_0.25m Bins")</f>
        <v>RCRC2205_chips_0.25m Bins</v>
      </c>
      <c r="C265" t="str">
        <f>HYPERLINK("http://www.corstruth.com.au/WA/CSV/RCRC2205_chips.csv","RCRC2205_chips_CSV File 1m Bins")</f>
        <v>RCRC2205_chips_CSV File 1m Bins</v>
      </c>
      <c r="D265" t="s">
        <v>307</v>
      </c>
      <c r="E265" t="s">
        <v>1</v>
      </c>
      <c r="G265" t="s">
        <v>299</v>
      </c>
      <c r="H265" t="s">
        <v>302</v>
      </c>
      <c r="I265">
        <v>-23.065000000000001</v>
      </c>
      <c r="J265">
        <v>128.995</v>
      </c>
      <c r="K265" t="str">
        <f>HYPERLINK("http://geossdi.dmp.wa.gov.au/NVCLDataServices/mosaic.html?datasetid=662ae3bc-ab35-4254-bf94-e86b2fdb1b6","RCRC2205_chips_Core Image")</f>
        <v>RCRC2205_chips_Core Image</v>
      </c>
    </row>
    <row r="266" spans="1:11" x14ac:dyDescent="0.25">
      <c r="A266" t="str">
        <f>HYPERLINK("http://www.corstruth.com.au/WA/RCRC2207_chips_cs.png","RCRC2207_chips_A4")</f>
        <v>RCRC2207_chips_A4</v>
      </c>
      <c r="B266" t="str">
        <f>HYPERLINK("http://www.corstruth.com.au/WA/PNG2/RCRC2207_chips_cs.png","RCRC2207_chips_0.25m Bins")</f>
        <v>RCRC2207_chips_0.25m Bins</v>
      </c>
      <c r="C266" t="str">
        <f>HYPERLINK("http://www.corstruth.com.au/WA/CSV/RCRC2207_chips.csv","RCRC2207_chips_CSV File 1m Bins")</f>
        <v>RCRC2207_chips_CSV File 1m Bins</v>
      </c>
      <c r="D266" t="s">
        <v>308</v>
      </c>
      <c r="E266" t="s">
        <v>1</v>
      </c>
      <c r="G266" t="s">
        <v>299</v>
      </c>
      <c r="H266" t="s">
        <v>302</v>
      </c>
      <c r="I266">
        <v>-23.065999999999999</v>
      </c>
      <c r="J266">
        <v>128.994</v>
      </c>
      <c r="K266" t="str">
        <f>HYPERLINK("http://geossdi.dmp.wa.gov.au/NVCLDataServices/mosaic.html?datasetid=1969f80e-9862-4b5d-83f5-757382293d0","RCRC2207_chips_Core Image")</f>
        <v>RCRC2207_chips_Core Image</v>
      </c>
    </row>
    <row r="267" spans="1:11" x14ac:dyDescent="0.25">
      <c r="A267" t="str">
        <f>HYPERLINK("http://www.corstruth.com.au/WA/RCRC2208_chips_cs.png","RCRC2208_chips_A4")</f>
        <v>RCRC2208_chips_A4</v>
      </c>
      <c r="B267" t="str">
        <f>HYPERLINK("http://www.corstruth.com.au/WA/PNG2/RCRC2208_chips_cs.png","RCRC2208_chips_0.25m Bins")</f>
        <v>RCRC2208_chips_0.25m Bins</v>
      </c>
      <c r="C267" t="str">
        <f>HYPERLINK("http://www.corstruth.com.au/WA/CSV/RCRC2208_chips.csv","RCRC2208_chips_CSV File 1m Bins")</f>
        <v>RCRC2208_chips_CSV File 1m Bins</v>
      </c>
      <c r="D267" t="s">
        <v>309</v>
      </c>
      <c r="E267" t="s">
        <v>1</v>
      </c>
      <c r="G267" t="s">
        <v>299</v>
      </c>
      <c r="H267" t="s">
        <v>302</v>
      </c>
      <c r="I267">
        <v>-23.069700000000001</v>
      </c>
      <c r="J267">
        <v>128.99799999999999</v>
      </c>
      <c r="K267" t="str">
        <f>HYPERLINK("http://geossdi.dmp.wa.gov.au/NVCLDataServices/mosaic.html?datasetid=860cc3f2-2430-49fe-a8b8-019617ce5c8","RCRC2208_chips_Core Image")</f>
        <v>RCRC2208_chips_Core Image</v>
      </c>
    </row>
    <row r="268" spans="1:11" x14ac:dyDescent="0.25">
      <c r="A268" t="str">
        <f>HYPERLINK("http://www.corstruth.com.au/WA/RCRC2295_chips_cs.png","RCRC2295_chips_A4")</f>
        <v>RCRC2295_chips_A4</v>
      </c>
      <c r="B268" t="str">
        <f>HYPERLINK("http://www.corstruth.com.au/WA/PNG2/RCRC2295_chips_cs.png","RCRC2295_chips_0.25m Bins")</f>
        <v>RCRC2295_chips_0.25m Bins</v>
      </c>
      <c r="C268" t="str">
        <f>HYPERLINK("http://www.corstruth.com.au/WA/CSV/RCRC2295_chips.csv","RCRC2295_chips_CSV File 1m Bins")</f>
        <v>RCRC2295_chips_CSV File 1m Bins</v>
      </c>
      <c r="D268" t="s">
        <v>310</v>
      </c>
      <c r="E268" t="s">
        <v>1</v>
      </c>
      <c r="G268" t="s">
        <v>299</v>
      </c>
      <c r="H268" t="s">
        <v>302</v>
      </c>
      <c r="I268">
        <v>-23.0717</v>
      </c>
      <c r="J268">
        <v>128.999</v>
      </c>
      <c r="K268" t="str">
        <f>HYPERLINK("http://geossdi.dmp.wa.gov.au/NVCLDataServices/mosaic.html?datasetid=fd4aa512-0de0-4095-a744-6c12809a9c5","RCRC2295_chips_Core Image")</f>
        <v>RCRC2295_chips_Core Image</v>
      </c>
    </row>
    <row r="269" spans="1:11" x14ac:dyDescent="0.25">
      <c r="A269" t="str">
        <f>HYPERLINK("http://www.corstruth.com.au/WA/RCRC2298_chips_cs.png","RCRC2298_chips_A4")</f>
        <v>RCRC2298_chips_A4</v>
      </c>
      <c r="B269" t="str">
        <f>HYPERLINK("http://www.corstruth.com.au/WA/PNG2/RCRC2298_chips_cs.png","RCRC2298_chips_0.25m Bins")</f>
        <v>RCRC2298_chips_0.25m Bins</v>
      </c>
      <c r="C269" t="str">
        <f>HYPERLINK("http://www.corstruth.com.au/WA/CSV/RCRC2298_chips.csv","RCRC2298_chips_CSV File 1m Bins")</f>
        <v>RCRC2298_chips_CSV File 1m Bins</v>
      </c>
      <c r="D269" t="s">
        <v>311</v>
      </c>
      <c r="E269" t="s">
        <v>1</v>
      </c>
      <c r="G269" t="s">
        <v>299</v>
      </c>
      <c r="H269" t="s">
        <v>302</v>
      </c>
      <c r="I269">
        <v>-23.066500000000001</v>
      </c>
      <c r="J269">
        <v>128.994</v>
      </c>
      <c r="K269" t="str">
        <f>HYPERLINK("http://geossdi.dmp.wa.gov.au/NVCLDataServices/mosaic.html?datasetid=862695ab-820c-4945-a6da-48a451fd2f5","RCRC2298_chips_Core Image")</f>
        <v>RCRC2298_chips_Core Image</v>
      </c>
    </row>
    <row r="270" spans="1:11" x14ac:dyDescent="0.25">
      <c r="A270" t="str">
        <f>HYPERLINK("http://www.corstruth.com.au/WA/RCRC2299_chips_cs.png","RCRC2299_chips_A4")</f>
        <v>RCRC2299_chips_A4</v>
      </c>
      <c r="B270" t="str">
        <f>HYPERLINK("http://www.corstruth.com.au/WA/PNG2/RCRC2299_chips_cs.png","RCRC2299_chips_0.25m Bins")</f>
        <v>RCRC2299_chips_0.25m Bins</v>
      </c>
      <c r="C270" t="str">
        <f>HYPERLINK("http://www.corstruth.com.au/WA/CSV/RCRC2299_chips.csv","RCRC2299_chips_CSV File 1m Bins")</f>
        <v>RCRC2299_chips_CSV File 1m Bins</v>
      </c>
      <c r="D270" t="s">
        <v>312</v>
      </c>
      <c r="E270" t="s">
        <v>1</v>
      </c>
      <c r="G270" t="s">
        <v>299</v>
      </c>
      <c r="H270" t="s">
        <v>302</v>
      </c>
      <c r="I270">
        <v>-23.0701</v>
      </c>
      <c r="J270">
        <v>128.99799999999999</v>
      </c>
      <c r="K270" t="str">
        <f>HYPERLINK("http://geossdi.dmp.wa.gov.au/NVCLDataServices/mosaic.html?datasetid=b36566b6-5409-45f5-b408-c46d1a61512","RCRC2299_chips_Core Image")</f>
        <v>RCRC2299_chips_Core Image</v>
      </c>
    </row>
    <row r="271" spans="1:11" x14ac:dyDescent="0.25">
      <c r="A271" t="str">
        <f>HYPERLINK("http://www.corstruth.com.au/WA/WBRC2201_chips_cs.png","WBRC2201_chips_A4")</f>
        <v>WBRC2201_chips_A4</v>
      </c>
      <c r="B271" t="str">
        <f>HYPERLINK("http://www.corstruth.com.au/WA/PNG2/WBRC2201_chips_cs.png","WBRC2201_chips_0.25m Bins")</f>
        <v>WBRC2201_chips_0.25m Bins</v>
      </c>
      <c r="C271" t="str">
        <f>HYPERLINK("http://www.corstruth.com.au/WA/CSV/WBRC2201_chips.csv","WBRC2201_chips_CSV File 1m Bins")</f>
        <v>WBRC2201_chips_CSV File 1m Bins</v>
      </c>
      <c r="D271" t="s">
        <v>313</v>
      </c>
      <c r="E271" t="s">
        <v>1</v>
      </c>
      <c r="G271" t="s">
        <v>299</v>
      </c>
      <c r="H271" t="s">
        <v>302</v>
      </c>
      <c r="I271">
        <v>-22.982600000000001</v>
      </c>
      <c r="J271">
        <v>128.94399999999999</v>
      </c>
      <c r="K271" t="str">
        <f>HYPERLINK("http://geossdi.dmp.wa.gov.au/NVCLDataServices/mosaic.html?datasetid=ac657a6a-8339-4d15-9669-f811ac61c64","WBRC2201_chips_Core Image")</f>
        <v>WBRC2201_chips_Core Image</v>
      </c>
    </row>
    <row r="272" spans="1:11" x14ac:dyDescent="0.25">
      <c r="A272" t="str">
        <f>HYPERLINK("http://www.corstruth.com.au/WA/WBRC2203_chips_cs.png","WBRC2203_chips_A4")</f>
        <v>WBRC2203_chips_A4</v>
      </c>
      <c r="B272" t="str">
        <f>HYPERLINK("http://www.corstruth.com.au/WA/PNG2/WBRC2203_chips_cs.png","WBRC2203_chips_0.25m Bins")</f>
        <v>WBRC2203_chips_0.25m Bins</v>
      </c>
      <c r="C272" t="str">
        <f>HYPERLINK("http://www.corstruth.com.au/WA/CSV/WBRC2203_chips.csv","WBRC2203_chips_CSV File 1m Bins")</f>
        <v>WBRC2203_chips_CSV File 1m Bins</v>
      </c>
      <c r="D272" t="s">
        <v>314</v>
      </c>
      <c r="E272" t="s">
        <v>1</v>
      </c>
      <c r="G272" t="s">
        <v>299</v>
      </c>
      <c r="H272" t="s">
        <v>302</v>
      </c>
      <c r="I272">
        <v>-22.984500000000001</v>
      </c>
      <c r="J272">
        <v>128.946</v>
      </c>
      <c r="K272" t="str">
        <f>HYPERLINK("http://geossdi.dmp.wa.gov.au/NVCLDataServices/mosaic.html?datasetid=fc240945-8228-4970-a150-139573253a6","WBRC2203_chips_Core Image")</f>
        <v>WBRC2203_chips_Core Image</v>
      </c>
    </row>
    <row r="273" spans="1:11" x14ac:dyDescent="0.25">
      <c r="A273" t="str">
        <f>HYPERLINK("http://www.corstruth.com.au/WA/WBRC2204_chips_cs.png","WBRC2204_chips_A4")</f>
        <v>WBRC2204_chips_A4</v>
      </c>
      <c r="B273" t="str">
        <f>HYPERLINK("http://www.corstruth.com.au/WA/PNG2/WBRC2204_chips_cs.png","WBRC2204_chips_0.25m Bins")</f>
        <v>WBRC2204_chips_0.25m Bins</v>
      </c>
      <c r="C273" t="str">
        <f>HYPERLINK("http://www.corstruth.com.au/WA/CSV/WBRC2204_chips.csv","WBRC2204_chips_CSV File 1m Bins")</f>
        <v>WBRC2204_chips_CSV File 1m Bins</v>
      </c>
      <c r="D273" t="s">
        <v>315</v>
      </c>
      <c r="E273" t="s">
        <v>1</v>
      </c>
      <c r="G273" t="s">
        <v>299</v>
      </c>
      <c r="H273" t="s">
        <v>302</v>
      </c>
      <c r="I273">
        <v>-22.982199999999999</v>
      </c>
      <c r="J273">
        <v>128.94399999999999</v>
      </c>
      <c r="K273" t="str">
        <f>HYPERLINK("http://geossdi.dmp.wa.gov.au/NVCLDataServices/mosaic.html?datasetid=0f812172-e7e0-4178-b3ed-f10adb4b1eb","WBRC2204_chips_Core Image")</f>
        <v>WBRC2204_chips_Core Image</v>
      </c>
    </row>
    <row r="274" spans="1:11" x14ac:dyDescent="0.25">
      <c r="A274" t="str">
        <f>HYPERLINK("http://www.corstruth.com.au/WA/AMODD0026_cs.png","AMODD0026_A4")</f>
        <v>AMODD0026_A4</v>
      </c>
      <c r="B274" t="str">
        <f>HYPERLINK("http://www.corstruth.com.au/WA/PNG2/AMODD0026_cs.png","AMODD0026_0.25m Bins")</f>
        <v>AMODD0026_0.25m Bins</v>
      </c>
      <c r="C274" t="str">
        <f>HYPERLINK("http://www.corstruth.com.au/WA/CSV/AMODD0026.csv","AMODD0026_CSV File 1m Bins")</f>
        <v>AMODD0026_CSV File 1m Bins</v>
      </c>
      <c r="D274" t="s">
        <v>316</v>
      </c>
      <c r="E274" t="s">
        <v>1</v>
      </c>
      <c r="G274" t="s">
        <v>317</v>
      </c>
      <c r="H274" t="s">
        <v>318</v>
      </c>
      <c r="I274">
        <v>-23.434999999999999</v>
      </c>
      <c r="J274">
        <v>117.905</v>
      </c>
      <c r="K274" t="str">
        <f>HYPERLINK("http://geossdi.dmp.wa.gov.au/NVCLDataServices/mosaic.html?datasetid=12e1c827-725f-4e03-874b-8973c02ac0b","AMODD0026_Core Image")</f>
        <v>AMODD0026_Core Image</v>
      </c>
    </row>
    <row r="275" spans="1:11" x14ac:dyDescent="0.25">
      <c r="A275" t="str">
        <f>HYPERLINK("http://www.corstruth.com.au/WA/AMODD0028_cs.png","AMODD0028_A4")</f>
        <v>AMODD0028_A4</v>
      </c>
      <c r="B275" t="str">
        <f>HYPERLINK("http://www.corstruth.com.au/WA/PNG2/AMODD0028_cs.png","AMODD0028_0.25m Bins")</f>
        <v>AMODD0028_0.25m Bins</v>
      </c>
      <c r="C275" t="str">
        <f>HYPERLINK("http://www.corstruth.com.au/WA/CSV/AMODD0028.csv","AMODD0028_CSV File 1m Bins")</f>
        <v>AMODD0028_CSV File 1m Bins</v>
      </c>
      <c r="D275" t="s">
        <v>319</v>
      </c>
      <c r="E275" t="s">
        <v>1</v>
      </c>
      <c r="G275" t="s">
        <v>317</v>
      </c>
      <c r="H275" t="s">
        <v>318</v>
      </c>
      <c r="I275">
        <v>-23.4358</v>
      </c>
      <c r="J275">
        <v>117.907</v>
      </c>
      <c r="K275" t="str">
        <f>HYPERLINK("http://geossdi.dmp.wa.gov.au/NVCLDataServices/mosaic.html?datasetid=bce7bd1c-dfd8-4099-aa9d-c777c9af387","AMODD0028_Core Image")</f>
        <v>AMODD0028_Core Image</v>
      </c>
    </row>
    <row r="276" spans="1:11" x14ac:dyDescent="0.25">
      <c r="A276" t="str">
        <f>HYPERLINK("http://www.corstruth.com.au/WA/ID001_cs.png","ID001_A4")</f>
        <v>ID001_A4</v>
      </c>
      <c r="B276" t="str">
        <f>HYPERLINK("http://www.corstruth.com.au/WA/PNG2/ID001_cs.png","ID001_0.25m Bins")</f>
        <v>ID001_0.25m Bins</v>
      </c>
      <c r="C276" t="str">
        <f>HYPERLINK("http://www.corstruth.com.au/WA/CSV/ID001.csv","ID001_CSV File 1m Bins")</f>
        <v>ID001_CSV File 1m Bins</v>
      </c>
      <c r="D276" t="s">
        <v>320</v>
      </c>
      <c r="E276" t="s">
        <v>1</v>
      </c>
      <c r="G276" t="s">
        <v>317</v>
      </c>
      <c r="H276" t="s">
        <v>321</v>
      </c>
      <c r="I276">
        <v>-23.1388</v>
      </c>
      <c r="J276">
        <v>117.277</v>
      </c>
      <c r="K276" t="str">
        <f>HYPERLINK("http://geossdi.dmp.wa.gov.au/NVCLDataServices/mosaic.html?datasetid=cad7453d-5180-40de-a768-b4f675cb86a","ID001_Core Image")</f>
        <v>ID001_Core Image</v>
      </c>
    </row>
    <row r="277" spans="1:11" x14ac:dyDescent="0.25">
      <c r="A277" t="str">
        <f>HYPERLINK("http://www.corstruth.com.au/WA/MOD11_cs.png","MOD11_A4")</f>
        <v>MOD11_A4</v>
      </c>
      <c r="B277" t="str">
        <f>HYPERLINK("http://www.corstruth.com.au/WA/PNG2/MOD11_cs.png","MOD11_0.25m Bins")</f>
        <v>MOD11_0.25m Bins</v>
      </c>
      <c r="C277" t="str">
        <f>HYPERLINK("http://www.corstruth.com.au/WA/CSV/MOD11.csv","MOD11_CSV File 1m Bins")</f>
        <v>MOD11_CSV File 1m Bins</v>
      </c>
      <c r="D277" t="s">
        <v>322</v>
      </c>
      <c r="E277" t="s">
        <v>1</v>
      </c>
      <c r="G277" t="s">
        <v>317</v>
      </c>
      <c r="H277" t="s">
        <v>323</v>
      </c>
      <c r="I277">
        <v>-23.434799999999999</v>
      </c>
      <c r="J277">
        <v>117.90300000000001</v>
      </c>
      <c r="K277" t="str">
        <f>HYPERLINK("http://geossdi.dmp.wa.gov.au/NVCLDataServices/mosaic.html?datasetid=6d14a287-8ce2-40ea-8925-9086a8faae9","MOD11_Core Image")</f>
        <v>MOD11_Core Image</v>
      </c>
    </row>
    <row r="278" spans="1:11" x14ac:dyDescent="0.25">
      <c r="A278" t="str">
        <f>HYPERLINK("http://www.corstruth.com.au/WA/MOD12_cs.png","MOD12_A4")</f>
        <v>MOD12_A4</v>
      </c>
      <c r="B278" t="str">
        <f>HYPERLINK("http://www.corstruth.com.au/WA/PNG2/MOD12_cs.png","MOD12_0.25m Bins")</f>
        <v>MOD12_0.25m Bins</v>
      </c>
      <c r="C278" t="str">
        <f>HYPERLINK("http://www.corstruth.com.au/WA/CSV/MOD12.csv","MOD12_CSV File 1m Bins")</f>
        <v>MOD12_CSV File 1m Bins</v>
      </c>
      <c r="D278" t="s">
        <v>324</v>
      </c>
      <c r="E278" t="s">
        <v>1</v>
      </c>
      <c r="G278" t="s">
        <v>317</v>
      </c>
      <c r="H278" t="s">
        <v>323</v>
      </c>
      <c r="I278">
        <v>-23.4331</v>
      </c>
      <c r="J278">
        <v>117.9</v>
      </c>
      <c r="K278" t="str">
        <f>HYPERLINK("http://geossdi.dmp.wa.gov.au/NVCLDataServices/mosaic.html?datasetid=183f934b-2b7a-44d9-8b9a-baba8dd7d08","MOD12_Core Image")</f>
        <v>MOD12_Core Image</v>
      </c>
    </row>
    <row r="279" spans="1:11" x14ac:dyDescent="0.25">
      <c r="A279" t="str">
        <f>HYPERLINK("http://www.corstruth.com.au/WA/MOD13_cs.png","MOD13_A4")</f>
        <v>MOD13_A4</v>
      </c>
      <c r="B279" t="str">
        <f>HYPERLINK("http://www.corstruth.com.au/WA/PNG2/MOD13_cs.png","MOD13_0.25m Bins")</f>
        <v>MOD13_0.25m Bins</v>
      </c>
      <c r="C279" t="str">
        <f>HYPERLINK("http://www.corstruth.com.au/WA/CSV/MOD13.csv","MOD13_CSV File 1m Bins")</f>
        <v>MOD13_CSV File 1m Bins</v>
      </c>
      <c r="D279" t="s">
        <v>325</v>
      </c>
      <c r="E279" t="s">
        <v>1</v>
      </c>
      <c r="G279" t="s">
        <v>317</v>
      </c>
      <c r="H279" t="s">
        <v>323</v>
      </c>
      <c r="I279">
        <v>-23.433199999999999</v>
      </c>
      <c r="J279">
        <v>117.9</v>
      </c>
      <c r="K279" t="str">
        <f>HYPERLINK("http://geossdi.dmp.wa.gov.au/NVCLDataServices/mosaic.html?datasetid=319d8294-a397-46b7-82d3-0bdf21c6c62","MOD13_Core Image")</f>
        <v>MOD13_Core Image</v>
      </c>
    </row>
    <row r="280" spans="1:11" x14ac:dyDescent="0.25">
      <c r="A280" t="str">
        <f>HYPERLINK("http://www.corstruth.com.au/WA/MOD14_cs.png","MOD14_A4")</f>
        <v>MOD14_A4</v>
      </c>
      <c r="B280" t="str">
        <f>HYPERLINK("http://www.corstruth.com.au/WA/PNG2/MOD14_cs.png","MOD14_0.25m Bins")</f>
        <v>MOD14_0.25m Bins</v>
      </c>
      <c r="C280" t="str">
        <f>HYPERLINK("http://www.corstruth.com.au/WA/CSV/MOD14.csv","MOD14_CSV File 1m Bins")</f>
        <v>MOD14_CSV File 1m Bins</v>
      </c>
      <c r="D280" t="s">
        <v>326</v>
      </c>
      <c r="E280" t="s">
        <v>1</v>
      </c>
      <c r="G280" t="s">
        <v>317</v>
      </c>
      <c r="H280" t="s">
        <v>323</v>
      </c>
      <c r="I280">
        <v>-23.433900000000001</v>
      </c>
      <c r="J280">
        <v>117.90300000000001</v>
      </c>
      <c r="K280" t="str">
        <f>HYPERLINK("http://geossdi.dmp.wa.gov.au/NVCLDataServices/mosaic.html?datasetid=e390fb67-cff8-4416-ae4c-833edff60ab","MOD14_Core Image")</f>
        <v>MOD14_Core Image</v>
      </c>
    </row>
    <row r="281" spans="1:11" x14ac:dyDescent="0.25">
      <c r="A281" t="str">
        <f>HYPERLINK("http://www.corstruth.com.au/WA/MOD3_cs.png","MOD3_A4")</f>
        <v>MOD3_A4</v>
      </c>
      <c r="B281" t="str">
        <f>HYPERLINK("http://www.corstruth.com.au/WA/PNG2/MOD3_cs.png","MOD3_0.25m Bins")</f>
        <v>MOD3_0.25m Bins</v>
      </c>
      <c r="C281" t="str">
        <f>HYPERLINK("http://www.corstruth.com.au/WA/CSV/MOD3.csv","MOD3_CSV File 1m Bins")</f>
        <v>MOD3_CSV File 1m Bins</v>
      </c>
      <c r="D281" t="s">
        <v>327</v>
      </c>
      <c r="E281" t="s">
        <v>1</v>
      </c>
      <c r="G281" t="s">
        <v>317</v>
      </c>
      <c r="H281" t="s">
        <v>323</v>
      </c>
      <c r="I281">
        <v>-23.433800000000002</v>
      </c>
      <c r="J281">
        <v>117.901</v>
      </c>
      <c r="K281" t="str">
        <f>HYPERLINK("http://geossdi.dmp.wa.gov.au/NVCLDataServices/mosaic.html?datasetid=81388895-9539-448e-be42-f29ecbf1780","MOD3_Core Image")</f>
        <v>MOD3_Core Image</v>
      </c>
    </row>
    <row r="282" spans="1:11" x14ac:dyDescent="0.25">
      <c r="A282" t="str">
        <f>HYPERLINK("http://www.corstruth.com.au/WA/MOD4_cs.png","MOD4_A4")</f>
        <v>MOD4_A4</v>
      </c>
      <c r="B282" t="str">
        <f>HYPERLINK("http://www.corstruth.com.au/WA/PNG2/MOD4_cs.png","MOD4_0.25m Bins")</f>
        <v>MOD4_0.25m Bins</v>
      </c>
      <c r="C282" t="str">
        <f>HYPERLINK("http://www.corstruth.com.au/WA/CSV/MOD4.csv","MOD4_CSV File 1m Bins")</f>
        <v>MOD4_CSV File 1m Bins</v>
      </c>
      <c r="D282" t="s">
        <v>328</v>
      </c>
      <c r="E282" t="s">
        <v>1</v>
      </c>
      <c r="G282" t="s">
        <v>317</v>
      </c>
      <c r="H282" t="s">
        <v>323</v>
      </c>
      <c r="I282">
        <v>-23.432700000000001</v>
      </c>
      <c r="J282">
        <v>117.9</v>
      </c>
      <c r="K282" t="str">
        <f>HYPERLINK("http://geossdi.dmp.wa.gov.au/NVCLDataServices/mosaic.html?datasetid=515eb30c-ddf2-4124-a50b-b35d7829818","MOD4_Core Image")</f>
        <v>MOD4_Core Image</v>
      </c>
    </row>
    <row r="283" spans="1:11" x14ac:dyDescent="0.25">
      <c r="A283" t="str">
        <f>HYPERLINK("http://www.corstruth.com.au/WA/MOD5_cs.png","MOD5_A4")</f>
        <v>MOD5_A4</v>
      </c>
      <c r="B283" t="str">
        <f>HYPERLINK("http://www.corstruth.com.au/WA/PNG2/MOD5_cs.png","MOD5_0.25m Bins")</f>
        <v>MOD5_0.25m Bins</v>
      </c>
      <c r="C283" t="str">
        <f>HYPERLINK("http://www.corstruth.com.au/WA/CSV/MOD5.csv","MOD5_CSV File 1m Bins")</f>
        <v>MOD5_CSV File 1m Bins</v>
      </c>
      <c r="D283" t="s">
        <v>329</v>
      </c>
      <c r="E283" t="s">
        <v>1</v>
      </c>
      <c r="G283" t="s">
        <v>317</v>
      </c>
      <c r="H283" t="s">
        <v>323</v>
      </c>
      <c r="I283">
        <v>-23.433</v>
      </c>
      <c r="J283">
        <v>117.901</v>
      </c>
      <c r="K283" t="str">
        <f>HYPERLINK("http://geossdi.dmp.wa.gov.au/NVCLDataServices/mosaic.html?datasetid=f4163b9e-49b4-448b-9980-db807dfdb5a","MOD5_Core Image")</f>
        <v>MOD5_Core Image</v>
      </c>
    </row>
    <row r="284" spans="1:11" x14ac:dyDescent="0.25">
      <c r="A284" t="str">
        <f>HYPERLINK("http://www.corstruth.com.au/WA/MOD6_cs.png","MOD6_A4")</f>
        <v>MOD6_A4</v>
      </c>
      <c r="B284" t="str">
        <f>HYPERLINK("http://www.corstruth.com.au/WA/PNG2/MOD6_cs.png","MOD6_0.25m Bins")</f>
        <v>MOD6_0.25m Bins</v>
      </c>
      <c r="C284" t="str">
        <f>HYPERLINK("http://www.corstruth.com.au/WA/CSV/MOD6.csv","MOD6_CSV File 1m Bins")</f>
        <v>MOD6_CSV File 1m Bins</v>
      </c>
      <c r="D284" t="s">
        <v>330</v>
      </c>
      <c r="E284" t="s">
        <v>1</v>
      </c>
      <c r="G284" t="s">
        <v>317</v>
      </c>
      <c r="H284" t="s">
        <v>323</v>
      </c>
      <c r="I284">
        <v>-23.433299999999999</v>
      </c>
      <c r="J284">
        <v>117.901</v>
      </c>
      <c r="K284" t="str">
        <f>HYPERLINK("http://geossdi.dmp.wa.gov.au/NVCLDataServices/mosaic.html?datasetid=2668ff3e-54f6-4427-a7e8-0fc7391bca2","MOD6_Core Image")</f>
        <v>MOD6_Core Image</v>
      </c>
    </row>
    <row r="285" spans="1:11" x14ac:dyDescent="0.25">
      <c r="A285" t="str">
        <f>HYPERLINK("http://www.corstruth.com.au/WA/MOD7_cs.png","MOD7_A4")</f>
        <v>MOD7_A4</v>
      </c>
      <c r="B285" t="str">
        <f>HYPERLINK("http://www.corstruth.com.au/WA/PNG2/MOD7_cs.png","MOD7_0.25m Bins")</f>
        <v>MOD7_0.25m Bins</v>
      </c>
      <c r="C285" t="str">
        <f>HYPERLINK("http://www.corstruth.com.au/WA/CSV/MOD7.csv","MOD7_CSV File 1m Bins")</f>
        <v>MOD7_CSV File 1m Bins</v>
      </c>
      <c r="D285" t="s">
        <v>331</v>
      </c>
      <c r="E285" t="s">
        <v>1</v>
      </c>
      <c r="G285" t="s">
        <v>317</v>
      </c>
      <c r="H285" t="s">
        <v>323</v>
      </c>
      <c r="I285">
        <v>-23.434200000000001</v>
      </c>
      <c r="J285">
        <v>117.899</v>
      </c>
      <c r="K285" t="str">
        <f>HYPERLINK("http://geossdi.dmp.wa.gov.au/NVCLDataServices/mosaic.html?datasetid=115e5cf6-e1d0-4b45-bafa-bb31560eb02","MOD7_Core Image")</f>
        <v>MOD7_Core Image</v>
      </c>
    </row>
    <row r="286" spans="1:11" x14ac:dyDescent="0.25">
      <c r="A286" t="str">
        <f>HYPERLINK("http://www.corstruth.com.au/WA/MOD8_cs.png","MOD8_A4")</f>
        <v>MOD8_A4</v>
      </c>
      <c r="B286" t="str">
        <f>HYPERLINK("http://www.corstruth.com.au/WA/PNG2/MOD8_cs.png","MOD8_0.25m Bins")</f>
        <v>MOD8_0.25m Bins</v>
      </c>
      <c r="C286" t="str">
        <f>HYPERLINK("http://www.corstruth.com.au/WA/CSV/MOD8.csv","MOD8_CSV File 1m Bins")</f>
        <v>MOD8_CSV File 1m Bins</v>
      </c>
      <c r="D286" t="s">
        <v>332</v>
      </c>
      <c r="E286" t="s">
        <v>1</v>
      </c>
      <c r="G286" t="s">
        <v>317</v>
      </c>
      <c r="H286" t="s">
        <v>323</v>
      </c>
      <c r="I286">
        <v>-23.434000000000001</v>
      </c>
      <c r="J286">
        <v>117.899</v>
      </c>
      <c r="K286" t="str">
        <f>HYPERLINK("http://geossdi.dmp.wa.gov.au/NVCLDataServices/mosaic.html?datasetid=59f9f9e7-53a2-4a99-b544-53e1efde623","MOD8_Core Image")</f>
        <v>MOD8_Core Image</v>
      </c>
    </row>
    <row r="287" spans="1:11" x14ac:dyDescent="0.25">
      <c r="A287" t="str">
        <f>HYPERLINK("http://www.corstruth.com.au/WA/MTO90_cs.png","MTO90_A4")</f>
        <v>MTO90_A4</v>
      </c>
      <c r="B287" t="str">
        <f>HYPERLINK("http://www.corstruth.com.au/WA/PNG2/MTO90_cs.png","MTO90_0.25m Bins")</f>
        <v>MTO90_0.25m Bins</v>
      </c>
      <c r="C287" t="str">
        <f>HYPERLINK("http://www.corstruth.com.au/WA/CSV/MTO90.csv","MTO90_CSV File 1m Bins")</f>
        <v>MTO90_CSV File 1m Bins</v>
      </c>
      <c r="D287" t="s">
        <v>333</v>
      </c>
      <c r="E287" t="s">
        <v>1</v>
      </c>
      <c r="G287" t="s">
        <v>317</v>
      </c>
      <c r="H287" t="s">
        <v>323</v>
      </c>
      <c r="I287">
        <v>-23.4345</v>
      </c>
      <c r="J287">
        <v>117.902</v>
      </c>
      <c r="K287" t="str">
        <f>HYPERLINK("http://geossdi.dmp.wa.gov.au/NVCLDataServices/mosaic.html?datasetid=7d79d439-4ddd-4bb0-9f14-0a1f07a62ba","MTO90_Core Image")</f>
        <v>MTO90_Core Image</v>
      </c>
    </row>
    <row r="288" spans="1:11" x14ac:dyDescent="0.25">
      <c r="A288" t="str">
        <f>HYPERLINK("http://www.corstruth.com.au/WA/NMD001_cs.png","NMD001_A4")</f>
        <v>NMD001_A4</v>
      </c>
      <c r="B288" t="str">
        <f>HYPERLINK("http://www.corstruth.com.au/WA/PNG2/NMD001_cs.png","NMD001_0.25m Bins")</f>
        <v>NMD001_0.25m Bins</v>
      </c>
      <c r="C288" t="str">
        <f>HYPERLINK("http://www.corstruth.com.au/WA/CSV/NMD001.csv","NMD001_CSV File 1m Bins")</f>
        <v>NMD001_CSV File 1m Bins</v>
      </c>
      <c r="D288" t="s">
        <v>334</v>
      </c>
      <c r="E288" t="s">
        <v>1</v>
      </c>
      <c r="G288" t="s">
        <v>317</v>
      </c>
      <c r="H288" t="s">
        <v>335</v>
      </c>
      <c r="I288">
        <v>-22.941800000000001</v>
      </c>
      <c r="J288">
        <v>116.807</v>
      </c>
      <c r="K288" t="str">
        <f>HYPERLINK("http://geossdi.dmp.wa.gov.au/NVCLDataServices/mosaic.html?datasetid=d8f8759c-8a20-4404-973c-ebf5efd4e71","NMD001_Core Image")</f>
        <v>NMD001_Core Image</v>
      </c>
    </row>
    <row r="289" spans="1:11" x14ac:dyDescent="0.25">
      <c r="A289" t="str">
        <f>HYPERLINK("http://www.corstruth.com.au/WA/NMOD001_cs.png","NMOD001_A4")</f>
        <v>NMOD001_A4</v>
      </c>
      <c r="B289" t="str">
        <f>HYPERLINK("http://www.corstruth.com.au/WA/PNG2/NMOD001_cs.png","NMOD001_0.25m Bins")</f>
        <v>NMOD001_0.25m Bins</v>
      </c>
      <c r="C289" t="str">
        <f>HYPERLINK("http://www.corstruth.com.au/WA/CSV/NMOD001.csv","NMOD001_CSV File 1m Bins")</f>
        <v>NMOD001_CSV File 1m Bins</v>
      </c>
      <c r="D289" t="s">
        <v>336</v>
      </c>
      <c r="E289" t="s">
        <v>1</v>
      </c>
      <c r="G289" t="s">
        <v>317</v>
      </c>
      <c r="H289" t="s">
        <v>337</v>
      </c>
      <c r="I289">
        <v>-23.4358</v>
      </c>
      <c r="J289">
        <v>117.905</v>
      </c>
      <c r="K289" t="str">
        <f>HYPERLINK("http://geossdi.dmp.wa.gov.au/NVCLDataServices/mosaic.html?datasetid=50ed67f3-2d69-4e84-976e-7f2ace1aa66","NMOD001_Core Image")</f>
        <v>NMOD001_Core Image</v>
      </c>
    </row>
    <row r="290" spans="1:11" x14ac:dyDescent="0.25">
      <c r="A290" t="str">
        <f>HYPERLINK("http://www.corstruth.com.au/WA/NMOD002_cs.png","NMOD002_A4")</f>
        <v>NMOD002_A4</v>
      </c>
      <c r="B290" t="str">
        <f>HYPERLINK("http://www.corstruth.com.au/WA/PNG2/NMOD002_cs.png","NMOD002_0.25m Bins")</f>
        <v>NMOD002_0.25m Bins</v>
      </c>
      <c r="C290" t="str">
        <f>HYPERLINK("http://www.corstruth.com.au/WA/CSV/NMOD002.csv","NMOD002_CSV File 1m Bins")</f>
        <v>NMOD002_CSV File 1m Bins</v>
      </c>
      <c r="D290" t="s">
        <v>338</v>
      </c>
      <c r="E290" t="s">
        <v>1</v>
      </c>
      <c r="G290" t="s">
        <v>317</v>
      </c>
      <c r="H290" t="s">
        <v>337</v>
      </c>
      <c r="I290">
        <v>-23.4358</v>
      </c>
      <c r="J290">
        <v>117.905</v>
      </c>
      <c r="K290" t="str">
        <f>HYPERLINK("http://geossdi.dmp.wa.gov.au/NVCLDataServices/mosaic.html?datasetid=c45f220c-538d-4927-be7b-c5f06c31923","NMOD002_Core Image")</f>
        <v>NMOD002_Core Image</v>
      </c>
    </row>
    <row r="291" spans="1:11" x14ac:dyDescent="0.25">
      <c r="A291" t="str">
        <f>HYPERLINK("http://www.corstruth.com.au/WA/NMOD004_cs.png","NMOD004_A4")</f>
        <v>NMOD004_A4</v>
      </c>
      <c r="B291" t="str">
        <f>HYPERLINK("http://www.corstruth.com.au/WA/PNG2/NMOD004_cs.png","NMOD004_0.25m Bins")</f>
        <v>NMOD004_0.25m Bins</v>
      </c>
      <c r="C291" t="str">
        <f>HYPERLINK("http://www.corstruth.com.au/WA/CSV/NMOD004.csv","NMOD004_CSV File 1m Bins")</f>
        <v>NMOD004_CSV File 1m Bins</v>
      </c>
      <c r="D291" t="s">
        <v>339</v>
      </c>
      <c r="E291" t="s">
        <v>1</v>
      </c>
      <c r="G291" t="s">
        <v>317</v>
      </c>
      <c r="H291" t="s">
        <v>337</v>
      </c>
      <c r="I291">
        <v>-23.437999999999999</v>
      </c>
      <c r="J291">
        <v>117.90600000000001</v>
      </c>
      <c r="K291" t="str">
        <f>HYPERLINK("http://geossdi.dmp.wa.gov.au/NVCLDataServices/mosaic.html?datasetid=4ec815c8-a295-4bd8-a3b7-89f01b177aa","NMOD004_Core Image")</f>
        <v>NMOD004_Core Image</v>
      </c>
    </row>
    <row r="292" spans="1:11" x14ac:dyDescent="0.25">
      <c r="A292" t="str">
        <f>HYPERLINK("http://www.corstruth.com.au/WA/NMOD005_cs.png","NMOD005_A4")</f>
        <v>NMOD005_A4</v>
      </c>
      <c r="B292" t="str">
        <f>HYPERLINK("http://www.corstruth.com.au/WA/PNG2/NMOD005_cs.png","NMOD005_0.25m Bins")</f>
        <v>NMOD005_0.25m Bins</v>
      </c>
      <c r="C292" t="str">
        <f>HYPERLINK("http://www.corstruth.com.au/WA/CSV/NMOD005.csv","NMOD005_CSV File 1m Bins")</f>
        <v>NMOD005_CSV File 1m Bins</v>
      </c>
      <c r="D292" t="s">
        <v>340</v>
      </c>
      <c r="E292" t="s">
        <v>1</v>
      </c>
      <c r="G292" t="s">
        <v>317</v>
      </c>
      <c r="H292" t="s">
        <v>337</v>
      </c>
      <c r="I292">
        <v>-23.4392</v>
      </c>
      <c r="J292">
        <v>117.907</v>
      </c>
      <c r="K292" t="str">
        <f>HYPERLINK("http://geossdi.dmp.wa.gov.au/NVCLDataServices/mosaic.html?datasetid=3c323aaa-ce9b-4ed6-837c-9b94203b208","NMOD005_Core Image")</f>
        <v>NMOD005_Core Image</v>
      </c>
    </row>
    <row r="293" spans="1:11" x14ac:dyDescent="0.25">
      <c r="A293" t="str">
        <f>HYPERLINK("http://www.corstruth.com.au/WA/SPD001_cs.png","SPD001_A4")</f>
        <v>SPD001_A4</v>
      </c>
      <c r="B293" t="str">
        <f>HYPERLINK("http://www.corstruth.com.au/WA/PNG2/SPD001_cs.png","SPD001_0.25m Bins")</f>
        <v>SPD001_0.25m Bins</v>
      </c>
      <c r="C293" t="str">
        <f>HYPERLINK("http://www.corstruth.com.au/WA/CSV/SPD001.csv","SPD001_CSV File 1m Bins")</f>
        <v>SPD001_CSV File 1m Bins</v>
      </c>
      <c r="D293" t="s">
        <v>341</v>
      </c>
      <c r="E293" t="s">
        <v>1</v>
      </c>
      <c r="G293" t="s">
        <v>317</v>
      </c>
      <c r="H293" t="s">
        <v>337</v>
      </c>
      <c r="I293">
        <v>-23.447299999999998</v>
      </c>
      <c r="J293">
        <v>117.93600000000001</v>
      </c>
      <c r="K293" t="str">
        <f>HYPERLINK("http://geossdi.dmp.wa.gov.au/NVCLDataServices/mosaic.html?datasetid=fc7b7f81-e675-4c9c-b7f8-b96daec75e3","SPD001_Core Image")</f>
        <v>SPD001_Core Image</v>
      </c>
    </row>
    <row r="294" spans="1:11" x14ac:dyDescent="0.25">
      <c r="A294" t="str">
        <f>HYPERLINK("http://www.corstruth.com.au/WA/LD004_cs.png","LD004_A4")</f>
        <v>LD004_A4</v>
      </c>
      <c r="B294" t="str">
        <f>HYPERLINK("http://www.corstruth.com.au/WA/PNG2/LD004_cs.png","LD004_0.25m Bins")</f>
        <v>LD004_0.25m Bins</v>
      </c>
      <c r="C294" t="str">
        <f>HYPERLINK("http://www.corstruth.com.au/WA/CSV/LD004.csv","LD004_CSV File 1m Bins")</f>
        <v>LD004_CSV File 1m Bins</v>
      </c>
      <c r="D294" t="s">
        <v>342</v>
      </c>
      <c r="E294" t="s">
        <v>1</v>
      </c>
      <c r="G294" t="s">
        <v>317</v>
      </c>
      <c r="H294" t="s">
        <v>343</v>
      </c>
      <c r="I294">
        <v>-23.384399999999999</v>
      </c>
      <c r="J294">
        <v>117.746</v>
      </c>
      <c r="K294" t="str">
        <f>HYPERLINK("http://geossdi.dmp.wa.gov.au/NVCLDataServices/mosaic.html?datasetid=bdd4e822-a7be-4094-95a7-2e69ce7778e","LD004_Core Image")</f>
        <v>LD004_Core Image</v>
      </c>
    </row>
    <row r="295" spans="1:11" x14ac:dyDescent="0.25">
      <c r="A295" t="str">
        <f>HYPERLINK("http://www.corstruth.com.au/WA/DDHR2_cs.png","DDHR2_A4")</f>
        <v>DDHR2_A4</v>
      </c>
      <c r="B295" t="str">
        <f>HYPERLINK("http://www.corstruth.com.au/WA/PNG2/DDHR2_cs.png","DDHR2_0.25m Bins")</f>
        <v>DDHR2_0.25m Bins</v>
      </c>
      <c r="C295" t="str">
        <f>HYPERLINK("http://www.corstruth.com.au/WA/CSV/DDHR2.csv","DDHR2_CSV File 1m Bins")</f>
        <v>DDHR2_CSV File 1m Bins</v>
      </c>
      <c r="D295" t="s">
        <v>344</v>
      </c>
      <c r="E295" t="s">
        <v>1</v>
      </c>
      <c r="G295" t="s">
        <v>317</v>
      </c>
      <c r="H295" t="s">
        <v>345</v>
      </c>
      <c r="I295">
        <v>-23.635400000000001</v>
      </c>
      <c r="J295">
        <v>118.242</v>
      </c>
      <c r="K295" t="str">
        <f>HYPERLINK("http://geossdi.dmp.wa.gov.au/NVCLDataServices/mosaic.html?datasetid=cd05d425-cb29-45df-87d5-7790c63f7dc","DDHR2_Core Image")</f>
        <v>DDHR2_Core Image</v>
      </c>
    </row>
    <row r="296" spans="1:11" x14ac:dyDescent="0.25">
      <c r="A296" t="str">
        <f>HYPERLINK("http://www.corstruth.com.au/WA/E044-0051_cs.png","E044-0051_A4")</f>
        <v>E044-0051_A4</v>
      </c>
      <c r="B296" t="str">
        <f>HYPERLINK("http://www.corstruth.com.au/WA/PNG2/E044-0051_cs.png","E044-0051_0.25m Bins")</f>
        <v>E044-0051_0.25m Bins</v>
      </c>
      <c r="C296" t="str">
        <f>HYPERLINK("http://www.corstruth.com.au/WA/CSV/E044-0051.csv","E044-0051_CSV File 1m Bins")</f>
        <v>E044-0051_CSV File 1m Bins</v>
      </c>
      <c r="D296" t="s">
        <v>346</v>
      </c>
      <c r="E296" t="s">
        <v>1</v>
      </c>
      <c r="G296" t="s">
        <v>347</v>
      </c>
      <c r="H296" t="s">
        <v>348</v>
      </c>
      <c r="I296">
        <v>-23.425599999999999</v>
      </c>
      <c r="J296">
        <v>116.529</v>
      </c>
    </row>
    <row r="297" spans="1:11" x14ac:dyDescent="0.25">
      <c r="A297" t="str">
        <f>HYPERLINK("http://www.corstruth.com.au/WA/Beharra_2_cuttings_cs.png","Beharra 2_cuttings_A4")</f>
        <v>Beharra 2_cuttings_A4</v>
      </c>
      <c r="B297" t="str">
        <f>HYPERLINK("http://www.corstruth.com.au/WA/PNG2/Beharra_2_cuttings_cs.png","Beharra 2_cuttings_0.25m Bins")</f>
        <v>Beharra 2_cuttings_0.25m Bins</v>
      </c>
      <c r="C297" t="str">
        <f>HYPERLINK("http://www.corstruth.com.au/WA/CSV/Beharra_2_cuttings.csv","Beharra 2_cuttings_CSV File 1m Bins")</f>
        <v>Beharra 2_cuttings_CSV File 1m Bins</v>
      </c>
      <c r="D297" t="s">
        <v>349</v>
      </c>
      <c r="E297" t="s">
        <v>1</v>
      </c>
      <c r="H297" t="s">
        <v>350</v>
      </c>
      <c r="I297">
        <v>-29.5154</v>
      </c>
      <c r="J297">
        <v>115.021</v>
      </c>
      <c r="K297" t="str">
        <f>HYPERLINK("http://geossdi.dmp.wa.gov.au/NVCLDataServices/mosaic.html?datasetid=be00578e-2cf2-4be8-814b-c7b66ca34d0","Beharra 2_cuttings_Core Image")</f>
        <v>Beharra 2_cuttings_Core Image</v>
      </c>
    </row>
    <row r="298" spans="1:11" x14ac:dyDescent="0.25">
      <c r="A298" t="str">
        <f>HYPERLINK("http://www.corstruth.com.au/WA/Beharra_Springs_North_1_cuttings_cs.png","Beharra Springs North 1_cuttings_A4")</f>
        <v>Beharra Springs North 1_cuttings_A4</v>
      </c>
      <c r="B298" t="str">
        <f>HYPERLINK("http://www.corstruth.com.au/WA/PNG2/Beharra_Springs_North_1_cuttings_cs.png","Beharra Springs North 1_cuttings_0.25m Bins")</f>
        <v>Beharra Springs North 1_cuttings_0.25m Bins</v>
      </c>
      <c r="C298" t="str">
        <f>HYPERLINK("http://www.corstruth.com.au/WA/CSV/Beharra_Springs_North_1_cuttings.csv","Beharra Springs North 1_cuttings_CSV File 1m Bins")</f>
        <v>Beharra Springs North 1_cuttings_CSV File 1m Bins</v>
      </c>
      <c r="D298" t="s">
        <v>351</v>
      </c>
      <c r="E298" t="s">
        <v>1</v>
      </c>
      <c r="H298" t="s">
        <v>352</v>
      </c>
      <c r="I298">
        <v>-29.434200000000001</v>
      </c>
      <c r="J298">
        <v>115.145</v>
      </c>
      <c r="K298" t="str">
        <f>HYPERLINK("http://geossdi.dmp.wa.gov.au/NVCLDataServices/mosaic.html?datasetid=4b7c4915-3e18-45f9-9347-a9d9bedb75a","Beharra Springs North 1_cuttings_Core Image")</f>
        <v>Beharra Springs North 1_cuttings_Core Image</v>
      </c>
    </row>
    <row r="299" spans="1:11" x14ac:dyDescent="0.25">
      <c r="A299" t="str">
        <f>HYPERLINK("http://www.corstruth.com.au/WA/Beharra_Springs_1_cuttings_cs.png","Beharra Springs 1_cuttings_A4")</f>
        <v>Beharra Springs 1_cuttings_A4</v>
      </c>
      <c r="B299" t="str">
        <f>HYPERLINK("http://www.corstruth.com.au/WA/PNG2/Beharra_Springs_1_cuttings_cs.png","Beharra Springs 1_cuttings_0.25m Bins")</f>
        <v>Beharra Springs 1_cuttings_0.25m Bins</v>
      </c>
      <c r="C299" t="str">
        <f>HYPERLINK("http://www.corstruth.com.au/WA/CSV/Beharra_Springs_1_cuttings.csv","Beharra Springs 1_cuttings_CSV File 1m Bins")</f>
        <v>Beharra Springs 1_cuttings_CSV File 1m Bins</v>
      </c>
      <c r="D299" t="s">
        <v>353</v>
      </c>
      <c r="E299" t="s">
        <v>1</v>
      </c>
      <c r="H299" t="s">
        <v>354</v>
      </c>
      <c r="I299">
        <v>-29.464099999999998</v>
      </c>
      <c r="J299">
        <v>115.14100000000001</v>
      </c>
      <c r="K299" t="str">
        <f>HYPERLINK("http://geossdi.dmp.wa.gov.au/NVCLDataServices/mosaic.html?datasetid=297b44f1-514a-416d-9dd9-38a81025f70","Beharra Springs 1_cuttings_Core Image")</f>
        <v>Beharra Springs 1_cuttings_Core Image</v>
      </c>
    </row>
    <row r="300" spans="1:11" x14ac:dyDescent="0.25">
      <c r="A300" t="str">
        <f>HYPERLINK("http://www.corstruth.com.au/WA/Beharra_Springs_2_cuttings_cs.png","Beharra Springs 2_cuttings_A4")</f>
        <v>Beharra Springs 2_cuttings_A4</v>
      </c>
      <c r="B300" t="str">
        <f>HYPERLINK("http://www.corstruth.com.au/WA/PNG2/Beharra_Springs_2_cuttings_cs.png","Beharra Springs 2_cuttings_0.25m Bins")</f>
        <v>Beharra Springs 2_cuttings_0.25m Bins</v>
      </c>
      <c r="C300" t="str">
        <f>HYPERLINK("http://www.corstruth.com.au/WA/CSV/Beharra_Springs_2_cuttings.csv","Beharra Springs 2_cuttings_CSV File 1m Bins")</f>
        <v>Beharra Springs 2_cuttings_CSV File 1m Bins</v>
      </c>
      <c r="D300" t="s">
        <v>355</v>
      </c>
      <c r="E300" t="s">
        <v>1</v>
      </c>
      <c r="H300" t="s">
        <v>354</v>
      </c>
      <c r="I300">
        <v>-29.478000000000002</v>
      </c>
      <c r="J300">
        <v>115.145</v>
      </c>
      <c r="K300" t="str">
        <f>HYPERLINK("http://geossdi.dmp.wa.gov.au/NVCLDataServices/mosaic.html?datasetid=9d05346b-20d6-4b54-8d3c-19b7acccddd","Beharra Springs 2_cuttings_Core Image")</f>
        <v>Beharra Springs 2_cuttings_Core Image</v>
      </c>
    </row>
    <row r="301" spans="1:11" x14ac:dyDescent="0.25">
      <c r="A301" t="str">
        <f>HYPERLINK("http://www.corstruth.com.au/WA/Beharra_Springs_3_cuttings_cs.png","Beharra Springs 3_cuttings_A4")</f>
        <v>Beharra Springs 3_cuttings_A4</v>
      </c>
      <c r="B301" t="str">
        <f>HYPERLINK("http://www.corstruth.com.au/WA/PNG2/Beharra_Springs_3_cuttings_cs.png","Beharra Springs 3_cuttings_0.25m Bins")</f>
        <v>Beharra Springs 3_cuttings_0.25m Bins</v>
      </c>
      <c r="C301" t="str">
        <f>HYPERLINK("http://www.corstruth.com.au/WA/CSV/Beharra_Springs_3_cuttings.csv","Beharra Springs 3_cuttings_CSV File 1m Bins")</f>
        <v>Beharra Springs 3_cuttings_CSV File 1m Bins</v>
      </c>
      <c r="D301" t="s">
        <v>356</v>
      </c>
      <c r="E301" t="s">
        <v>1</v>
      </c>
      <c r="H301" t="s">
        <v>354</v>
      </c>
      <c r="I301">
        <v>-29.450199999999999</v>
      </c>
      <c r="J301">
        <v>115.14100000000001</v>
      </c>
      <c r="K301" t="str">
        <f>HYPERLINK("http://geossdi.dmp.wa.gov.au/NVCLDataServices/mosaic.html?datasetid=37d9c4bf-a079-482b-8685-fe3b9d707a7","Beharra Springs 3_cuttings_Core Image")</f>
        <v>Beharra Springs 3_cuttings_Core Image</v>
      </c>
    </row>
    <row r="302" spans="1:11" x14ac:dyDescent="0.25">
      <c r="A302" t="str">
        <f>HYPERLINK("http://www.corstruth.com.au/WA/Rainier_1_cs.png","Rainier 1_A4")</f>
        <v>Rainier 1_A4</v>
      </c>
      <c r="B302" t="str">
        <f>HYPERLINK("http://www.corstruth.com.au/WA/PNG2/Rainier_1_cs.png","Rainier 1_0.25m Bins")</f>
        <v>Rainier 1_0.25m Bins</v>
      </c>
      <c r="C302" t="str">
        <f>HYPERLINK("http://www.corstruth.com.au/WA/CSV/Rainier_1.csv","Rainier 1_CSV File 1m Bins")</f>
        <v>Rainier 1_CSV File 1m Bins</v>
      </c>
      <c r="D302" t="s">
        <v>357</v>
      </c>
      <c r="E302" t="s">
        <v>1</v>
      </c>
      <c r="G302" t="s">
        <v>358</v>
      </c>
      <c r="H302" t="s">
        <v>359</v>
      </c>
      <c r="I302">
        <v>-12.0611</v>
      </c>
      <c r="J302">
        <v>125.024</v>
      </c>
      <c r="K302" t="str">
        <f>HYPERLINK("http://geossdi.dmp.wa.gov.au/NVCLDataServices/mosaic.html?datasetid=852666ee-f543-4962-b3fe-4dfe058c229","Rainier 1_Core Image")</f>
        <v>Rainier 1_Core Image</v>
      </c>
    </row>
    <row r="303" spans="1:11" x14ac:dyDescent="0.25">
      <c r="A303" t="str">
        <f>HYPERLINK("http://www.corstruth.com.au/WA/Sunrise_2_cs.png","Sunrise 2_A4")</f>
        <v>Sunrise 2_A4</v>
      </c>
      <c r="B303" t="str">
        <f>HYPERLINK("http://www.corstruth.com.au/WA/PNG2/Sunrise_2_cs.png","Sunrise 2_0.25m Bins")</f>
        <v>Sunrise 2_0.25m Bins</v>
      </c>
      <c r="C303" t="str">
        <f>HYPERLINK("http://www.corstruth.com.au/WA/CSV/Sunrise_2.csv","Sunrise 2_CSV File 1m Bins")</f>
        <v>Sunrise 2_CSV File 1m Bins</v>
      </c>
      <c r="D303" t="s">
        <v>360</v>
      </c>
      <c r="E303" t="s">
        <v>1</v>
      </c>
      <c r="G303" t="s">
        <v>358</v>
      </c>
      <c r="H303" t="s">
        <v>361</v>
      </c>
      <c r="I303">
        <v>-9.4980399999999996</v>
      </c>
      <c r="J303">
        <v>128.10499999999999</v>
      </c>
      <c r="K303" t="str">
        <f>HYPERLINK("http://geossdi.dmp.wa.gov.au/NVCLDataServices/mosaic.html?datasetid=c2654acd-5758-4d78-ba1b-f177b1d2b7d","Sunrise 2_Core Image")</f>
        <v>Sunrise 2_Core Image</v>
      </c>
    </row>
    <row r="304" spans="1:11" x14ac:dyDescent="0.25">
      <c r="A304" t="str">
        <f>HYPERLINK("http://www.corstruth.com.au/WA/Sunset_1_cs.png","Sunset 1_A4")</f>
        <v>Sunset 1_A4</v>
      </c>
      <c r="B304" t="str">
        <f>HYPERLINK("http://www.corstruth.com.au/WA/PNG2/Sunset_1_cs.png","Sunset 1_0.25m Bins")</f>
        <v>Sunset 1_0.25m Bins</v>
      </c>
      <c r="C304" t="str">
        <f>HYPERLINK("http://www.corstruth.com.au/WA/CSV/Sunset_1.csv","Sunset 1_CSV File 1m Bins")</f>
        <v>Sunset 1_CSV File 1m Bins</v>
      </c>
      <c r="D304" t="s">
        <v>362</v>
      </c>
      <c r="E304" t="s">
        <v>1</v>
      </c>
      <c r="G304" t="s">
        <v>358</v>
      </c>
      <c r="H304" t="s">
        <v>363</v>
      </c>
      <c r="I304">
        <v>-9.6420399999999997</v>
      </c>
      <c r="J304">
        <v>127.97799999999999</v>
      </c>
      <c r="K304" t="str">
        <f>HYPERLINK("http://geossdi.dmp.wa.gov.au/NVCLDataServices/mosaic.html?datasetid=69cae753-e04d-4649-85e2-29cc6e867b4","Sunset 1_Core Image")</f>
        <v>Sunset 1_Core Image</v>
      </c>
    </row>
    <row r="305" spans="1:11" x14ac:dyDescent="0.25">
      <c r="A305" t="str">
        <f>HYPERLINK("http://www.corstruth.com.au/WA/Sunset_West_1_cs.png","Sunset West 1_A4")</f>
        <v>Sunset West 1_A4</v>
      </c>
      <c r="B305" t="str">
        <f>HYPERLINK("http://www.corstruth.com.au/WA/PNG2/Sunset_West_1_cs.png","Sunset West 1_0.25m Bins")</f>
        <v>Sunset West 1_0.25m Bins</v>
      </c>
      <c r="C305" t="str">
        <f>HYPERLINK("http://www.corstruth.com.au/WA/CSV/Sunset_West_1.csv","Sunset West 1_CSV File 1m Bins")</f>
        <v>Sunset West 1_CSV File 1m Bins</v>
      </c>
      <c r="D305" t="s">
        <v>364</v>
      </c>
      <c r="E305" t="s">
        <v>1</v>
      </c>
      <c r="G305" t="s">
        <v>358</v>
      </c>
      <c r="H305" t="s">
        <v>365</v>
      </c>
      <c r="I305">
        <v>-9.6338299999999997</v>
      </c>
      <c r="J305">
        <v>127.901</v>
      </c>
      <c r="K305" t="str">
        <f>HYPERLINK("http://geossdi.dmp.wa.gov.au/NVCLDataServices/mosaic.html?datasetid=ddf63a23-d8be-46a7-9a5d-faa94f9dfa6","Sunset West 1_Core Image")</f>
        <v>Sunset West 1_Core Image</v>
      </c>
    </row>
    <row r="306" spans="1:11" x14ac:dyDescent="0.25">
      <c r="A306" t="str">
        <f>HYPERLINK("http://www.corstruth.com.au/WA/Torosa_1_cs.png","Torosa 1_A4")</f>
        <v>Torosa 1_A4</v>
      </c>
      <c r="B306" t="str">
        <f>HYPERLINK("http://www.corstruth.com.au/WA/PNG2/Torosa_1_cs.png","Torosa 1_0.25m Bins")</f>
        <v>Torosa 1_0.25m Bins</v>
      </c>
      <c r="C306" t="str">
        <f>HYPERLINK("http://www.corstruth.com.au/WA/CSV/Torosa_1.csv","Torosa 1_CSV File 1m Bins")</f>
        <v>Torosa 1_CSV File 1m Bins</v>
      </c>
      <c r="D306" t="s">
        <v>366</v>
      </c>
      <c r="E306" t="s">
        <v>1</v>
      </c>
      <c r="G306" t="s">
        <v>367</v>
      </c>
      <c r="H306" t="s">
        <v>368</v>
      </c>
      <c r="I306">
        <v>-13.8672</v>
      </c>
      <c r="J306">
        <v>122.069</v>
      </c>
      <c r="K306" t="str">
        <f>HYPERLINK("http://geossdi.dmp.wa.gov.au/NVCLDataServices/mosaic.html?datasetid=a66b43eb-468b-44ca-ac5f-fb005856686","Torosa 1_Core Image")</f>
        <v>Torosa 1_Core Image</v>
      </c>
    </row>
    <row r="307" spans="1:11" x14ac:dyDescent="0.25">
      <c r="A307" t="str">
        <f>HYPERLINK("http://www.corstruth.com.au/WA/Torosa_4_cs.png","Torosa 4_A4")</f>
        <v>Torosa 4_A4</v>
      </c>
      <c r="B307" t="str">
        <f>HYPERLINK("http://www.corstruth.com.au/WA/PNG2/Torosa_4_cs.png","Torosa 4_0.25m Bins")</f>
        <v>Torosa 4_0.25m Bins</v>
      </c>
      <c r="C307" t="str">
        <f>HYPERLINK("http://www.corstruth.com.au/WA/CSV/Torosa_4.csv","Torosa 4_CSV File 1m Bins")</f>
        <v>Torosa 4_CSV File 1m Bins</v>
      </c>
      <c r="D307" t="s">
        <v>369</v>
      </c>
      <c r="E307" t="s">
        <v>1</v>
      </c>
      <c r="G307" t="s">
        <v>367</v>
      </c>
      <c r="H307" t="s">
        <v>368</v>
      </c>
      <c r="I307">
        <v>-13.9315</v>
      </c>
      <c r="J307">
        <v>122.01600000000001</v>
      </c>
      <c r="K307" t="str">
        <f>HYPERLINK("http://geossdi.dmp.wa.gov.au/NVCLDataServices/mosaic.html?datasetid=d34df3da-622c-4466-8473-bf45055fbe2","Torosa 4_Core Image")</f>
        <v>Torosa 4_Core Image</v>
      </c>
    </row>
    <row r="308" spans="1:11" x14ac:dyDescent="0.25">
      <c r="A308" t="str">
        <f>HYPERLINK("http://www.corstruth.com.au/WA/Torosa_5_cs.png","Torosa 5_A4")</f>
        <v>Torosa 5_A4</v>
      </c>
      <c r="B308" t="str">
        <f>HYPERLINK("http://www.corstruth.com.au/WA/PNG2/Torosa_5_cs.png","Torosa 5_0.25m Bins")</f>
        <v>Torosa 5_0.25m Bins</v>
      </c>
      <c r="C308" t="str">
        <f>HYPERLINK("http://www.corstruth.com.au/WA/CSV/Torosa_5.csv","Torosa 5_CSV File 1m Bins")</f>
        <v>Torosa 5_CSV File 1m Bins</v>
      </c>
      <c r="D308" t="s">
        <v>370</v>
      </c>
      <c r="E308" t="s">
        <v>1</v>
      </c>
      <c r="G308" t="s">
        <v>367</v>
      </c>
      <c r="H308" t="s">
        <v>368</v>
      </c>
      <c r="I308">
        <v>-13.988799999999999</v>
      </c>
      <c r="J308">
        <v>121.976</v>
      </c>
      <c r="K308" t="str">
        <f>HYPERLINK("http://geossdi.dmp.wa.gov.au/NVCLDataServices/mosaic.html?datasetid=e4874b16-aa58-4521-a355-54bcea9ec0f","Torosa 5_Core Image")</f>
        <v>Torosa 5_Core Image</v>
      </c>
    </row>
    <row r="309" spans="1:11" x14ac:dyDescent="0.25">
      <c r="A309" t="str">
        <f>HYPERLINK("http://www.corstruth.com.au/WA/Torosa_6_cs.png","Torosa 6_A4")</f>
        <v>Torosa 6_A4</v>
      </c>
      <c r="B309" t="str">
        <f>HYPERLINK("http://www.corstruth.com.au/WA/PNG2/Torosa_6_cs.png","Torosa 6_0.25m Bins")</f>
        <v>Torosa 6_0.25m Bins</v>
      </c>
      <c r="C309" t="str">
        <f>HYPERLINK("http://www.corstruth.com.au/WA/CSV/Torosa_6.csv","Torosa 6_CSV File 1m Bins")</f>
        <v>Torosa 6_CSV File 1m Bins</v>
      </c>
      <c r="D309" t="s">
        <v>371</v>
      </c>
      <c r="E309" t="s">
        <v>1</v>
      </c>
      <c r="G309" t="s">
        <v>367</v>
      </c>
      <c r="H309" t="s">
        <v>368</v>
      </c>
      <c r="I309">
        <v>-14.0418</v>
      </c>
      <c r="J309">
        <v>121.9</v>
      </c>
      <c r="K309" t="str">
        <f>HYPERLINK("http://geossdi.dmp.wa.gov.au/NVCLDataServices/mosaic.html?datasetid=9c8b0a63-a7c9-41c2-be7e-086382ede7b","Torosa 6_Core Image")</f>
        <v>Torosa 6_Core Image</v>
      </c>
    </row>
    <row r="310" spans="1:11" x14ac:dyDescent="0.25">
      <c r="A310" t="str">
        <f>HYPERLINK("http://www.corstruth.com.au/WA/15BRDD001_cs.png","15BRDD001_A4")</f>
        <v>15BRDD001_A4</v>
      </c>
      <c r="B310" t="str">
        <f>HYPERLINK("http://www.corstruth.com.au/WA/PNG2/15BRDD001_cs.png","15BRDD001_0.25m Bins")</f>
        <v>15BRDD001_0.25m Bins</v>
      </c>
      <c r="C310" t="str">
        <f>HYPERLINK("http://www.corstruth.com.au/WA/CSV/15BRDD001.csv","15BRDD001_CSV File 1m Bins")</f>
        <v>15BRDD001_CSV File 1m Bins</v>
      </c>
      <c r="D310" t="s">
        <v>372</v>
      </c>
      <c r="E310" t="s">
        <v>1</v>
      </c>
      <c r="G310" t="s">
        <v>373</v>
      </c>
      <c r="H310" t="s">
        <v>374</v>
      </c>
      <c r="I310">
        <v>-25.738700000000001</v>
      </c>
      <c r="J310">
        <v>118.77200000000001</v>
      </c>
      <c r="K310" t="str">
        <f>HYPERLINK("http://geossdi.dmp.wa.gov.au/NVCLDataServices/mosaic.html?datasetid=3bdc8f0a-0d28-4e87-8f02-37b12aaf4e9","15BRDD001_Core Image")</f>
        <v>15BRDD001_Core Image</v>
      </c>
    </row>
    <row r="311" spans="1:11" x14ac:dyDescent="0.25">
      <c r="A311" t="str">
        <f>HYPERLINK("http://www.corstruth.com.au/WA/15BRDD002_cs.png","15BRDD002_A4")</f>
        <v>15BRDD002_A4</v>
      </c>
      <c r="B311" t="str">
        <f>HYPERLINK("http://www.corstruth.com.au/WA/PNG2/15BRDD002_cs.png","15BRDD002_0.25m Bins")</f>
        <v>15BRDD002_0.25m Bins</v>
      </c>
      <c r="C311" t="str">
        <f>HYPERLINK("http://www.corstruth.com.au/WA/CSV/15BRDD002.csv","15BRDD002_CSV File 1m Bins")</f>
        <v>15BRDD002_CSV File 1m Bins</v>
      </c>
      <c r="D311" t="s">
        <v>375</v>
      </c>
      <c r="E311" t="s">
        <v>1</v>
      </c>
      <c r="G311" t="s">
        <v>373</v>
      </c>
      <c r="H311" t="s">
        <v>374</v>
      </c>
      <c r="I311">
        <v>-25.740500000000001</v>
      </c>
      <c r="J311">
        <v>118.776</v>
      </c>
      <c r="K311" t="str">
        <f>HYPERLINK("http://geossdi.dmp.wa.gov.au/NVCLDataServices/mosaic.html?datasetid=5d998216-4eba-473b-a29a-2f1d812d3c5","15BRDD002_Core Image")</f>
        <v>15BRDD002_Core Image</v>
      </c>
    </row>
    <row r="312" spans="1:11" x14ac:dyDescent="0.25">
      <c r="A312" t="str">
        <f>HYPERLINK("http://www.corstruth.com.au/WA/15BRDD003_cs.png","15BRDD003_A4")</f>
        <v>15BRDD003_A4</v>
      </c>
      <c r="B312" t="str">
        <f>HYPERLINK("http://www.corstruth.com.au/WA/PNG2/15BRDD003_cs.png","15BRDD003_0.25m Bins")</f>
        <v>15BRDD003_0.25m Bins</v>
      </c>
      <c r="C312" t="str">
        <f>HYPERLINK("http://www.corstruth.com.au/WA/CSV/15BRDD003.csv","15BRDD003_CSV File 1m Bins")</f>
        <v>15BRDD003_CSV File 1m Bins</v>
      </c>
      <c r="D312" t="s">
        <v>376</v>
      </c>
      <c r="E312" t="s">
        <v>1</v>
      </c>
      <c r="G312" t="s">
        <v>373</v>
      </c>
      <c r="H312" t="s">
        <v>374</v>
      </c>
      <c r="I312">
        <v>-25.743200000000002</v>
      </c>
      <c r="J312">
        <v>118.78100000000001</v>
      </c>
      <c r="K312" t="str">
        <f>HYPERLINK("http://geossdi.dmp.wa.gov.au/NVCLDataServices/mosaic.html?datasetid=f552cc33-7f17-4902-b756-711082a9984","15BRDD003_Core Image")</f>
        <v>15BRDD003_Core Image</v>
      </c>
    </row>
    <row r="313" spans="1:11" x14ac:dyDescent="0.25">
      <c r="A313" t="str">
        <f>HYPERLINK("http://www.corstruth.com.au/WA/DGDD397_cs.png","DGDD397_A4")</f>
        <v>DGDD397_A4</v>
      </c>
      <c r="B313" t="str">
        <f>HYPERLINK("http://www.corstruth.com.au/WA/PNG2/DGDD397_cs.png","DGDD397_0.25m Bins")</f>
        <v>DGDD397_0.25m Bins</v>
      </c>
      <c r="C313" t="str">
        <f>HYPERLINK("http://www.corstruth.com.au/WA/CSV/DGDD397.csv","DGDD397_CSV File 1m Bins")</f>
        <v>DGDD397_CSV File 1m Bins</v>
      </c>
      <c r="D313" t="s">
        <v>377</v>
      </c>
      <c r="E313" t="s">
        <v>1</v>
      </c>
      <c r="G313" t="s">
        <v>373</v>
      </c>
      <c r="H313" t="s">
        <v>378</v>
      </c>
      <c r="I313">
        <v>-25.5777</v>
      </c>
      <c r="J313">
        <v>119.245</v>
      </c>
      <c r="K313" t="str">
        <f>HYPERLINK("http://geossdi.dmp.wa.gov.au/NVCLDataServices/mosaic.html?datasetid=05a2e10a-f0d4-4c53-a13f-3e1f8e94278","DGDD397_Core Image")</f>
        <v>DGDD397_Core Image</v>
      </c>
    </row>
    <row r="314" spans="1:11" x14ac:dyDescent="0.25">
      <c r="A314" t="str">
        <f>HYPERLINK("http://www.corstruth.com.au/WA/DGDD398_cs.png","DGDD398_A4")</f>
        <v>DGDD398_A4</v>
      </c>
      <c r="B314" t="str">
        <f>HYPERLINK("http://www.corstruth.com.au/WA/PNG2/DGDD398_cs.png","DGDD398_0.25m Bins")</f>
        <v>DGDD398_0.25m Bins</v>
      </c>
      <c r="C314" t="str">
        <f>HYPERLINK("http://www.corstruth.com.au/WA/CSV/DGDD398.csv","DGDD398_CSV File 1m Bins")</f>
        <v>DGDD398_CSV File 1m Bins</v>
      </c>
      <c r="D314" t="s">
        <v>379</v>
      </c>
      <c r="E314" t="s">
        <v>1</v>
      </c>
      <c r="G314" t="s">
        <v>373</v>
      </c>
      <c r="H314" t="s">
        <v>378</v>
      </c>
      <c r="I314">
        <v>-25.570599999999999</v>
      </c>
      <c r="J314">
        <v>119.245</v>
      </c>
      <c r="K314" t="str">
        <f>HYPERLINK("http://geossdi.dmp.wa.gov.au/NVCLDataServices/mosaic.html?datasetid=e7d528e6-7613-40b8-a356-065bf7082df","DGDD398_Core Image")</f>
        <v>DGDD398_Core Image</v>
      </c>
    </row>
    <row r="315" spans="1:11" x14ac:dyDescent="0.25">
      <c r="A315" t="str">
        <f>HYPERLINK("http://www.corstruth.com.au/WA/KLDD001_cs.png","KLDD001_A4")</f>
        <v>KLDD001_A4</v>
      </c>
      <c r="B315" t="str">
        <f>HYPERLINK("http://www.corstruth.com.au/WA/PNG2/KLDD001_cs.png","KLDD001_0.25m Bins")</f>
        <v>KLDD001_0.25m Bins</v>
      </c>
      <c r="C315" t="str">
        <f>HYPERLINK("http://www.corstruth.com.au/WA/CSV/KLDD001.csv","KLDD001_CSV File 1m Bins")</f>
        <v>KLDD001_CSV File 1m Bins</v>
      </c>
      <c r="D315" t="s">
        <v>380</v>
      </c>
      <c r="E315" t="s">
        <v>1</v>
      </c>
      <c r="G315" t="s">
        <v>373</v>
      </c>
      <c r="H315" t="s">
        <v>381</v>
      </c>
      <c r="I315">
        <v>-25.575299999999999</v>
      </c>
      <c r="J315">
        <v>117.66</v>
      </c>
      <c r="K315" t="str">
        <f>HYPERLINK("http://geossdi.dmp.wa.gov.au/NVCLDataServices/mosaic.html?datasetid=5d6c8253-2f90-4236-a745-e731492be94","KLDD001_Core Image")</f>
        <v>KLDD001_Core Image</v>
      </c>
    </row>
    <row r="316" spans="1:11" x14ac:dyDescent="0.25">
      <c r="A316" t="str">
        <f>HYPERLINK("http://www.corstruth.com.au/WA/KLDD002_cs.png","KLDD002_A4")</f>
        <v>KLDD002_A4</v>
      </c>
      <c r="B316" t="str">
        <f>HYPERLINK("http://www.corstruth.com.au/WA/PNG2/KLDD002_cs.png","KLDD002_0.25m Bins")</f>
        <v>KLDD002_0.25m Bins</v>
      </c>
      <c r="C316" t="str">
        <f>HYPERLINK("http://www.corstruth.com.au/WA/CSV/KLDD002.csv","KLDD002_CSV File 1m Bins")</f>
        <v>KLDD002_CSV File 1m Bins</v>
      </c>
      <c r="D316" t="s">
        <v>382</v>
      </c>
      <c r="E316" t="s">
        <v>1</v>
      </c>
      <c r="G316" t="s">
        <v>373</v>
      </c>
      <c r="H316" t="s">
        <v>381</v>
      </c>
      <c r="I316">
        <v>-25.575399999999998</v>
      </c>
      <c r="J316">
        <v>117.65900000000001</v>
      </c>
      <c r="K316" t="str">
        <f>HYPERLINK("http://geossdi.dmp.wa.gov.au/NVCLDataServices/mosaic.html?datasetid=aeb552bc-8584-4e6d-b2f0-8648f64984c","KLDD002_Core Image")</f>
        <v>KLDD002_Core Image</v>
      </c>
    </row>
    <row r="317" spans="1:11" x14ac:dyDescent="0.25">
      <c r="A317" t="str">
        <f>HYPERLINK("http://www.corstruth.com.au/WA/KLDD003_cs.png","KLDD003_A4")</f>
        <v>KLDD003_A4</v>
      </c>
      <c r="B317" t="str">
        <f>HYPERLINK("http://www.corstruth.com.au/WA/PNG2/KLDD003_cs.png","KLDD003_0.25m Bins")</f>
        <v>KLDD003_0.25m Bins</v>
      </c>
      <c r="C317" t="str">
        <f>HYPERLINK("http://www.corstruth.com.au/WA/CSV/KLDD003.csv","KLDD003_CSV File 1m Bins")</f>
        <v>KLDD003_CSV File 1m Bins</v>
      </c>
      <c r="D317" t="s">
        <v>383</v>
      </c>
      <c r="E317" t="s">
        <v>1</v>
      </c>
      <c r="G317" t="s">
        <v>373</v>
      </c>
      <c r="H317" t="s">
        <v>381</v>
      </c>
      <c r="I317">
        <v>-25.5778</v>
      </c>
      <c r="J317">
        <v>117.664</v>
      </c>
      <c r="K317" t="str">
        <f>HYPERLINK("http://geossdi.dmp.wa.gov.au/NVCLDataServices/mosaic.html?datasetid=55bbbcfa-7f1a-4c81-895e-bf8d0f3b093","KLDD003_Core Image")</f>
        <v>KLDD003_Core Image</v>
      </c>
    </row>
    <row r="318" spans="1:11" x14ac:dyDescent="0.25">
      <c r="A318" t="str">
        <f>HYPERLINK("http://www.corstruth.com.au/WA/KLDD004_cs.png","KLDD004_A4")</f>
        <v>KLDD004_A4</v>
      </c>
      <c r="B318" t="str">
        <f>HYPERLINK("http://www.corstruth.com.au/WA/PNG2/KLDD004_cs.png","KLDD004_0.25m Bins")</f>
        <v>KLDD004_0.25m Bins</v>
      </c>
      <c r="C318" t="str">
        <f>HYPERLINK("http://www.corstruth.com.au/WA/CSV/KLDD004.csv","KLDD004_CSV File 1m Bins")</f>
        <v>KLDD004_CSV File 1m Bins</v>
      </c>
      <c r="D318" t="s">
        <v>384</v>
      </c>
      <c r="E318" t="s">
        <v>1</v>
      </c>
      <c r="G318" t="s">
        <v>373</v>
      </c>
      <c r="H318" t="s">
        <v>381</v>
      </c>
      <c r="I318">
        <v>-25.5764</v>
      </c>
      <c r="J318">
        <v>117.66</v>
      </c>
      <c r="K318" t="str">
        <f>HYPERLINK("http://geossdi.dmp.wa.gov.au/NVCLDataServices/mosaic.html?datasetid=7ce12687-d76c-4376-aa00-c94371bd12d","KLDD004_Core Image")</f>
        <v>KLDD004_Core Image</v>
      </c>
    </row>
    <row r="319" spans="1:11" x14ac:dyDescent="0.25">
      <c r="A319" t="str">
        <f>HYPERLINK("http://www.corstruth.com.au/WA/KLDD005_cs.png","KLDD005_A4")</f>
        <v>KLDD005_A4</v>
      </c>
      <c r="B319" t="str">
        <f>HYPERLINK("http://www.corstruth.com.au/WA/PNG2/KLDD005_cs.png","KLDD005_0.25m Bins")</f>
        <v>KLDD005_0.25m Bins</v>
      </c>
      <c r="C319" t="str">
        <f>HYPERLINK("http://www.corstruth.com.au/WA/CSV/KLDD005.csv","KLDD005_CSV File 1m Bins")</f>
        <v>KLDD005_CSV File 1m Bins</v>
      </c>
      <c r="D319" t="s">
        <v>385</v>
      </c>
      <c r="E319" t="s">
        <v>1</v>
      </c>
      <c r="G319" t="s">
        <v>373</v>
      </c>
      <c r="H319" t="s">
        <v>381</v>
      </c>
      <c r="I319">
        <v>-25.577200000000001</v>
      </c>
      <c r="J319">
        <v>117.66200000000001</v>
      </c>
      <c r="K319" t="str">
        <f>HYPERLINK("http://geossdi.dmp.wa.gov.au/NVCLDataServices/mosaic.html?datasetid=1b3c3773-78ca-426b-9028-806e45d8118","KLDD005_Core Image")</f>
        <v>KLDD005_Core Image</v>
      </c>
    </row>
    <row r="320" spans="1:11" x14ac:dyDescent="0.25">
      <c r="A320" t="str">
        <f>HYPERLINK("http://www.corstruth.com.au/WA/WRDD004_cs.png","WRDD004_A4")</f>
        <v>WRDD004_A4</v>
      </c>
      <c r="B320" t="str">
        <f>HYPERLINK("http://www.corstruth.com.au/WA/PNG2/WRDD004_cs.png","WRDD004_0.25m Bins")</f>
        <v>WRDD004_0.25m Bins</v>
      </c>
      <c r="C320" t="str">
        <f>HYPERLINK("http://www.corstruth.com.au/WA/CSV/WRDD004.csv","WRDD004_CSV File 1m Bins")</f>
        <v>WRDD004_CSV File 1m Bins</v>
      </c>
      <c r="D320" t="s">
        <v>386</v>
      </c>
      <c r="E320" t="s">
        <v>1</v>
      </c>
      <c r="G320" t="s">
        <v>373</v>
      </c>
      <c r="H320" t="s">
        <v>387</v>
      </c>
      <c r="I320">
        <v>-25.4115</v>
      </c>
      <c r="J320">
        <v>118.386</v>
      </c>
      <c r="K320" t="str">
        <f>HYPERLINK("http://geossdi.dmp.wa.gov.au/NVCLDataServices/mosaic.html?datasetid=437b3c13-2a5f-4a7a-970a-d562ccf6226","WRDD004_Core Image")</f>
        <v>WRDD004_Core Image</v>
      </c>
    </row>
    <row r="321" spans="1:11" x14ac:dyDescent="0.25">
      <c r="A321" t="str">
        <f>HYPERLINK("http://www.corstruth.com.au/WA/Acacia_1_cs.png","Acacia 1_A4")</f>
        <v>Acacia 1_A4</v>
      </c>
      <c r="D321" t="s">
        <v>388</v>
      </c>
      <c r="E321" t="s">
        <v>1</v>
      </c>
      <c r="G321" t="s">
        <v>389</v>
      </c>
      <c r="H321" t="s">
        <v>390</v>
      </c>
      <c r="I321">
        <v>-19.3292</v>
      </c>
      <c r="J321">
        <v>124.996</v>
      </c>
      <c r="K321" t="str">
        <f>HYPERLINK("http://geossdi.dmp.wa.gov.au/NVCLDataServices/mosaic.html?datasetid=340f4c72-49fb-43cd-8a30-c6efbedeff6","Acacia 1_Core Image")</f>
        <v>Acacia 1_Core Image</v>
      </c>
    </row>
    <row r="322" spans="1:11" x14ac:dyDescent="0.25">
      <c r="A322" t="str">
        <f>HYPERLINK("http://www.corstruth.com.au/WA/Boab_1_cs.png","Boab 1_A4")</f>
        <v>Boab 1_A4</v>
      </c>
      <c r="D322" t="s">
        <v>391</v>
      </c>
      <c r="E322" t="s">
        <v>1</v>
      </c>
      <c r="G322" t="s">
        <v>389</v>
      </c>
      <c r="H322" t="s">
        <v>392</v>
      </c>
      <c r="I322">
        <v>-19.576899999999998</v>
      </c>
      <c r="J322">
        <v>125.14700000000001</v>
      </c>
      <c r="K322" t="str">
        <f>HYPERLINK("http://geossdi.dmp.wa.gov.au/NVCLDataServices/mosaic.html?datasetid=7ae2355d-f6e4-4205-8d17-59ff1e3aa76","Boab 1_Core Image")</f>
        <v>Boab 1_Core Image</v>
      </c>
    </row>
    <row r="323" spans="1:11" x14ac:dyDescent="0.25">
      <c r="A323" t="str">
        <f>HYPERLINK("http://www.corstruth.com.au/WA/Cassia_1_cs.png","Cassia 1_A4")</f>
        <v>Cassia 1_A4</v>
      </c>
      <c r="D323" t="s">
        <v>393</v>
      </c>
      <c r="E323" t="s">
        <v>1</v>
      </c>
      <c r="G323" t="s">
        <v>389</v>
      </c>
      <c r="H323" t="s">
        <v>394</v>
      </c>
      <c r="I323">
        <v>-19.7346</v>
      </c>
      <c r="J323">
        <v>125.51600000000001</v>
      </c>
      <c r="K323" t="str">
        <f>HYPERLINK("http://geossdi.dmp.wa.gov.au/NVCLDataServices/mosaic.html?datasetid=b21324b3-be7a-4d89-a9b6-4b914e9fdb1","Cassia 1_Core Image")</f>
        <v>Cassia 1_Core Image</v>
      </c>
    </row>
    <row r="324" spans="1:11" x14ac:dyDescent="0.25">
      <c r="A324" t="str">
        <f>HYPERLINK("http://www.corstruth.com.au/WA/Ficus_1_cs.png","Ficus 1_A4")</f>
        <v>Ficus 1_A4</v>
      </c>
      <c r="D324" t="s">
        <v>395</v>
      </c>
      <c r="E324" t="s">
        <v>1</v>
      </c>
      <c r="G324" t="s">
        <v>389</v>
      </c>
      <c r="H324" t="s">
        <v>396</v>
      </c>
      <c r="I324">
        <v>-19.817499999999999</v>
      </c>
      <c r="J324">
        <v>125.29900000000001</v>
      </c>
      <c r="K324" t="str">
        <f>HYPERLINK("http://geossdi.dmp.wa.gov.au/NVCLDataServices/mosaic.html?datasetid=3c3c61df-d93f-41c5-ac86-16c526f1b5a","Ficus 1_Core Image")</f>
        <v>Ficus 1_Core Image</v>
      </c>
    </row>
    <row r="325" spans="1:11" x14ac:dyDescent="0.25">
      <c r="A325" t="str">
        <f>HYPERLINK("http://www.corstruth.com.au/WA/Solanum_1_cs.png","Solanum 1_A4")</f>
        <v>Solanum 1_A4</v>
      </c>
      <c r="B325" t="str">
        <f>HYPERLINK("http://www.corstruth.com.au/WA/PNG2/Solanum_1_cs.png","Solanum 1_0.25m Bins")</f>
        <v>Solanum 1_0.25m Bins</v>
      </c>
      <c r="C325" t="str">
        <f>HYPERLINK("http://www.corstruth.com.au/WA/CSV/Solanum_1.csv","Solanum 1_CSV File 1m Bins")</f>
        <v>Solanum 1_CSV File 1m Bins</v>
      </c>
      <c r="D325" t="s">
        <v>397</v>
      </c>
      <c r="E325" t="s">
        <v>1</v>
      </c>
      <c r="G325" t="s">
        <v>389</v>
      </c>
      <c r="H325" t="s">
        <v>398</v>
      </c>
      <c r="I325">
        <v>-19.364999999999998</v>
      </c>
      <c r="J325">
        <v>124.96299999999999</v>
      </c>
      <c r="K325" t="str">
        <f>HYPERLINK("http://geossdi.dmp.wa.gov.au/NVCLDataServices/mosaic.html?datasetid=1d523c25-a47c-4039-bbe1-59e52ee9aa4","Solanum 1_Core Image")</f>
        <v>Solanum 1_Core Image</v>
      </c>
    </row>
    <row r="326" spans="1:11" x14ac:dyDescent="0.25">
      <c r="A326" t="str">
        <f>HYPERLINK("http://www.corstruth.com.au/WA/Acacia_2_cs.png","Acacia 2_A4")</f>
        <v>Acacia 2_A4</v>
      </c>
      <c r="B326" t="str">
        <f>HYPERLINK("http://www.corstruth.com.au/WA/PNG2/Acacia_2_cs.png","Acacia 2_0.25m Bins")</f>
        <v>Acacia 2_0.25m Bins</v>
      </c>
      <c r="C326" t="str">
        <f>HYPERLINK("http://www.corstruth.com.au/WA/CSV/Acacia_2.csv","Acacia 2_CSV File 1m Bins")</f>
        <v>Acacia 2_CSV File 1m Bins</v>
      </c>
      <c r="D326" t="s">
        <v>399</v>
      </c>
      <c r="E326" t="s">
        <v>1</v>
      </c>
      <c r="G326" t="s">
        <v>400</v>
      </c>
      <c r="H326" t="s">
        <v>390</v>
      </c>
      <c r="I326">
        <v>-19.329699999999999</v>
      </c>
      <c r="J326">
        <v>124.995</v>
      </c>
      <c r="K326" t="str">
        <f>HYPERLINK("http://geossdi.dmp.wa.gov.au/NVCLDataServices/mosaic.html?datasetid=7c955413-e9ea-45a1-aae3-fd0afedcb64","Acacia 2_Core Image")</f>
        <v>Acacia 2_Core Image</v>
      </c>
    </row>
    <row r="327" spans="1:11" x14ac:dyDescent="0.25">
      <c r="A327" t="str">
        <f>HYPERLINK("http://www.corstruth.com.au/WA/Barbwire_1_cs.png","Barbwire 1_A4")</f>
        <v>Barbwire 1_A4</v>
      </c>
      <c r="B327" t="str">
        <f>HYPERLINK("http://www.corstruth.com.au/WA/PNG2/Barbwire_1_cs.png","Barbwire 1_0.25m Bins")</f>
        <v>Barbwire 1_0.25m Bins</v>
      </c>
      <c r="C327" t="str">
        <f>HYPERLINK("http://www.corstruth.com.au/WA/CSV/Barbwire_1.csv","Barbwire 1_CSV File 1m Bins")</f>
        <v>Barbwire 1_CSV File 1m Bins</v>
      </c>
      <c r="D327" t="s">
        <v>401</v>
      </c>
      <c r="E327" t="s">
        <v>1</v>
      </c>
      <c r="G327" t="s">
        <v>400</v>
      </c>
      <c r="H327" t="s">
        <v>402</v>
      </c>
      <c r="I327">
        <v>-19.175899999999999</v>
      </c>
      <c r="J327">
        <v>125.018</v>
      </c>
      <c r="K327" t="str">
        <f>HYPERLINK("http://geossdi.dmp.wa.gov.au/NVCLDataServices/mosaic.html?datasetid=77f2dc09-d9b0-486e-98ff-d5eaf77f6d1","Barbwire 1_Core Image")</f>
        <v>Barbwire 1_Core Image</v>
      </c>
    </row>
    <row r="328" spans="1:11" x14ac:dyDescent="0.25">
      <c r="A328" t="str">
        <f>HYPERLINK("http://www.corstruth.com.au/WA/Eremophilia_1_cs.png","Eremophilia 1_A4")</f>
        <v>Eremophilia 1_A4</v>
      </c>
      <c r="B328" t="str">
        <f>HYPERLINK("http://www.corstruth.com.au/WA/PNG2/Eremophilia_1_cs.png","Eremophilia 1_0.25m Bins")</f>
        <v>Eremophilia 1_0.25m Bins</v>
      </c>
      <c r="C328" t="str">
        <f>HYPERLINK("http://www.corstruth.com.au/WA/CSV/Eremophilia_1.csv","Eremophilia 1_CSV File 1m Bins")</f>
        <v>Eremophilia 1_CSV File 1m Bins</v>
      </c>
      <c r="D328" t="s">
        <v>403</v>
      </c>
      <c r="E328" t="s">
        <v>1</v>
      </c>
      <c r="G328" t="s">
        <v>400</v>
      </c>
      <c r="H328" t="s">
        <v>404</v>
      </c>
      <c r="I328">
        <v>-19.7791</v>
      </c>
      <c r="J328">
        <v>125.205</v>
      </c>
      <c r="K328" t="str">
        <f>HYPERLINK("http://geossdi.dmp.wa.gov.au/NVCLDataServices/mosaic.html?datasetid=687a51d0-1e0c-4263-ba81-ddba8dc5eed","Eremophilia 1_Core Image")</f>
        <v>Eremophilia 1_Core Image</v>
      </c>
    </row>
    <row r="329" spans="1:11" x14ac:dyDescent="0.25">
      <c r="A329" t="str">
        <f>HYPERLINK("http://www.corstruth.com.au/WA/Triodia_1_cs.png","Triodia 1_A4")</f>
        <v>Triodia 1_A4</v>
      </c>
      <c r="B329" t="str">
        <f>HYPERLINK("http://www.corstruth.com.au/WA/PNG2/Triodia_1_cs.png","Triodia 1_0.25m Bins")</f>
        <v>Triodia 1_0.25m Bins</v>
      </c>
      <c r="C329" t="str">
        <f>HYPERLINK("http://www.corstruth.com.au/WA/CSV/Triodia_1.csv","Triodia 1_CSV File 1m Bins")</f>
        <v>Triodia 1_CSV File 1m Bins</v>
      </c>
      <c r="D329" t="s">
        <v>405</v>
      </c>
      <c r="E329" t="s">
        <v>1</v>
      </c>
      <c r="G329" t="s">
        <v>400</v>
      </c>
      <c r="H329" t="s">
        <v>406</v>
      </c>
      <c r="I329">
        <v>-19.636700000000001</v>
      </c>
      <c r="J329">
        <v>125.23399999999999</v>
      </c>
      <c r="K329" t="str">
        <f>HYPERLINK("http://geossdi.dmp.wa.gov.au/NVCLDataServices/mosaic.html?datasetid=014b8aea-3bb0-4133-8d84-21698d2e3ce","Triodia 1_Core Image")</f>
        <v>Triodia 1_Core Image</v>
      </c>
    </row>
    <row r="330" spans="1:11" x14ac:dyDescent="0.25">
      <c r="A330" t="str">
        <f>HYPERLINK("http://www.corstruth.com.au/WA/Kunzea_1_cs.png","Kunzea 1_A4")</f>
        <v>Kunzea 1_A4</v>
      </c>
      <c r="B330" t="str">
        <f>HYPERLINK("http://www.corstruth.com.au/WA/PNG2/Kunzea_1_cs.png","Kunzea 1_0.25m Bins")</f>
        <v>Kunzea 1_0.25m Bins</v>
      </c>
      <c r="C330" t="str">
        <f>HYPERLINK("http://www.corstruth.com.au/WA/CSV/Kunzea_1.csv","Kunzea 1_CSV File 1m Bins")</f>
        <v>Kunzea 1_CSV File 1m Bins</v>
      </c>
      <c r="D330" t="s">
        <v>407</v>
      </c>
      <c r="E330" t="s">
        <v>1</v>
      </c>
      <c r="G330" t="s">
        <v>408</v>
      </c>
      <c r="H330" t="s">
        <v>409</v>
      </c>
      <c r="I330">
        <v>-19.5337</v>
      </c>
      <c r="J330">
        <v>124.991</v>
      </c>
      <c r="K330" t="str">
        <f>HYPERLINK("http://geossdi.dmp.wa.gov.au/NVCLDataServices/mosaic.html?datasetid=00b74435-3b3a-4b75-b117-d8d7ed49f4d","Kunzea 1_Core Image")</f>
        <v>Kunzea 1_Core Image</v>
      </c>
    </row>
    <row r="331" spans="1:11" x14ac:dyDescent="0.25">
      <c r="A331" t="str">
        <f>HYPERLINK("http://www.corstruth.com.au/WA/Looma_1_cs.png","Looma 1_A4")</f>
        <v>Looma 1_A4</v>
      </c>
      <c r="B331" t="str">
        <f>HYPERLINK("http://www.corstruth.com.au/WA/PNG2/Looma_1_cs.png","Looma 1_0.25m Bins")</f>
        <v>Looma 1_0.25m Bins</v>
      </c>
      <c r="C331" t="str">
        <f>HYPERLINK("http://www.corstruth.com.au/WA/CSV/Looma_1.csv","Looma 1_CSV File 1m Bins")</f>
        <v>Looma 1_CSV File 1m Bins</v>
      </c>
      <c r="D331" t="s">
        <v>410</v>
      </c>
      <c r="E331" t="s">
        <v>1</v>
      </c>
      <c r="G331" t="s">
        <v>408</v>
      </c>
      <c r="H331" t="s">
        <v>411</v>
      </c>
      <c r="I331">
        <v>-19.1236</v>
      </c>
      <c r="J331">
        <v>123.994</v>
      </c>
      <c r="K331" t="str">
        <f>HYPERLINK("http://geossdi.dmp.wa.gov.au/NVCLDataServices/mosaic.html?datasetid=d5671f78-fefd-4a8a-abd0-e6b8a4e2d36","Looma 1_Core Image")</f>
        <v>Looma 1_Core Image</v>
      </c>
    </row>
    <row r="332" spans="1:11" x14ac:dyDescent="0.25">
      <c r="A332" t="str">
        <f>HYPERLINK("http://www.corstruth.com.au/WA/Sally_May_2_cs.png","Sally May 2_A4")</f>
        <v>Sally May 2_A4</v>
      </c>
      <c r="B332" t="str">
        <f>HYPERLINK("http://www.corstruth.com.au/WA/PNG2/Sally_May_2_cs.png","Sally May 2_0.25m Bins")</f>
        <v>Sally May 2_0.25m Bins</v>
      </c>
      <c r="C332" t="str">
        <f>HYPERLINK("http://www.corstruth.com.au/WA/CSV/Sally_May_2.csv","Sally May 2_CSV File 1m Bins")</f>
        <v>Sally May 2_CSV File 1m Bins</v>
      </c>
      <c r="D332" t="s">
        <v>412</v>
      </c>
      <c r="E332" t="s">
        <v>1</v>
      </c>
      <c r="G332" t="s">
        <v>408</v>
      </c>
      <c r="H332" t="s">
        <v>413</v>
      </c>
      <c r="I332">
        <v>-19.801400000000001</v>
      </c>
      <c r="J332">
        <v>124.45699999999999</v>
      </c>
      <c r="K332" t="str">
        <f>HYPERLINK("http://geossdi.dmp.wa.gov.au/NVCLDataServices/mosaic.html?datasetid=a5fff2af-53b4-4adc-8dc9-caa35f10aac","Sally May 2_Core Image")</f>
        <v>Sally May 2_Core Image</v>
      </c>
    </row>
    <row r="333" spans="1:11" x14ac:dyDescent="0.25">
      <c r="A333" t="str">
        <f>HYPERLINK("http://www.corstruth.com.au/WA/Santalum_1A_cs.png","Santalum 1A_A4")</f>
        <v>Santalum 1A_A4</v>
      </c>
      <c r="B333" t="str">
        <f>HYPERLINK("http://www.corstruth.com.au/WA/PNG2/Santalum_1A_cs.png","Santalum 1A_0.25m Bins")</f>
        <v>Santalum 1A_0.25m Bins</v>
      </c>
      <c r="C333" t="str">
        <f>HYPERLINK("http://www.corstruth.com.au/WA/CSV/Santalum_1A.csv","Santalum 1A_CSV File 1m Bins")</f>
        <v>Santalum 1A_CSV File 1m Bins</v>
      </c>
      <c r="D333" t="s">
        <v>414</v>
      </c>
      <c r="E333" t="s">
        <v>1</v>
      </c>
      <c r="G333" t="s">
        <v>408</v>
      </c>
      <c r="H333" t="s">
        <v>415</v>
      </c>
      <c r="I333">
        <v>-19.471699999999998</v>
      </c>
      <c r="J333">
        <v>124.87</v>
      </c>
      <c r="K333" t="str">
        <f>HYPERLINK("http://geossdi.dmp.wa.gov.au/NVCLDataServices/mosaic.html?datasetid=cfd681e1-5f63-48c3-b1dd-fa1a5121755","Santalum 1A_Core Image")</f>
        <v>Santalum 1A_Core Image</v>
      </c>
    </row>
    <row r="334" spans="1:11" x14ac:dyDescent="0.25">
      <c r="A334" t="str">
        <f>HYPERLINK("http://www.corstruth.com.au/WA/Wilson_Cliffs_1_cs.png","Wilson Cliffs 1_A4")</f>
        <v>Wilson Cliffs 1_A4</v>
      </c>
      <c r="B334" t="str">
        <f>HYPERLINK("http://www.corstruth.com.au/WA/PNG2/Wilson_Cliffs_1_cs.png","Wilson Cliffs 1_0.25m Bins")</f>
        <v>Wilson Cliffs 1_0.25m Bins</v>
      </c>
      <c r="C334" t="str">
        <f>HYPERLINK("http://www.corstruth.com.au/WA/CSV/Wilson_Cliffs_1.csv","Wilson Cliffs 1_CSV File 1m Bins")</f>
        <v>Wilson Cliffs 1_CSV File 1m Bins</v>
      </c>
      <c r="D334" t="s">
        <v>416</v>
      </c>
      <c r="E334" t="s">
        <v>1</v>
      </c>
      <c r="G334" t="s">
        <v>417</v>
      </c>
      <c r="H334" t="s">
        <v>418</v>
      </c>
      <c r="I334">
        <v>-22.2761</v>
      </c>
      <c r="J334">
        <v>126.783</v>
      </c>
      <c r="K334" t="str">
        <f>HYPERLINK("http://geossdi.dmp.wa.gov.au/NVCLDataServices/mosaic.html?datasetid=03689e82-094a-433c-9c5b-125ac701f16","Wilson Cliffs 1_Core Image")</f>
        <v>Wilson Cliffs 1_Core Image</v>
      </c>
    </row>
    <row r="335" spans="1:11" x14ac:dyDescent="0.25">
      <c r="A335" t="str">
        <f>HYPERLINK("http://www.corstruth.com.au/WA/Blina_3_cs.png","Blina 3_A4")</f>
        <v>Blina 3_A4</v>
      </c>
      <c r="D335" t="s">
        <v>419</v>
      </c>
      <c r="E335" t="s">
        <v>1</v>
      </c>
      <c r="G335" t="s">
        <v>420</v>
      </c>
      <c r="H335" t="s">
        <v>421</v>
      </c>
      <c r="I335">
        <v>-17.621600000000001</v>
      </c>
      <c r="J335">
        <v>124.498</v>
      </c>
    </row>
    <row r="336" spans="1:11" x14ac:dyDescent="0.25">
      <c r="A336" t="str">
        <f>HYPERLINK("http://www.corstruth.com.au/WA/Blina_4_cs.png","Blina 4_A4")</f>
        <v>Blina 4_A4</v>
      </c>
      <c r="D336" t="s">
        <v>422</v>
      </c>
      <c r="E336" t="s">
        <v>1</v>
      </c>
      <c r="G336" t="s">
        <v>420</v>
      </c>
      <c r="H336" t="s">
        <v>423</v>
      </c>
      <c r="I336">
        <v>-17.6203</v>
      </c>
      <c r="J336">
        <v>124.5</v>
      </c>
      <c r="K336" t="str">
        <f>HYPERLINK("http://geossdi.dmp.wa.gov.au/NVCLDataServices/mosaic.html?datasetid=a2a3262e-65e8-43bb-9a69-7af16ec44ab","Blina 4_Core Image")</f>
        <v>Blina 4_Core Image</v>
      </c>
    </row>
    <row r="337" spans="1:11" x14ac:dyDescent="0.25">
      <c r="A337" t="str">
        <f>HYPERLINK("http://www.corstruth.com.au/WA/Blina_5_cs.png","Blina 5_A4")</f>
        <v>Blina 5_A4</v>
      </c>
      <c r="D337" t="s">
        <v>424</v>
      </c>
      <c r="E337" t="s">
        <v>1</v>
      </c>
      <c r="G337" t="s">
        <v>21</v>
      </c>
      <c r="H337" t="s">
        <v>421</v>
      </c>
      <c r="I337">
        <v>-17.6249</v>
      </c>
      <c r="J337">
        <v>124.504</v>
      </c>
    </row>
    <row r="338" spans="1:11" x14ac:dyDescent="0.25">
      <c r="A338" t="str">
        <f>HYPERLINK("http://www.corstruth.com.au/WA/Blina_1_cs.png","Blina 1_A4")</f>
        <v>Blina 1_A4</v>
      </c>
      <c r="B338" t="str">
        <f>HYPERLINK("http://www.corstruth.com.au/WA/PNG2/Blina_1_cs.png","Blina 1_0.25m Bins")</f>
        <v>Blina 1_0.25m Bins</v>
      </c>
      <c r="C338" t="str">
        <f>HYPERLINK("http://www.corstruth.com.au/WA/CSV/Blina_1.csv","Blina 1_CSV File 1m Bins")</f>
        <v>Blina 1_CSV File 1m Bins</v>
      </c>
      <c r="D338" t="s">
        <v>425</v>
      </c>
      <c r="E338" t="s">
        <v>1</v>
      </c>
      <c r="G338" t="s">
        <v>21</v>
      </c>
      <c r="H338" t="s">
        <v>423</v>
      </c>
      <c r="I338">
        <v>-17.6235</v>
      </c>
      <c r="J338">
        <v>124.56699999999999</v>
      </c>
      <c r="K338" t="str">
        <f>HYPERLINK("http://geossdi.dmp.wa.gov.au/NVCLDataServices/mosaic.html?datasetid=1f6ce645-06f3-4a6d-8c94-c953065a414","Blina 1_Core Image")</f>
        <v>Blina 1_Core Image</v>
      </c>
    </row>
    <row r="339" spans="1:11" x14ac:dyDescent="0.25">
      <c r="A339" t="str">
        <f>HYPERLINK("http://www.corstruth.com.au/WA/Blina_2_cs.png","Blina 2_A4")</f>
        <v>Blina 2_A4</v>
      </c>
      <c r="B339" t="str">
        <f>HYPERLINK("http://www.corstruth.com.au/WA/PNG2/Blina_2_cs.png","Blina 2_0.25m Bins")</f>
        <v>Blina 2_0.25m Bins</v>
      </c>
      <c r="C339" t="str">
        <f>HYPERLINK("http://www.corstruth.com.au/WA/CSV/Blina_2.csv","Blina 2_CSV File 1m Bins")</f>
        <v>Blina 2_CSV File 1m Bins</v>
      </c>
      <c r="D339" t="s">
        <v>426</v>
      </c>
      <c r="E339" t="s">
        <v>1</v>
      </c>
      <c r="G339" t="s">
        <v>21</v>
      </c>
      <c r="H339" t="s">
        <v>423</v>
      </c>
      <c r="I339">
        <v>-17.617899999999999</v>
      </c>
      <c r="J339">
        <v>124.497</v>
      </c>
      <c r="K339" t="str">
        <f>HYPERLINK("http://geossdi.dmp.wa.gov.au/NVCLDataServices/mosaic.html?datasetid=14a0909b-0fca-4fef-9905-e41c962f727","Blina 2_Core Image")</f>
        <v>Blina 2_Core Image</v>
      </c>
    </row>
    <row r="340" spans="1:11" x14ac:dyDescent="0.25">
      <c r="A340" t="str">
        <f>HYPERLINK("http://www.corstruth.com.au/WA/Meda_1_cs.png","Meda 1_A4")</f>
        <v>Meda 1_A4</v>
      </c>
      <c r="B340" t="str">
        <f>HYPERLINK("http://www.corstruth.com.au/WA/PNG2/Meda_1_cs.png","Meda 1_0.25m Bins")</f>
        <v>Meda 1_0.25m Bins</v>
      </c>
      <c r="C340" t="str">
        <f>HYPERLINK("http://www.corstruth.com.au/WA/CSV/Meda_1.csv","Meda 1_CSV File 1m Bins")</f>
        <v>Meda 1_CSV File 1m Bins</v>
      </c>
      <c r="D340" t="s">
        <v>427</v>
      </c>
      <c r="E340" t="s">
        <v>1</v>
      </c>
      <c r="G340" t="s">
        <v>21</v>
      </c>
      <c r="H340" t="s">
        <v>428</v>
      </c>
      <c r="I340">
        <v>-17.397500000000001</v>
      </c>
      <c r="J340">
        <v>124.194</v>
      </c>
      <c r="K340" t="str">
        <f>HYPERLINK("http://geossdi.dmp.wa.gov.au/NVCLDataServices/mosaic.html?datasetid=16623b9a-3544-4163-9528-c146a984250","Meda 1_Core Image")</f>
        <v>Meda 1_Core Image</v>
      </c>
    </row>
    <row r="341" spans="1:11" x14ac:dyDescent="0.25">
      <c r="A341" t="str">
        <f>HYPERLINK("http://www.corstruth.com.au/WA/Meda_2_cs.png","Meda 2_A4")</f>
        <v>Meda 2_A4</v>
      </c>
      <c r="B341" t="str">
        <f>HYPERLINK("http://www.corstruth.com.au/WA/PNG2/Meda_2_cs.png","Meda 2_0.25m Bins")</f>
        <v>Meda 2_0.25m Bins</v>
      </c>
      <c r="C341" t="str">
        <f>HYPERLINK("http://www.corstruth.com.au/WA/CSV/Meda_2.csv","Meda 2_CSV File 1m Bins")</f>
        <v>Meda 2_CSV File 1m Bins</v>
      </c>
      <c r="D341" t="s">
        <v>429</v>
      </c>
      <c r="E341" t="s">
        <v>1</v>
      </c>
      <c r="G341" t="s">
        <v>21</v>
      </c>
      <c r="H341" t="s">
        <v>428</v>
      </c>
      <c r="I341">
        <v>-17.4084</v>
      </c>
      <c r="J341">
        <v>124.191</v>
      </c>
      <c r="K341" t="str">
        <f>HYPERLINK("http://geossdi.dmp.wa.gov.au/NVCLDataServices/mosaic.html?datasetid=608ce128-6c40-428b-9e23-c7da2ab6d90","Meda 2_Core Image")</f>
        <v>Meda 2_Core Image</v>
      </c>
    </row>
    <row r="342" spans="1:11" x14ac:dyDescent="0.25">
      <c r="A342" t="str">
        <f>HYPERLINK("http://www.corstruth.com.au/WA/Orange_Pool_1_cs.png","Orange Pool 1_A4")</f>
        <v>Orange Pool 1_A4</v>
      </c>
      <c r="B342" t="str">
        <f>HYPERLINK("http://www.corstruth.com.au/WA/PNG2/Orange_Pool_1_cs.png","Orange Pool 1_0.25m Bins")</f>
        <v>Orange Pool 1_0.25m Bins</v>
      </c>
      <c r="C342" t="str">
        <f>HYPERLINK("http://www.corstruth.com.au/WA/CSV/Orange_Pool_1.csv","Orange Pool 1_CSV File 1m Bins")</f>
        <v>Orange Pool 1_CSV File 1m Bins</v>
      </c>
      <c r="D342" t="s">
        <v>430</v>
      </c>
      <c r="E342" t="s">
        <v>1</v>
      </c>
      <c r="G342" t="s">
        <v>21</v>
      </c>
      <c r="H342" t="s">
        <v>431</v>
      </c>
      <c r="I342">
        <v>-17.3035</v>
      </c>
      <c r="J342">
        <v>124.211</v>
      </c>
      <c r="K342" t="str">
        <f>HYPERLINK("http://geossdi.dmp.wa.gov.au/NVCLDataServices/mosaic.html?datasetid=ddbd01e2-1ca4-4c36-9666-03c0fc0b7be","Orange Pool 1_Core Image")</f>
        <v>Orange Pool 1_Core Image</v>
      </c>
    </row>
    <row r="343" spans="1:11" x14ac:dyDescent="0.25">
      <c r="A343" t="str">
        <f>HYPERLINK("http://www.corstruth.com.au/WA/Canopus_1_cs.png","Canopus 1_A4")</f>
        <v>Canopus 1_A4</v>
      </c>
      <c r="B343" t="str">
        <f>HYPERLINK("http://www.corstruth.com.au/WA/PNG2/Canopus_1_cs.png","Canopus 1_0.25m Bins")</f>
        <v>Canopus 1_0.25m Bins</v>
      </c>
      <c r="C343" t="str">
        <f>HYPERLINK("http://www.corstruth.com.au/WA/CSV/Canopus_1.csv","Canopus 1_CSV File 1m Bins")</f>
        <v>Canopus 1_CSV File 1m Bins</v>
      </c>
      <c r="D343" t="s">
        <v>432</v>
      </c>
      <c r="E343" t="s">
        <v>1</v>
      </c>
      <c r="G343" t="s">
        <v>433</v>
      </c>
      <c r="H343" t="s">
        <v>434</v>
      </c>
      <c r="I343">
        <v>-18.9467</v>
      </c>
      <c r="J343">
        <v>123.86799999999999</v>
      </c>
      <c r="K343" t="str">
        <f>HYPERLINK("http://geossdi.dmp.wa.gov.au/NVCLDataServices/mosaic.html?datasetid=fa2093f3-0b65-4cdd-b32c-1c4d5dde0d8","Canopus 1_Core Image")</f>
        <v>Canopus 1_Core Image</v>
      </c>
    </row>
    <row r="344" spans="1:11" x14ac:dyDescent="0.25">
      <c r="A344" t="str">
        <f>HYPERLINK("http://www.corstruth.com.au/WA/Perindi_1_cs.png","Perindi 1_A4")</f>
        <v>Perindi 1_A4</v>
      </c>
      <c r="B344" t="str">
        <f>HYPERLINK("http://www.corstruth.com.au/WA/PNG2/Perindi_1_cs.png","Perindi 1_0.25m Bins")</f>
        <v>Perindi 1_0.25m Bins</v>
      </c>
      <c r="C344" t="str">
        <f>HYPERLINK("http://www.corstruth.com.au/WA/CSV/Perindi_1.csv","Perindi 1_CSV File 1m Bins")</f>
        <v>Perindi 1_CSV File 1m Bins</v>
      </c>
      <c r="D344" t="s">
        <v>435</v>
      </c>
      <c r="E344" t="s">
        <v>1</v>
      </c>
      <c r="G344" t="s">
        <v>436</v>
      </c>
      <c r="H344" t="s">
        <v>437</v>
      </c>
      <c r="I344">
        <v>-16.827000000000002</v>
      </c>
      <c r="J344">
        <v>122.264</v>
      </c>
      <c r="K344" t="str">
        <f>HYPERLINK("http://geossdi.dmp.wa.gov.au/NVCLDataServices/mosaic.html?datasetid=66cef009-8400-4106-8d03-a98c32f8f7c","Perindi 1_Core Image")</f>
        <v>Perindi 1_Core Image</v>
      </c>
    </row>
    <row r="345" spans="1:11" x14ac:dyDescent="0.25">
      <c r="A345" t="str">
        <f>HYPERLINK("http://www.corstruth.com.au/WA/DD87SS7_cs.png","DD87SS7_A4")</f>
        <v>DD87SS7_A4</v>
      </c>
      <c r="B345" t="str">
        <f>HYPERLINK("http://www.corstruth.com.au/WA/PNG2/DD87SS7_cs.png","DD87SS7_0.25m Bins")</f>
        <v>DD87SS7_0.25m Bins</v>
      </c>
      <c r="C345" t="str">
        <f>HYPERLINK("http://www.corstruth.com.au/WA/CSV/DD87SS7.csv","DD87SS7_CSV File 1m Bins")</f>
        <v>DD87SS7_CSV File 1m Bins</v>
      </c>
      <c r="D345" t="s">
        <v>438</v>
      </c>
      <c r="E345" t="s">
        <v>1</v>
      </c>
      <c r="G345" t="s">
        <v>439</v>
      </c>
      <c r="H345" t="s">
        <v>440</v>
      </c>
      <c r="I345">
        <v>-19.215599999999998</v>
      </c>
      <c r="J345">
        <v>122.324</v>
      </c>
      <c r="K345" t="str">
        <f>HYPERLINK("http://geossdi.dmp.wa.gov.au/NVCLDataServices/mosaic.html?datasetid=0bccd49f-50cc-4157-aa0c-6b17467833b","DD87SS7_Core Image")</f>
        <v>DD87SS7_Core Image</v>
      </c>
    </row>
    <row r="346" spans="1:11" x14ac:dyDescent="0.25">
      <c r="A346" t="str">
        <f>HYPERLINK("http://www.corstruth.com.au/WA/Bedout_1_cs.png","Bedout 1_A4")</f>
        <v>Bedout 1_A4</v>
      </c>
      <c r="B346" t="str">
        <f>HYPERLINK("http://www.corstruth.com.au/WA/PNG2/Bedout_1_cs.png","Bedout 1_0.25m Bins")</f>
        <v>Bedout 1_0.25m Bins</v>
      </c>
      <c r="C346" t="str">
        <f>HYPERLINK("http://www.corstruth.com.au/WA/CSV/Bedout_1.csv","Bedout 1_CSV File 1m Bins")</f>
        <v>Bedout 1_CSV File 1m Bins</v>
      </c>
      <c r="D346" t="s">
        <v>441</v>
      </c>
      <c r="E346" t="s">
        <v>1</v>
      </c>
      <c r="G346" t="s">
        <v>442</v>
      </c>
      <c r="H346" t="s">
        <v>443</v>
      </c>
      <c r="I346">
        <v>-18.243099999999998</v>
      </c>
      <c r="J346">
        <v>119.39100000000001</v>
      </c>
      <c r="K346" t="str">
        <f>HYPERLINK("http://geossdi.dmp.wa.gov.au/NVCLDataServices/mosaic.html?datasetid=0f15a84c-f8a7-4212-9976-ffb8ec00dc5","Bedout 1_Core Image")</f>
        <v>Bedout 1_Core Image</v>
      </c>
    </row>
    <row r="347" spans="1:11" x14ac:dyDescent="0.25">
      <c r="A347" t="str">
        <f>HYPERLINK("http://www.corstruth.com.au/WA/12AMD0015_cs.png","12AMD0015_A4")</f>
        <v>12AMD0015_A4</v>
      </c>
      <c r="B347" t="str">
        <f>HYPERLINK("http://www.corstruth.com.au/WA/PNG2/12AMD0015_cs.png","12AMD0015_0.25m Bins")</f>
        <v>12AMD0015_0.25m Bins</v>
      </c>
      <c r="C347" t="str">
        <f>HYPERLINK("http://www.corstruth.com.au/WA/CSV/12AMD0015.csv","12AMD0015_CSV File 1m Bins")</f>
        <v>12AMD0015_CSV File 1m Bins</v>
      </c>
      <c r="D347" t="s">
        <v>444</v>
      </c>
      <c r="E347" t="s">
        <v>1</v>
      </c>
      <c r="G347" t="s">
        <v>442</v>
      </c>
      <c r="H347" t="s">
        <v>445</v>
      </c>
      <c r="I347">
        <v>-20.757899999999999</v>
      </c>
      <c r="J347">
        <v>122.176</v>
      </c>
      <c r="K347" t="str">
        <f>HYPERLINK("http://geossdi.dmp.wa.gov.au/NVCLDataServices/mosaic.html?datasetid=f777c053-03d0-4403-8cf6-1acf3c4c25e","12AMD0015_Core Image")</f>
        <v>12AMD0015_Core Image</v>
      </c>
    </row>
    <row r="348" spans="1:11" x14ac:dyDescent="0.25">
      <c r="A348" t="str">
        <f>HYPERLINK("http://www.corstruth.com.au/WA/14AMD0043_cs.png","14AMD0043_A4")</f>
        <v>14AMD0043_A4</v>
      </c>
      <c r="B348" t="str">
        <f>HYPERLINK("http://www.corstruth.com.au/WA/PNG2/14AMD0043_cs.png","14AMD0043_0.25m Bins")</f>
        <v>14AMD0043_0.25m Bins</v>
      </c>
      <c r="C348" t="str">
        <f>HYPERLINK("http://www.corstruth.com.au/WA/CSV/14AMD0043.csv","14AMD0043_CSV File 1m Bins")</f>
        <v>14AMD0043_CSV File 1m Bins</v>
      </c>
      <c r="D348" t="s">
        <v>446</v>
      </c>
      <c r="E348" t="s">
        <v>1</v>
      </c>
      <c r="G348" t="s">
        <v>442</v>
      </c>
      <c r="H348" t="s">
        <v>445</v>
      </c>
      <c r="I348">
        <v>-20.757400000000001</v>
      </c>
      <c r="J348">
        <v>122.175</v>
      </c>
      <c r="K348" t="str">
        <f>HYPERLINK("http://geossdi.dmp.wa.gov.au/NVCLDataServices/mosaic.html?datasetid=6fac6ea1-17ba-4aaa-a007-e4108b19f1a","14AMD0043_Core Image")</f>
        <v>14AMD0043_Core Image</v>
      </c>
    </row>
    <row r="349" spans="1:11" x14ac:dyDescent="0.25">
      <c r="A349" t="str">
        <f>HYPERLINK("http://www.corstruth.com.au/WA/Commodore_1_cs.png","Commodore 1_A4")</f>
        <v>Commodore 1_A4</v>
      </c>
      <c r="B349" t="str">
        <f>HYPERLINK("http://www.corstruth.com.au/WA/PNG2/Commodore_1_cs.png","Commodore 1_0.25m Bins")</f>
        <v>Commodore 1_0.25m Bins</v>
      </c>
      <c r="C349" t="str">
        <f>HYPERLINK("http://www.corstruth.com.au/WA/CSV/Commodore_1.csv","Commodore 1_CSV File 1m Bins")</f>
        <v>Commodore 1_CSV File 1m Bins</v>
      </c>
      <c r="D349" t="s">
        <v>447</v>
      </c>
      <c r="E349" t="s">
        <v>1</v>
      </c>
      <c r="G349" t="s">
        <v>442</v>
      </c>
      <c r="H349" t="s">
        <v>448</v>
      </c>
      <c r="I349">
        <v>-19.188400000000001</v>
      </c>
      <c r="J349">
        <v>122.441</v>
      </c>
      <c r="K349" t="str">
        <f>HYPERLINK("http://geossdi.dmp.wa.gov.au/NVCLDataServices/mosaic.html?datasetid=8d8ad78f-9d3d-4a2e-a8a2-28ebad9077b","Commodore 1_Core Image")</f>
        <v>Commodore 1_Core Image</v>
      </c>
    </row>
    <row r="350" spans="1:11" x14ac:dyDescent="0.25">
      <c r="A350" t="str">
        <f>HYPERLINK("http://www.corstruth.com.au/WA/Dampiera_1A_cs.png","Dampiera 1A_A4")</f>
        <v>Dampiera 1A_A4</v>
      </c>
      <c r="B350" t="str">
        <f>HYPERLINK("http://www.corstruth.com.au/WA/PNG2/Dampiera_1A_cs.png","Dampiera 1A_0.25m Bins")</f>
        <v>Dampiera 1A_0.25m Bins</v>
      </c>
      <c r="C350" t="str">
        <f>HYPERLINK("http://www.corstruth.com.au/WA/CSV/Dampiera_1A.csv","Dampiera 1A_CSV File 1m Bins")</f>
        <v>Dampiera 1A_CSV File 1m Bins</v>
      </c>
      <c r="D350" t="s">
        <v>449</v>
      </c>
      <c r="E350" t="s">
        <v>1</v>
      </c>
      <c r="G350" t="s">
        <v>442</v>
      </c>
      <c r="H350" t="s">
        <v>450</v>
      </c>
      <c r="I350">
        <v>-19.7669</v>
      </c>
      <c r="J350">
        <v>125.27</v>
      </c>
      <c r="K350" t="str">
        <f>HYPERLINK("http://geossdi.dmp.wa.gov.au/NVCLDataServices/mosaic.html?datasetid=3a5ca19d-528c-4adb-a427-dea79f7315d","Dampiera 1A_Core Image")</f>
        <v>Dampiera 1A_Core Image</v>
      </c>
    </row>
    <row r="351" spans="1:11" x14ac:dyDescent="0.25">
      <c r="A351" t="str">
        <f>HYPERLINK("http://www.corstruth.com.au/WA/NC_0038_1_cs.png","NC_0038_1_A4")</f>
        <v>NC_0038_1_A4</v>
      </c>
      <c r="B351" t="str">
        <f>HYPERLINK("http://www.corstruth.com.au/WA/PNG2/NC_0038_1_cs.png","NC_0038_1_0.25m Bins")</f>
        <v>NC_0038_1_0.25m Bins</v>
      </c>
      <c r="C351" t="str">
        <f>HYPERLINK("http://www.corstruth.com.au/WA/CSV/NC_0038_1.csv","NC_0038_1_CSV File 1m Bins")</f>
        <v>NC_0038_1_CSV File 1m Bins</v>
      </c>
      <c r="D351" t="s">
        <v>451</v>
      </c>
      <c r="E351" t="s">
        <v>1</v>
      </c>
      <c r="G351" t="s">
        <v>442</v>
      </c>
      <c r="H351" t="s">
        <v>452</v>
      </c>
      <c r="I351">
        <v>-17.821300000000001</v>
      </c>
      <c r="J351">
        <v>124.215</v>
      </c>
      <c r="K351" t="str">
        <f>HYPERLINK("http://geossdi.dmp.wa.gov.au/NVCLDataServices/mosaic.html?datasetid=23054fa0-2614-480e-beb8-d934f84775c","NC_0038_1_Core Image")</f>
        <v>NC_0038_1_Core Image</v>
      </c>
    </row>
    <row r="352" spans="1:11" x14ac:dyDescent="0.25">
      <c r="A352" t="str">
        <f>HYPERLINK("http://www.corstruth.com.au/WA/NC_0039_1_cs.png","NC_0039_1_A4")</f>
        <v>NC_0039_1_A4</v>
      </c>
      <c r="B352" t="str">
        <f>HYPERLINK("http://www.corstruth.com.au/WA/PNG2/NC_0039_1_cs.png","NC_0039_1_0.25m Bins")</f>
        <v>NC_0039_1_0.25m Bins</v>
      </c>
      <c r="C352" t="str">
        <f>HYPERLINK("http://www.corstruth.com.au/WA/CSV/NC_0039_1.csv","NC_0039_1_CSV File 1m Bins")</f>
        <v>NC_0039_1_CSV File 1m Bins</v>
      </c>
      <c r="D352" t="s">
        <v>453</v>
      </c>
      <c r="E352" t="s">
        <v>1</v>
      </c>
      <c r="G352" t="s">
        <v>442</v>
      </c>
      <c r="H352" t="s">
        <v>452</v>
      </c>
      <c r="I352">
        <v>-17.744900000000001</v>
      </c>
      <c r="J352">
        <v>124.242</v>
      </c>
      <c r="K352" t="str">
        <f>HYPERLINK("http://geossdi.dmp.wa.gov.au/NVCLDataServices/mosaic.html?datasetid=f0a2e2cb-210b-4c65-afc0-c156f41178e","NC_0039_1_Core Image")</f>
        <v>NC_0039_1_Core Image</v>
      </c>
    </row>
    <row r="353" spans="1:11" x14ac:dyDescent="0.25">
      <c r="A353" t="str">
        <f>HYPERLINK("http://www.corstruth.com.au/WA/NC_0040_1_cs.png","NC_0040_1_A4")</f>
        <v>NC_0040_1_A4</v>
      </c>
      <c r="B353" t="str">
        <f>HYPERLINK("http://www.corstruth.com.au/WA/PNG2/NC_0040_1_cs.png","NC_0040_1_0.25m Bins")</f>
        <v>NC_0040_1_0.25m Bins</v>
      </c>
      <c r="C353" t="str">
        <f>HYPERLINK("http://www.corstruth.com.au/WA/CSV/NC_0040_1.csv","NC_0040_1_CSV File 1m Bins")</f>
        <v>NC_0040_1_CSV File 1m Bins</v>
      </c>
      <c r="D353" t="s">
        <v>454</v>
      </c>
      <c r="E353" t="s">
        <v>1</v>
      </c>
      <c r="G353" t="s">
        <v>442</v>
      </c>
      <c r="H353" t="s">
        <v>452</v>
      </c>
      <c r="I353">
        <v>-17.744900000000001</v>
      </c>
      <c r="J353">
        <v>124.164</v>
      </c>
      <c r="K353" t="str">
        <f>HYPERLINK("http://geossdi.dmp.wa.gov.au/NVCLDataServices/mosaic.html?datasetid=4648f38b-d540-4edc-b803-428d2d3c003","NC_0040_1_Core Image")</f>
        <v>NC_0040_1_Core Image</v>
      </c>
    </row>
    <row r="354" spans="1:11" x14ac:dyDescent="0.25">
      <c r="A354" t="str">
        <f>HYPERLINK("http://www.corstruth.com.au/WA/NC_0041_1_cs.png","NC_0041_1_A4")</f>
        <v>NC_0041_1_A4</v>
      </c>
      <c r="B354" t="str">
        <f>HYPERLINK("http://www.corstruth.com.au/WA/PNG2/NC_0041_1_cs.png","NC_0041_1_0.25m Bins")</f>
        <v>NC_0041_1_0.25m Bins</v>
      </c>
      <c r="C354" t="str">
        <f>HYPERLINK("http://www.corstruth.com.au/WA/CSV/NC_0041_1.csv","NC_0041_1_CSV File 1m Bins")</f>
        <v>NC_0041_1_CSV File 1m Bins</v>
      </c>
      <c r="D354" t="s">
        <v>455</v>
      </c>
      <c r="E354" t="s">
        <v>1</v>
      </c>
      <c r="G354" t="s">
        <v>442</v>
      </c>
      <c r="H354" t="s">
        <v>452</v>
      </c>
      <c r="I354">
        <v>-17.745100000000001</v>
      </c>
      <c r="J354">
        <v>124.08</v>
      </c>
      <c r="K354" t="str">
        <f>HYPERLINK("http://geossdi.dmp.wa.gov.au/NVCLDataServices/mosaic.html?datasetid=1c6959ab-eedc-435e-a19d-a53855afb59","NC_0041_1_Core Image")</f>
        <v>NC_0041_1_Core Image</v>
      </c>
    </row>
    <row r="355" spans="1:11" x14ac:dyDescent="0.25">
      <c r="A355" t="str">
        <f>HYPERLINK("http://www.corstruth.com.au/WA/NC_0042_1_cs.png","NC_0042_1_A4")</f>
        <v>NC_0042_1_A4</v>
      </c>
      <c r="B355" t="str">
        <f>HYPERLINK("http://www.corstruth.com.au/WA/PNG2/NC_0042_1_cs.png","NC_0042_1_0.25m Bins")</f>
        <v>NC_0042_1_0.25m Bins</v>
      </c>
      <c r="C355" t="str">
        <f>HYPERLINK("http://www.corstruth.com.au/WA/CSV/NC_0042_1.csv","NC_0042_1_CSV File 1m Bins")</f>
        <v>NC_0042_1_CSV File 1m Bins</v>
      </c>
      <c r="D355" t="s">
        <v>456</v>
      </c>
      <c r="E355" t="s">
        <v>1</v>
      </c>
      <c r="G355" t="s">
        <v>442</v>
      </c>
      <c r="H355" t="s">
        <v>452</v>
      </c>
      <c r="I355">
        <v>-17.664999999999999</v>
      </c>
      <c r="J355">
        <v>124.096</v>
      </c>
      <c r="K355" t="str">
        <f>HYPERLINK("http://geossdi.dmp.wa.gov.au/NVCLDataServices/mosaic.html?datasetid=0be7520b-63a7-4a59-a7fc-f293da5230a","NC_0042_1_Core Image")</f>
        <v>NC_0042_1_Core Image</v>
      </c>
    </row>
    <row r="356" spans="1:11" x14ac:dyDescent="0.25">
      <c r="A356" t="str">
        <f>HYPERLINK("http://www.corstruth.com.au/WA/MR1_cs.png","MR1_A4")</f>
        <v>MR1_A4</v>
      </c>
      <c r="D356" t="s">
        <v>457</v>
      </c>
      <c r="E356" t="s">
        <v>1</v>
      </c>
      <c r="G356" t="s">
        <v>442</v>
      </c>
      <c r="H356" t="s">
        <v>458</v>
      </c>
      <c r="I356">
        <v>-18.732900000000001</v>
      </c>
      <c r="J356">
        <v>126.07899999999999</v>
      </c>
    </row>
    <row r="357" spans="1:11" x14ac:dyDescent="0.25">
      <c r="A357" t="str">
        <f>HYPERLINK("http://www.corstruth.com.au/WA/WK1_cs.png","WK1_A4")</f>
        <v>WK1_A4</v>
      </c>
      <c r="D357" t="s">
        <v>459</v>
      </c>
      <c r="E357" t="s">
        <v>1</v>
      </c>
      <c r="G357" t="s">
        <v>442</v>
      </c>
      <c r="H357" t="s">
        <v>458</v>
      </c>
      <c r="I357">
        <v>-18.656199999999998</v>
      </c>
      <c r="J357">
        <v>126</v>
      </c>
    </row>
    <row r="358" spans="1:11" x14ac:dyDescent="0.25">
      <c r="A358" t="str">
        <f>HYPERLINK("http://www.corstruth.com.au/WA/Dodonea_1_cs.png","Dodonea 1_A4")</f>
        <v>Dodonea 1_A4</v>
      </c>
      <c r="B358" t="str">
        <f>HYPERLINK("http://www.corstruth.com.au/WA/PNG2/Dodonea_1_cs.png","Dodonea 1_0.25m Bins")</f>
        <v>Dodonea 1_0.25m Bins</v>
      </c>
      <c r="C358" t="str">
        <f>HYPERLINK("http://www.corstruth.com.au/WA/CSV/Dodonea_1.csv","Dodonea 1_CSV File 1m Bins")</f>
        <v>Dodonea 1_CSV File 1m Bins</v>
      </c>
      <c r="D358" t="s">
        <v>460</v>
      </c>
      <c r="E358" t="s">
        <v>1</v>
      </c>
      <c r="G358" t="s">
        <v>442</v>
      </c>
      <c r="H358" t="s">
        <v>461</v>
      </c>
      <c r="I358">
        <v>-19.385000000000002</v>
      </c>
      <c r="J358">
        <v>125.16200000000001</v>
      </c>
      <c r="K358" t="str">
        <f>HYPERLINK("http://geossdi.dmp.wa.gov.au/NVCLDataServices/mosaic.html?datasetid=fbf4bce5-4ceb-4022-9a99-13132331450","Dodonea 1_Core Image")</f>
        <v>Dodonea 1_Core Image</v>
      </c>
    </row>
    <row r="359" spans="1:11" x14ac:dyDescent="0.25">
      <c r="A359" t="str">
        <f>HYPERLINK("http://www.corstruth.com.au/WA/FRDDH001_cs.png","FRDDH001_A4")</f>
        <v>FRDDH001_A4</v>
      </c>
      <c r="B359" t="str">
        <f>HYPERLINK("http://www.corstruth.com.au/WA/PNG2/FRDDH001_cs.png","FRDDH001_0.25m Bins")</f>
        <v>FRDDH001_0.25m Bins</v>
      </c>
      <c r="C359" t="str">
        <f>HYPERLINK("http://www.corstruth.com.au/WA/CSV/FRDDH001.csv","FRDDH001_CSV File 1m Bins")</f>
        <v>FRDDH001_CSV File 1m Bins</v>
      </c>
      <c r="D359" t="s">
        <v>462</v>
      </c>
      <c r="E359" t="s">
        <v>1</v>
      </c>
      <c r="G359" t="s">
        <v>442</v>
      </c>
      <c r="H359" t="s">
        <v>463</v>
      </c>
      <c r="I359">
        <v>-18.206900000000001</v>
      </c>
      <c r="J359">
        <v>123.643</v>
      </c>
      <c r="K359" t="str">
        <f>HYPERLINK("http://geossdi.dmp.wa.gov.au/NVCLDataServices/mosaic.html?datasetid=18437893-37f9-4026-bb0f-b0cfee92f66","FRDDH001_Core Image")</f>
        <v>FRDDH001_Core Image</v>
      </c>
    </row>
    <row r="360" spans="1:11" x14ac:dyDescent="0.25">
      <c r="A360" t="str">
        <f>HYPERLINK("http://www.corstruth.com.au/WA/FRDDH001A_cs.png","FRDDH001A_A4")</f>
        <v>FRDDH001A_A4</v>
      </c>
      <c r="B360" t="str">
        <f>HYPERLINK("http://www.corstruth.com.au/WA/PNG2/FRDDH001A_cs.png","FRDDH001A_0.25m Bins")</f>
        <v>FRDDH001A_0.25m Bins</v>
      </c>
      <c r="C360" t="str">
        <f>HYPERLINK("http://www.corstruth.com.au/WA/CSV/FRDDH001A.csv","FRDDH001A_CSV File 1m Bins")</f>
        <v>FRDDH001A_CSV File 1m Bins</v>
      </c>
      <c r="D360" t="s">
        <v>462</v>
      </c>
      <c r="E360" t="s">
        <v>1</v>
      </c>
      <c r="G360" t="s">
        <v>442</v>
      </c>
      <c r="H360" t="s">
        <v>463</v>
      </c>
      <c r="I360">
        <v>-18.206900000000001</v>
      </c>
      <c r="J360">
        <v>123.643</v>
      </c>
      <c r="K360" t="str">
        <f>HYPERLINK("http://geossdi.dmp.wa.gov.au/NVCLDataServices/mosaic.html?datasetid=855ddb86-e988-495b-aa9c-29b0b17e626","FRDDH001A_Core Image")</f>
        <v>FRDDH001A_Core Image</v>
      </c>
    </row>
    <row r="361" spans="1:11" x14ac:dyDescent="0.25">
      <c r="A361" t="str">
        <f>HYPERLINK("http://www.corstruth.com.au/WA/FRDDH002_cs.png","FRDDH002_A4")</f>
        <v>FRDDH002_A4</v>
      </c>
      <c r="B361" t="str">
        <f>HYPERLINK("http://www.corstruth.com.au/WA/PNG2/FRDDH002_cs.png","FRDDH002_0.25m Bins")</f>
        <v>FRDDH002_0.25m Bins</v>
      </c>
      <c r="C361" t="str">
        <f>HYPERLINK("http://www.corstruth.com.au/WA/CSV/FRDDH002.csv","FRDDH002_CSV File 1m Bins")</f>
        <v>FRDDH002_CSV File 1m Bins</v>
      </c>
      <c r="D361" t="s">
        <v>464</v>
      </c>
      <c r="E361" t="s">
        <v>1</v>
      </c>
      <c r="G361" t="s">
        <v>442</v>
      </c>
      <c r="H361" t="s">
        <v>463</v>
      </c>
      <c r="I361">
        <v>-18.208500000000001</v>
      </c>
      <c r="J361">
        <v>123.625</v>
      </c>
      <c r="K361" t="str">
        <f>HYPERLINK("http://geossdi.dmp.wa.gov.au/NVCLDataServices/mosaic.html?datasetid=5acb454a-b9b5-42eb-a3ee-167612a471e","FRDDH002_Core Image")</f>
        <v>FRDDH002_Core Image</v>
      </c>
    </row>
    <row r="362" spans="1:11" x14ac:dyDescent="0.25">
      <c r="A362" t="str">
        <f>HYPERLINK("http://www.corstruth.com.au/WA/Gibb-Maitland_1_[cuttings]_cs.png","Gibb-Maitland 1 [cuttings]_A4")</f>
        <v>Gibb-Maitland 1 [cuttings]_A4</v>
      </c>
      <c r="B362" t="str">
        <f>HYPERLINK("http://www.corstruth.com.au/WA/PNG2/Gibb-Maitland_1_[cuttings]_cs.png","Gibb-Maitland 1 [cuttings]_0.25m Bins")</f>
        <v>Gibb-Maitland 1 [cuttings]_0.25m Bins</v>
      </c>
      <c r="C362" t="str">
        <f>HYPERLINK("http://www.corstruth.com.au/WA/CSV/Gibb-Maitland_1_[cuttings].csv","Gibb-Maitland 1 [cuttings]_CSV File 1m Bins")</f>
        <v>Gibb-Maitland 1 [cuttings]_CSV File 1m Bins</v>
      </c>
      <c r="D362" t="s">
        <v>465</v>
      </c>
      <c r="E362" t="s">
        <v>1</v>
      </c>
      <c r="G362" t="s">
        <v>442</v>
      </c>
      <c r="H362" t="s">
        <v>466</v>
      </c>
      <c r="I362">
        <v>-20.9956</v>
      </c>
      <c r="J362">
        <v>124.64100000000001</v>
      </c>
      <c r="K362" t="str">
        <f>HYPERLINK("http://geossdi.dmp.wa.gov.au/NVCLDataServices/mosaic.html?datasetid=9c6f548b-140f-43bc-bba2-30250d102b9","Gibb-Maitland 1 [cuttings]_Core Image")</f>
        <v>Gibb-Maitland 1 [cuttings]_Core Image</v>
      </c>
    </row>
    <row r="363" spans="1:11" x14ac:dyDescent="0.25">
      <c r="A363" t="str">
        <f>HYPERLINK("http://www.corstruth.com.au/WA/Brooke_1_cs.png","Brooke 1_A4")</f>
        <v>Brooke 1_A4</v>
      </c>
      <c r="B363" t="str">
        <f>HYPERLINK("http://www.corstruth.com.au/WA/PNG2/Brooke_1_cs.png","Brooke 1_0.25m Bins")</f>
        <v>Brooke 1_0.25m Bins</v>
      </c>
      <c r="C363" t="str">
        <f>HYPERLINK("http://www.corstruth.com.au/WA/CSV/Brooke_1.csv","Brooke 1_CSV File 1m Bins")</f>
        <v>Brooke 1_CSV File 1m Bins</v>
      </c>
      <c r="D363" t="s">
        <v>467</v>
      </c>
      <c r="E363" t="s">
        <v>1</v>
      </c>
      <c r="G363" t="s">
        <v>442</v>
      </c>
      <c r="H363" t="s">
        <v>468</v>
      </c>
      <c r="I363">
        <v>-19.747800000000002</v>
      </c>
      <c r="J363">
        <v>122.91800000000001</v>
      </c>
      <c r="K363" t="str">
        <f>HYPERLINK("http://geossdi.dmp.wa.gov.au/NVCLDataServices/mosaic.html?datasetid=1e3aae06-24af-446e-87b9-05a25452876","Brooke 1_Core Image")</f>
        <v>Brooke 1_Core Image</v>
      </c>
    </row>
    <row r="364" spans="1:11" x14ac:dyDescent="0.25">
      <c r="A364" t="str">
        <f>HYPERLINK("http://www.corstruth.com.au/WA/Gingerah_Hill_1_cs.png","Gingerah Hill 1_A4")</f>
        <v>Gingerah Hill 1_A4</v>
      </c>
      <c r="B364" t="str">
        <f>HYPERLINK("http://www.corstruth.com.au/WA/PNG2/Gingerah_Hill_1_cs.png","Gingerah Hill 1_0.25m Bins")</f>
        <v>Gingerah Hill 1_0.25m Bins</v>
      </c>
      <c r="C364" t="str">
        <f>HYPERLINK("http://www.corstruth.com.au/WA/CSV/Gingerah_Hill_1.csv","Gingerah Hill 1_CSV File 1m Bins")</f>
        <v>Gingerah Hill 1_CSV File 1m Bins</v>
      </c>
      <c r="D364" t="s">
        <v>469</v>
      </c>
      <c r="E364" t="s">
        <v>1</v>
      </c>
      <c r="G364" t="s">
        <v>442</v>
      </c>
      <c r="H364" t="s">
        <v>468</v>
      </c>
      <c r="I364">
        <v>-19.468399999999999</v>
      </c>
      <c r="J364">
        <v>122.36799999999999</v>
      </c>
      <c r="K364" t="str">
        <f>HYPERLINK("http://geossdi.dmp.wa.gov.au/NVCLDataServices/mosaic.html?datasetid=5447ce02-4ad7-45a8-a4ab-95d67b0d8bb","Gingerah Hill 1_Core Image")</f>
        <v>Gingerah Hill 1_Core Image</v>
      </c>
    </row>
    <row r="365" spans="1:11" x14ac:dyDescent="0.25">
      <c r="A365" t="str">
        <f>HYPERLINK("http://www.corstruth.com.au/WA/Goldwyer_1_cs.png","Goldwyer 1_A4")</f>
        <v>Goldwyer 1_A4</v>
      </c>
      <c r="B365" t="str">
        <f>HYPERLINK("http://www.corstruth.com.au/WA/PNG2/Goldwyer_1_cs.png","Goldwyer 1_0.25m Bins")</f>
        <v>Goldwyer 1_0.25m Bins</v>
      </c>
      <c r="C365" t="str">
        <f>HYPERLINK("http://www.corstruth.com.au/WA/CSV/Goldwyer_1.csv","Goldwyer 1_CSV File 1m Bins")</f>
        <v>Goldwyer 1_CSV File 1m Bins</v>
      </c>
      <c r="D365" t="s">
        <v>470</v>
      </c>
      <c r="E365" t="s">
        <v>1</v>
      </c>
      <c r="G365" t="s">
        <v>442</v>
      </c>
      <c r="H365" t="s">
        <v>471</v>
      </c>
      <c r="I365">
        <v>-18.3795</v>
      </c>
      <c r="J365">
        <v>122.384</v>
      </c>
      <c r="K365" t="str">
        <f>HYPERLINK("http://geossdi.dmp.wa.gov.au/NVCLDataServices/mosaic.html?datasetid=3855d854-5e17-43db-961d-84d80b19bc0","Goldwyer 1_Core Image")</f>
        <v>Goldwyer 1_Core Image</v>
      </c>
    </row>
    <row r="366" spans="1:11" x14ac:dyDescent="0.25">
      <c r="A366" t="str">
        <f>HYPERLINK("http://www.corstruth.com.au/WA/LJM-D013_cs.png","LJM-D013_A4")</f>
        <v>LJM-D013_A4</v>
      </c>
      <c r="B366" t="str">
        <f>HYPERLINK("http://www.corstruth.com.au/WA/PNG2/LJM-D013_cs.png","LJM-D013_0.25m Bins")</f>
        <v>LJM-D013_0.25m Bins</v>
      </c>
      <c r="C366" t="str">
        <f>HYPERLINK("http://www.corstruth.com.au/WA/CSV/LJM-D013.csv","LJM-D013_CSV File 1m Bins")</f>
        <v>LJM-D013_CSV File 1m Bins</v>
      </c>
      <c r="D366" t="s">
        <v>472</v>
      </c>
      <c r="E366" t="s">
        <v>1</v>
      </c>
      <c r="G366" t="s">
        <v>442</v>
      </c>
      <c r="H366" t="s">
        <v>473</v>
      </c>
      <c r="I366">
        <v>-19.012799999999999</v>
      </c>
      <c r="J366">
        <v>125.42400000000001</v>
      </c>
      <c r="K366" t="str">
        <f>HYPERLINK("http://geossdi.dmp.wa.gov.au/NVCLDataServices/mosaic.html?datasetid=b69b4f93-d468-4d82-b5fa-53d68829420","LJM-D013_Core Image")</f>
        <v>LJM-D013_Core Image</v>
      </c>
    </row>
    <row r="367" spans="1:11" x14ac:dyDescent="0.25">
      <c r="A367" t="str">
        <f>HYPERLINK("http://www.corstruth.com.au/WA/LJM-D001_cs.png","LJM-D001_A4")</f>
        <v>LJM-D001_A4</v>
      </c>
      <c r="B367" t="str">
        <f>HYPERLINK("http://www.corstruth.com.au/WA/PNG2/LJM-D001_cs.png","LJM-D001_0.25m Bins")</f>
        <v>LJM-D001_0.25m Bins</v>
      </c>
      <c r="C367" t="str">
        <f>HYPERLINK("http://www.corstruth.com.au/WA/CSV/LJM-D001.csv","LJM-D001_CSV File 1m Bins")</f>
        <v>LJM-D001_CSV File 1m Bins</v>
      </c>
      <c r="D367" t="s">
        <v>474</v>
      </c>
      <c r="E367" t="s">
        <v>1</v>
      </c>
      <c r="G367" t="s">
        <v>442</v>
      </c>
      <c r="H367" t="s">
        <v>475</v>
      </c>
      <c r="I367">
        <v>-19.125800000000002</v>
      </c>
      <c r="J367">
        <v>125.64700000000001</v>
      </c>
      <c r="K367" t="str">
        <f>HYPERLINK("http://geossdi.dmp.wa.gov.au/NVCLDataServices/mosaic.html?datasetid=9bbe2705-f4b4-430a-8a24-a46a168d4f7","LJM-D001_Core Image")</f>
        <v>LJM-D001_Core Image</v>
      </c>
    </row>
    <row r="368" spans="1:11" x14ac:dyDescent="0.25">
      <c r="A368" t="str">
        <f>HYPERLINK("http://www.corstruth.com.au/WA/LJM-D002_cs.png","LJM-D002_A4")</f>
        <v>LJM-D002_A4</v>
      </c>
      <c r="B368" t="str">
        <f>HYPERLINK("http://www.corstruth.com.au/WA/PNG2/LJM-D002_cs.png","LJM-D002_0.25m Bins")</f>
        <v>LJM-D002_0.25m Bins</v>
      </c>
      <c r="C368" t="str">
        <f>HYPERLINK("http://www.corstruth.com.au/WA/CSV/LJM-D002.csv","LJM-D002_CSV File 1m Bins")</f>
        <v>LJM-D002_CSV File 1m Bins</v>
      </c>
      <c r="D368" t="s">
        <v>476</v>
      </c>
      <c r="E368" t="s">
        <v>1</v>
      </c>
      <c r="G368" t="s">
        <v>442</v>
      </c>
      <c r="H368" t="s">
        <v>475</v>
      </c>
      <c r="I368">
        <v>-19.1312</v>
      </c>
      <c r="J368">
        <v>125.63800000000001</v>
      </c>
      <c r="K368" t="str">
        <f>HYPERLINK("http://geossdi.dmp.wa.gov.au/NVCLDataServices/mosaic.html?datasetid=167f8045-e831-424b-a2f3-d22bf8cf824","LJM-D002_Core Image")</f>
        <v>LJM-D002_Core Image</v>
      </c>
    </row>
    <row r="369" spans="1:11" x14ac:dyDescent="0.25">
      <c r="A369" t="str">
        <f>HYPERLINK("http://www.corstruth.com.au/WA/LJM-D003_cs.png","LJM-D003_A4")</f>
        <v>LJM-D003_A4</v>
      </c>
      <c r="B369" t="str">
        <f>HYPERLINK("http://www.corstruth.com.au/WA/PNG2/LJM-D003_cs.png","LJM-D003_0.25m Bins")</f>
        <v>LJM-D003_0.25m Bins</v>
      </c>
      <c r="C369" t="str">
        <f>HYPERLINK("http://www.corstruth.com.au/WA/CSV/LJM-D003.csv","LJM-D003_CSV File 1m Bins")</f>
        <v>LJM-D003_CSV File 1m Bins</v>
      </c>
      <c r="D369" t="s">
        <v>477</v>
      </c>
      <c r="E369" t="s">
        <v>1</v>
      </c>
      <c r="G369" t="s">
        <v>442</v>
      </c>
      <c r="H369" t="s">
        <v>475</v>
      </c>
      <c r="I369">
        <v>-19.165099999999999</v>
      </c>
      <c r="J369">
        <v>125.672</v>
      </c>
      <c r="K369" t="str">
        <f>HYPERLINK("http://geossdi.dmp.wa.gov.au/NVCLDataServices/mosaic.html?datasetid=37605598-98f9-44c2-b0a6-446a5e824fa","LJM-D003_Core Image")</f>
        <v>LJM-D003_Core Image</v>
      </c>
    </row>
    <row r="370" spans="1:11" x14ac:dyDescent="0.25">
      <c r="A370" t="str">
        <f>HYPERLINK("http://www.corstruth.com.au/WA/LJM-D004_cs.png","LJM-D004_A4")</f>
        <v>LJM-D004_A4</v>
      </c>
      <c r="B370" t="str">
        <f>HYPERLINK("http://www.corstruth.com.au/WA/PNG2/LJM-D004_cs.png","LJM-D004_0.25m Bins")</f>
        <v>LJM-D004_0.25m Bins</v>
      </c>
      <c r="C370" t="str">
        <f>HYPERLINK("http://www.corstruth.com.au/WA/CSV/LJM-D004.csv","LJM-D004_CSV File 1m Bins")</f>
        <v>LJM-D004_CSV File 1m Bins</v>
      </c>
      <c r="D370" t="s">
        <v>478</v>
      </c>
      <c r="E370" t="s">
        <v>1</v>
      </c>
      <c r="G370" t="s">
        <v>442</v>
      </c>
      <c r="H370" t="s">
        <v>475</v>
      </c>
      <c r="I370">
        <v>-19.163499999999999</v>
      </c>
      <c r="J370">
        <v>125.691</v>
      </c>
      <c r="K370" t="str">
        <f>HYPERLINK("http://geossdi.dmp.wa.gov.au/NVCLDataServices/mosaic.html?datasetid=a75459a6-035b-4649-b71f-c37a2e99194","LJM-D004_Core Image")</f>
        <v>LJM-D004_Core Image</v>
      </c>
    </row>
    <row r="371" spans="1:11" x14ac:dyDescent="0.25">
      <c r="A371" t="str">
        <f>HYPERLINK("http://www.corstruth.com.au/WA/LJM-D006_cs.png","LJM-D006_A4")</f>
        <v>LJM-D006_A4</v>
      </c>
      <c r="B371" t="str">
        <f>HYPERLINK("http://www.corstruth.com.au/WA/PNG2/LJM-D006_cs.png","LJM-D006_0.25m Bins")</f>
        <v>LJM-D006_0.25m Bins</v>
      </c>
      <c r="C371" t="str">
        <f>HYPERLINK("http://www.corstruth.com.au/WA/CSV/LJM-D006.csv","LJM-D006_CSV File 1m Bins")</f>
        <v>LJM-D006_CSV File 1m Bins</v>
      </c>
      <c r="D371" t="s">
        <v>479</v>
      </c>
      <c r="E371" t="s">
        <v>1</v>
      </c>
      <c r="G371" t="s">
        <v>442</v>
      </c>
      <c r="H371" t="s">
        <v>475</v>
      </c>
      <c r="I371">
        <v>-19.194700000000001</v>
      </c>
      <c r="J371">
        <v>125.696</v>
      </c>
    </row>
    <row r="372" spans="1:11" x14ac:dyDescent="0.25">
      <c r="A372" t="str">
        <f>HYPERLINK("http://www.corstruth.com.au/WA/LJM-D007_cs.png","LJM-D007_A4")</f>
        <v>LJM-D007_A4</v>
      </c>
      <c r="B372" t="str">
        <f>HYPERLINK("http://www.corstruth.com.au/WA/PNG2/LJM-D007_cs.png","LJM-D007_0.25m Bins")</f>
        <v>LJM-D007_0.25m Bins</v>
      </c>
      <c r="C372" t="str">
        <f>HYPERLINK("http://www.corstruth.com.au/WA/CSV/LJM-D007.csv","LJM-D007_CSV File 1m Bins")</f>
        <v>LJM-D007_CSV File 1m Bins</v>
      </c>
      <c r="D372" t="s">
        <v>480</v>
      </c>
      <c r="E372" t="s">
        <v>1</v>
      </c>
      <c r="G372" t="s">
        <v>442</v>
      </c>
      <c r="H372" t="s">
        <v>475</v>
      </c>
      <c r="I372">
        <v>-19.136700000000001</v>
      </c>
      <c r="J372">
        <v>125.629</v>
      </c>
      <c r="K372" t="str">
        <f>HYPERLINK("http://geossdi.dmp.wa.gov.au/NVCLDataServices/mosaic.html?datasetid=f3f5a8ce-26c2-41e8-8719-4350e1f783f","LJM-D007_Core Image")</f>
        <v>LJM-D007_Core Image</v>
      </c>
    </row>
    <row r="373" spans="1:11" x14ac:dyDescent="0.25">
      <c r="A373" t="str">
        <f>HYPERLINK("http://www.corstruth.com.au/WA/LJM-D008_cs.png","LJM-D008_A4")</f>
        <v>LJM-D008_A4</v>
      </c>
      <c r="B373" t="str">
        <f>HYPERLINK("http://www.corstruth.com.au/WA/PNG2/LJM-D008_cs.png","LJM-D008_0.25m Bins")</f>
        <v>LJM-D008_0.25m Bins</v>
      </c>
      <c r="C373" t="str">
        <f>HYPERLINK("http://www.corstruth.com.au/WA/CSV/LJM-D008.csv","LJM-D008_CSV File 1m Bins")</f>
        <v>LJM-D008_CSV File 1m Bins</v>
      </c>
      <c r="D373" t="s">
        <v>481</v>
      </c>
      <c r="E373" t="s">
        <v>1</v>
      </c>
      <c r="G373" t="s">
        <v>442</v>
      </c>
      <c r="H373" t="s">
        <v>475</v>
      </c>
      <c r="I373">
        <v>-19.091799999999999</v>
      </c>
      <c r="J373">
        <v>125.629</v>
      </c>
      <c r="K373" t="str">
        <f>HYPERLINK("http://geossdi.dmp.wa.gov.au/NVCLDataServices/mosaic.html?datasetid=220835f9-5b15-47f5-827b-cac1b19105b","LJM-D008_Core Image")</f>
        <v>LJM-D008_Core Image</v>
      </c>
    </row>
    <row r="374" spans="1:11" x14ac:dyDescent="0.25">
      <c r="A374" t="str">
        <f>HYPERLINK("http://www.corstruth.com.au/WA/LJM-D009_cs.png","LJM-D009_A4")</f>
        <v>LJM-D009_A4</v>
      </c>
      <c r="B374" t="str">
        <f>HYPERLINK("http://www.corstruth.com.au/WA/PNG2/LJM-D009_cs.png","LJM-D009_0.25m Bins")</f>
        <v>LJM-D009_0.25m Bins</v>
      </c>
      <c r="C374" t="str">
        <f>HYPERLINK("http://www.corstruth.com.au/WA/CSV/LJM-D009.csv","LJM-D009_CSV File 1m Bins")</f>
        <v>LJM-D009_CSV File 1m Bins</v>
      </c>
      <c r="D374" t="s">
        <v>482</v>
      </c>
      <c r="E374" t="s">
        <v>1</v>
      </c>
      <c r="G374" t="s">
        <v>442</v>
      </c>
      <c r="H374" t="s">
        <v>475</v>
      </c>
      <c r="I374">
        <v>-19.084199999999999</v>
      </c>
      <c r="J374">
        <v>125.45099999999999</v>
      </c>
      <c r="K374" t="str">
        <f>HYPERLINK("http://geossdi.dmp.wa.gov.au/NVCLDataServices/mosaic.html?datasetid=6e14ae9a-5e56-44cd-800e-ed3770352d8","LJM-D009_Core Image")</f>
        <v>LJM-D009_Core Image</v>
      </c>
    </row>
    <row r="375" spans="1:11" x14ac:dyDescent="0.25">
      <c r="A375" t="str">
        <f>HYPERLINK("http://www.corstruth.com.au/WA/LJM-D012_cs.png","LJM-D012_A4")</f>
        <v>LJM-D012_A4</v>
      </c>
      <c r="B375" t="str">
        <f>HYPERLINK("http://www.corstruth.com.au/WA/PNG2/LJM-D012_cs.png","LJM-D012_0.25m Bins")</f>
        <v>LJM-D012_0.25m Bins</v>
      </c>
      <c r="C375" t="str">
        <f>HYPERLINK("http://www.corstruth.com.au/WA/CSV/LJM-D012.csv","LJM-D012_CSV File 1m Bins")</f>
        <v>LJM-D012_CSV File 1m Bins</v>
      </c>
      <c r="D375" t="s">
        <v>483</v>
      </c>
      <c r="E375" t="s">
        <v>1</v>
      </c>
      <c r="G375" t="s">
        <v>442</v>
      </c>
      <c r="H375" t="s">
        <v>475</v>
      </c>
      <c r="I375">
        <v>-19.0307</v>
      </c>
      <c r="J375">
        <v>125.43300000000001</v>
      </c>
      <c r="K375" t="str">
        <f>HYPERLINK("http://geossdi.dmp.wa.gov.au/NVCLDataServices/mosaic.html?datasetid=0a51ff65-250a-4ad9-959f-9bb9069403b","LJM-D012_Core Image")</f>
        <v>LJM-D012_Core Image</v>
      </c>
    </row>
    <row r="376" spans="1:11" x14ac:dyDescent="0.25">
      <c r="A376" t="str">
        <f>HYPERLINK("http://www.corstruth.com.au/WA/Matches_Spring_1_cs.png","Matches Spring 1_A4")</f>
        <v>Matches Spring 1_A4</v>
      </c>
      <c r="B376" t="str">
        <f>HYPERLINK("http://www.corstruth.com.au/WA/PNG2/Matches_Spring_1_cs.png","Matches Spring 1_0.25m Bins")</f>
        <v>Matches Spring 1_0.25m Bins</v>
      </c>
      <c r="C376" t="str">
        <f>HYPERLINK("http://www.corstruth.com.au/WA/CSV/Matches_Spring_1.csv","Matches Spring 1_CSV File 1m Bins")</f>
        <v>Matches Spring 1_CSV File 1m Bins</v>
      </c>
      <c r="D376" t="s">
        <v>484</v>
      </c>
      <c r="E376" t="s">
        <v>1</v>
      </c>
      <c r="G376" t="s">
        <v>442</v>
      </c>
      <c r="H376" t="s">
        <v>485</v>
      </c>
      <c r="I376">
        <v>-18.6892</v>
      </c>
      <c r="J376">
        <v>124.05200000000001</v>
      </c>
      <c r="K376" t="str">
        <f>HYPERLINK("http://geossdi.dmp.wa.gov.au/NVCLDataServices/mosaic.html?datasetid=859861b6-3e23-4561-baf9-ed9fa78a3bc","Matches Spring 1_Core Image")</f>
        <v>Matches Spring 1_Core Image</v>
      </c>
    </row>
    <row r="377" spans="1:11" x14ac:dyDescent="0.25">
      <c r="A377" t="str">
        <f>HYPERLINK("http://www.corstruth.com.au/WA/McLarty_1_cs.png","McLarty 1_A4")</f>
        <v>McLarty 1_A4</v>
      </c>
      <c r="B377" t="str">
        <f>HYPERLINK("http://www.corstruth.com.au/WA/PNG2/McLarty_1_cs.png","McLarty 1_0.25m Bins")</f>
        <v>McLarty 1_0.25m Bins</v>
      </c>
      <c r="C377" t="str">
        <f>HYPERLINK("http://www.corstruth.com.au/WA/CSV/McLarty_1.csv","McLarty 1_CSV File 1m Bins")</f>
        <v>McLarty 1_CSV File 1m Bins</v>
      </c>
      <c r="D377" t="s">
        <v>486</v>
      </c>
      <c r="E377" t="s">
        <v>1</v>
      </c>
      <c r="G377" t="s">
        <v>442</v>
      </c>
      <c r="H377" t="s">
        <v>487</v>
      </c>
      <c r="I377">
        <v>-19.394500000000001</v>
      </c>
      <c r="J377">
        <v>123.661</v>
      </c>
      <c r="K377" t="str">
        <f>HYPERLINK("http://geossdi.dmp.wa.gov.au/NVCLDataServices/mosaic.html?datasetid=edeb4b2c-eb5c-4ae7-83fd-9d6e254c0d3","McLarty 1_Core Image")</f>
        <v>McLarty 1_Core Image</v>
      </c>
    </row>
    <row r="378" spans="1:11" x14ac:dyDescent="0.25">
      <c r="A378" t="str">
        <f>HYPERLINK("http://www.corstruth.com.au/WA/OB001_cs.png","OB001_A4")</f>
        <v>OB001_A4</v>
      </c>
      <c r="B378" t="str">
        <f>HYPERLINK("http://www.corstruth.com.au/WA/PNG2/OB001_cs.png","OB001_0.25m Bins")</f>
        <v>OB001_0.25m Bins</v>
      </c>
      <c r="C378" t="str">
        <f>HYPERLINK("http://www.corstruth.com.au/WA/CSV/OB001.csv","OB001_CSV File 1m Bins")</f>
        <v>OB001_CSV File 1m Bins</v>
      </c>
      <c r="D378" t="s">
        <v>488</v>
      </c>
      <c r="E378" t="s">
        <v>1</v>
      </c>
      <c r="G378" t="s">
        <v>442</v>
      </c>
      <c r="H378" t="s">
        <v>489</v>
      </c>
      <c r="I378">
        <v>-23.465</v>
      </c>
      <c r="J378">
        <v>123.798</v>
      </c>
      <c r="K378" t="str">
        <f>HYPERLINK("http://geossdi.dmp.wa.gov.au/NVCLDataServices/mosaic.html?datasetid=3189cfe8-40f9-43a5-8370-5f6e7bca3ed","OB001_Core Image")</f>
        <v>OB001_Core Image</v>
      </c>
    </row>
    <row r="379" spans="1:11" x14ac:dyDescent="0.25">
      <c r="A379" t="str">
        <f>HYPERLINK("http://www.corstruth.com.au/WA/OB002_cs.png","OB002_A4")</f>
        <v>OB002_A4</v>
      </c>
      <c r="B379" t="str">
        <f>HYPERLINK("http://www.corstruth.com.au/WA/PNG2/OB002_cs.png","OB002_0.25m Bins")</f>
        <v>OB002_0.25m Bins</v>
      </c>
      <c r="C379" t="str">
        <f>HYPERLINK("http://www.corstruth.com.au/WA/CSV/OB002.csv","OB002_CSV File 1m Bins")</f>
        <v>OB002_CSV File 1m Bins</v>
      </c>
      <c r="D379" t="s">
        <v>490</v>
      </c>
      <c r="E379" t="s">
        <v>1</v>
      </c>
      <c r="G379" t="s">
        <v>442</v>
      </c>
      <c r="H379" t="s">
        <v>489</v>
      </c>
      <c r="I379">
        <v>-23.466899999999999</v>
      </c>
      <c r="J379">
        <v>123.797</v>
      </c>
      <c r="K379" t="str">
        <f>HYPERLINK("http://geossdi.dmp.wa.gov.au/NVCLDataServices/mosaic.html?datasetid=22647b7a-d7eb-43bb-8f37-bdb1be65c54","OB002_Core Image")</f>
        <v>OB002_Core Image</v>
      </c>
    </row>
    <row r="380" spans="1:11" x14ac:dyDescent="0.25">
      <c r="A380" t="str">
        <f>HYPERLINK("http://www.corstruth.com.au/WA/Mirbelia_1_cs.png","Mirbelia 1_A4")</f>
        <v>Mirbelia 1_A4</v>
      </c>
      <c r="B380" t="str">
        <f>HYPERLINK("http://www.corstruth.com.au/WA/PNG2/Mirbelia_1_cs.png","Mirbelia 1_0.25m Bins")</f>
        <v>Mirbelia 1_0.25m Bins</v>
      </c>
      <c r="C380" t="str">
        <f>HYPERLINK("http://www.corstruth.com.au/WA/CSV/Mirbelia_1.csv","Mirbelia 1_CSV File 1m Bins")</f>
        <v>Mirbelia 1_CSV File 1m Bins</v>
      </c>
      <c r="D380" t="s">
        <v>491</v>
      </c>
      <c r="E380" t="s">
        <v>1</v>
      </c>
      <c r="G380" t="s">
        <v>442</v>
      </c>
      <c r="H380" t="s">
        <v>492</v>
      </c>
      <c r="I380">
        <v>-19.650700000000001</v>
      </c>
      <c r="J380">
        <v>125.361</v>
      </c>
      <c r="K380" t="str">
        <f>HYPERLINK("http://geossdi.dmp.wa.gov.au/NVCLDataServices/mosaic.html?datasetid=d1bebb3c-7863-4466-9ec5-a0be43a48d5","Mirbelia 1_Core Image")</f>
        <v>Mirbelia 1_Core Image</v>
      </c>
    </row>
    <row r="381" spans="1:11" x14ac:dyDescent="0.25">
      <c r="A381" t="str">
        <f>HYPERLINK("http://www.corstruth.com.au/WA/Nicolay_1_cs.png","Nicolay 1_A4")</f>
        <v>Nicolay 1_A4</v>
      </c>
      <c r="B381" t="str">
        <f>HYPERLINK("http://www.corstruth.com.au/WA/PNG2/Nicolay_1_cs.png","Nicolay 1_0.25m Bins")</f>
        <v>Nicolay 1_0.25m Bins</v>
      </c>
      <c r="C381" t="str">
        <f>HYPERLINK("http://www.corstruth.com.au/WA/CSV/Nicolay_1.csv","Nicolay 1_CSV File 1m Bins")</f>
        <v>Nicolay 1_CSV File 1m Bins</v>
      </c>
      <c r="D381" t="s">
        <v>493</v>
      </c>
      <c r="E381" t="s">
        <v>1</v>
      </c>
      <c r="G381" t="s">
        <v>442</v>
      </c>
      <c r="H381" t="s">
        <v>494</v>
      </c>
      <c r="I381">
        <v>-20.57</v>
      </c>
      <c r="J381">
        <v>123.259</v>
      </c>
      <c r="K381" t="str">
        <f>HYPERLINK("http://geossdi.dmp.wa.gov.au/NVCLDataServices/mosaic.html?datasetid=db276493-a13e-42df-825c-215ee3f560d","Nicolay 1_Core Image")</f>
        <v>Nicolay 1_Core Image</v>
      </c>
    </row>
    <row r="382" spans="1:11" x14ac:dyDescent="0.25">
      <c r="A382" t="str">
        <f>HYPERLINK("http://www.corstruth.com.au/WA/Olympic_1_cs.png","Olympic 1_A4")</f>
        <v>Olympic 1_A4</v>
      </c>
      <c r="B382" t="str">
        <f>HYPERLINK("http://www.corstruth.com.au/WA/PNG2/Olympic_1_cs.png","Olympic 1_0.25m Bins")</f>
        <v>Olympic 1_0.25m Bins</v>
      </c>
      <c r="C382" t="str">
        <f>HYPERLINK("http://www.corstruth.com.au/WA/CSV/Olympic_1.csv","Olympic 1_CSV File 1m Bins")</f>
        <v>Olympic 1_CSV File 1m Bins</v>
      </c>
      <c r="D382" t="s">
        <v>495</v>
      </c>
      <c r="E382" t="s">
        <v>1</v>
      </c>
      <c r="G382" t="s">
        <v>442</v>
      </c>
      <c r="H382" t="s">
        <v>496</v>
      </c>
      <c r="I382">
        <v>-18.299299999999999</v>
      </c>
      <c r="J382">
        <v>122.64</v>
      </c>
      <c r="K382" t="str">
        <f>HYPERLINK("http://geossdi.dmp.wa.gov.au/NVCLDataServices/mosaic.html?datasetid=6451a518-5186-4ef7-9d27-e4039860205","Olympic 1_Core Image")</f>
        <v>Olympic 1_Core Image</v>
      </c>
    </row>
    <row r="383" spans="1:11" x14ac:dyDescent="0.25">
      <c r="A383" t="str">
        <f>HYPERLINK("http://www.corstruth.com.au/WA/Percival_1_cs.png","Percival 1_A4")</f>
        <v>Percival 1_A4</v>
      </c>
      <c r="B383" t="str">
        <f>HYPERLINK("http://www.corstruth.com.au/WA/PNG2/Percival_1_cs.png","Percival 1_0.25m Bins")</f>
        <v>Percival 1_0.25m Bins</v>
      </c>
      <c r="C383" t="str">
        <f>HYPERLINK("http://www.corstruth.com.au/WA/CSV/Percival_1.csv","Percival 1_CSV File 1m Bins")</f>
        <v>Percival 1_CSV File 1m Bins</v>
      </c>
      <c r="D383" t="s">
        <v>497</v>
      </c>
      <c r="E383" t="s">
        <v>1</v>
      </c>
      <c r="G383" t="s">
        <v>442</v>
      </c>
      <c r="H383" t="s">
        <v>498</v>
      </c>
      <c r="I383">
        <v>-20.3307</v>
      </c>
      <c r="J383">
        <v>126.083</v>
      </c>
      <c r="K383" t="str">
        <f>HYPERLINK("http://geossdi.dmp.wa.gov.au/NVCLDataServices/mosaic.html?datasetid=4242910e-0c27-44cc-b603-9efc1329346","Percival 1_Core Image")</f>
        <v>Percival 1_Core Image</v>
      </c>
    </row>
    <row r="384" spans="1:11" x14ac:dyDescent="0.25">
      <c r="A384" t="str">
        <f>HYPERLINK("http://www.corstruth.com.au/WA/Phoenix_1_cs.png","Phoenix 1_A4")</f>
        <v>Phoenix 1_A4</v>
      </c>
      <c r="B384" t="str">
        <f>HYPERLINK("http://www.corstruth.com.au/WA/PNG2/Phoenix_1_cs.png","Phoenix 1_0.25m Bins")</f>
        <v>Phoenix 1_0.25m Bins</v>
      </c>
      <c r="C384" t="str">
        <f>HYPERLINK("http://www.corstruth.com.au/WA/CSV/Phoenix_1.csv","Phoenix 1_CSV File 1m Bins")</f>
        <v>Phoenix 1_CSV File 1m Bins</v>
      </c>
      <c r="D384" t="s">
        <v>499</v>
      </c>
      <c r="E384" t="s">
        <v>1</v>
      </c>
      <c r="G384" t="s">
        <v>442</v>
      </c>
      <c r="H384" t="s">
        <v>500</v>
      </c>
      <c r="I384">
        <v>-18.633900000000001</v>
      </c>
      <c r="J384">
        <v>118.78700000000001</v>
      </c>
      <c r="K384" t="str">
        <f>HYPERLINK("http://geossdi.dmp.wa.gov.au/NVCLDataServices/mosaic.html?datasetid=5b456d14-69a3-49d7-bec6-d947e675966","Phoenix 1_Core Image")</f>
        <v>Phoenix 1_Core Image</v>
      </c>
    </row>
    <row r="385" spans="1:11" x14ac:dyDescent="0.25">
      <c r="A385" t="str">
        <f>HYPERLINK("http://www.corstruth.com.au/WA/Phoenix_2_cs.png","Phoenix 2_A4")</f>
        <v>Phoenix 2_A4</v>
      </c>
      <c r="B385" t="str">
        <f>HYPERLINK("http://www.corstruth.com.au/WA/PNG2/Phoenix_2_cs.png","Phoenix 2_0.25m Bins")</f>
        <v>Phoenix 2_0.25m Bins</v>
      </c>
      <c r="C385" t="str">
        <f>HYPERLINK("http://www.corstruth.com.au/WA/CSV/Phoenix_2.csv","Phoenix 2_CSV File 1m Bins")</f>
        <v>Phoenix 2_CSV File 1m Bins</v>
      </c>
      <c r="D385" t="s">
        <v>501</v>
      </c>
      <c r="E385" t="s">
        <v>1</v>
      </c>
      <c r="G385" t="s">
        <v>442</v>
      </c>
      <c r="H385" t="s">
        <v>500</v>
      </c>
      <c r="I385">
        <v>-18.6008</v>
      </c>
      <c r="J385">
        <v>118.84399999999999</v>
      </c>
      <c r="K385" t="str">
        <f>HYPERLINK("http://geossdi.dmp.wa.gov.au/NVCLDataServices/mosaic.html?datasetid=f1ef994f-5c06-473d-aea9-247466251e4","Phoenix 2_Core Image")</f>
        <v>Phoenix 2_Core Image</v>
      </c>
    </row>
    <row r="386" spans="1:11" x14ac:dyDescent="0.25">
      <c r="A386" t="str">
        <f>HYPERLINK("http://www.corstruth.com.au/WA/RH140_cs.png","RH140_A4")</f>
        <v>RH140_A4</v>
      </c>
      <c r="B386" t="str">
        <f>HYPERLINK("http://www.corstruth.com.au/WA/PNG2/RH140_cs.png","RH140_0.25m Bins")</f>
        <v>RH140_0.25m Bins</v>
      </c>
      <c r="C386" t="str">
        <f>HYPERLINK("http://www.corstruth.com.au/WA/CSV/RH140.csv","RH140_CSV File 1m Bins")</f>
        <v>RH140_CSV File 1m Bins</v>
      </c>
      <c r="D386" t="s">
        <v>502</v>
      </c>
      <c r="E386" t="s">
        <v>1</v>
      </c>
      <c r="G386" t="s">
        <v>442</v>
      </c>
      <c r="H386" t="s">
        <v>503</v>
      </c>
      <c r="I386">
        <v>-20.171199999999999</v>
      </c>
      <c r="J386">
        <v>121.03700000000001</v>
      </c>
      <c r="K386" t="str">
        <f>HYPERLINK("http://geossdi.dmp.wa.gov.au/NVCLDataServices/mosaic.html?datasetid=4a2eead0-d925-4371-9b38-5e9f680b324","RH140_Core Image")</f>
        <v>RH140_Core Image</v>
      </c>
    </row>
    <row r="387" spans="1:11" x14ac:dyDescent="0.25">
      <c r="A387" t="str">
        <f>HYPERLINK("http://www.corstruth.com.au/WA/REDRC001_chips_cs.png","REDRC001_chips_A4")</f>
        <v>REDRC001_chips_A4</v>
      </c>
      <c r="B387" t="str">
        <f>HYPERLINK("http://www.corstruth.com.au/WA/PNG2/REDRC001_chips_cs.png","REDRC001_chips_0.25m Bins")</f>
        <v>REDRC001_chips_0.25m Bins</v>
      </c>
      <c r="C387" t="str">
        <f>HYPERLINK("http://www.corstruth.com.au/WA/CSV/REDRC001_chips.csv","REDRC001_chips_CSV File 1m Bins")</f>
        <v>REDRC001_chips_CSV File 1m Bins</v>
      </c>
      <c r="D387" t="s">
        <v>504</v>
      </c>
      <c r="E387" t="s">
        <v>1</v>
      </c>
      <c r="G387" t="s">
        <v>442</v>
      </c>
      <c r="H387" t="s">
        <v>505</v>
      </c>
      <c r="I387">
        <v>-29.521000000000001</v>
      </c>
      <c r="J387">
        <v>123.629</v>
      </c>
    </row>
    <row r="388" spans="1:11" x14ac:dyDescent="0.25">
      <c r="A388" t="str">
        <f>HYPERLINK("http://www.corstruth.com.au/WA/REDRC002_cs.png","REDRC002_A4")</f>
        <v>REDRC002_A4</v>
      </c>
      <c r="B388" t="str">
        <f>HYPERLINK("http://www.corstruth.com.au/WA/PNG2/REDRC002_cs.png","REDRC002_0.25m Bins")</f>
        <v>REDRC002_0.25m Bins</v>
      </c>
      <c r="C388" t="str">
        <f>HYPERLINK("http://www.corstruth.com.au/WA/CSV/REDRC002.csv","REDRC002_CSV File 1m Bins")</f>
        <v>REDRC002_CSV File 1m Bins</v>
      </c>
      <c r="D388" t="s">
        <v>506</v>
      </c>
      <c r="E388" t="s">
        <v>1</v>
      </c>
      <c r="G388" t="s">
        <v>442</v>
      </c>
      <c r="H388" t="s">
        <v>505</v>
      </c>
      <c r="I388">
        <v>-29.521999999999998</v>
      </c>
      <c r="J388">
        <v>123.627</v>
      </c>
    </row>
    <row r="389" spans="1:11" x14ac:dyDescent="0.25">
      <c r="A389" t="str">
        <f>HYPERLINK("http://www.corstruth.com.au/WA/SD1_cs.png","SD1_A4")</f>
        <v>SD1_A4</v>
      </c>
      <c r="B389" t="str">
        <f>HYPERLINK("http://www.corstruth.com.au/WA/PNG2/SD1_cs.png","SD1_0.25m Bins")</f>
        <v>SD1_0.25m Bins</v>
      </c>
      <c r="C389" t="str">
        <f>HYPERLINK("http://www.corstruth.com.au/WA/CSV/SD1.csv","SD1_CSV File 1m Bins")</f>
        <v>SD1_CSV File 1m Bins</v>
      </c>
      <c r="D389" t="s">
        <v>507</v>
      </c>
      <c r="E389" t="s">
        <v>1</v>
      </c>
      <c r="G389" t="s">
        <v>442</v>
      </c>
      <c r="H389" t="s">
        <v>508</v>
      </c>
      <c r="I389">
        <v>-19.809999999999999</v>
      </c>
      <c r="J389">
        <v>121.23</v>
      </c>
      <c r="K389" t="str">
        <f>HYPERLINK("http://geossdi.dmp.wa.gov.au/NVCLDataServices/mosaic.html?datasetid=49d86238-9aa4-4e9f-bd4a-322f4594e25","SD1_Core Image")</f>
        <v>SD1_Core Image</v>
      </c>
    </row>
    <row r="390" spans="1:11" x14ac:dyDescent="0.25">
      <c r="A390" t="str">
        <f>HYPERLINK("http://www.corstruth.com.au/WA/Senagi_1_cs.png","Senagi 1_A4")</f>
        <v>Senagi 1_A4</v>
      </c>
      <c r="B390" t="str">
        <f>HYPERLINK("http://www.corstruth.com.au/WA/PNG2/Senagi_1_cs.png","Senagi 1_0.25m Bins")</f>
        <v>Senagi 1_0.25m Bins</v>
      </c>
      <c r="C390" t="str">
        <f>HYPERLINK("http://www.corstruth.com.au/WA/CSV/Senagi_1.csv","Senagi 1_CSV File 1m Bins")</f>
        <v>Senagi 1_CSV File 1m Bins</v>
      </c>
      <c r="D390" t="s">
        <v>509</v>
      </c>
      <c r="E390" t="s">
        <v>1</v>
      </c>
      <c r="G390" t="s">
        <v>442</v>
      </c>
      <c r="H390" t="s">
        <v>510</v>
      </c>
      <c r="I390">
        <v>-18.5898</v>
      </c>
      <c r="J390">
        <v>124.372</v>
      </c>
      <c r="K390" t="str">
        <f>HYPERLINK("http://geossdi.dmp.wa.gov.au/NVCLDataServices/mosaic.html?datasetid=9f180f7a-b2d7-4fda-b9a5-33597a7e426","Senagi 1_Core Image")</f>
        <v>Senagi 1_Core Image</v>
      </c>
    </row>
    <row r="391" spans="1:11" x14ac:dyDescent="0.25">
      <c r="A391" t="str">
        <f>HYPERLINK("http://www.corstruth.com.au/WA/BARA_1_cs.png","BARA 1_A4")</f>
        <v>BARA 1_A4</v>
      </c>
      <c r="B391" t="str">
        <f>HYPERLINK("http://www.corstruth.com.au/WA/PNG2/BARA_1_cs.png","BARA 1_0.25m Bins")</f>
        <v>BARA 1_0.25m Bins</v>
      </c>
      <c r="C391" t="str">
        <f>HYPERLINK("http://www.corstruth.com.au/WA/CSV/BARA_1.csv","BARA 1_CSV File 1m Bins")</f>
        <v>BARA 1_CSV File 1m Bins</v>
      </c>
      <c r="D391" t="s">
        <v>511</v>
      </c>
      <c r="E391" t="s">
        <v>1</v>
      </c>
      <c r="G391" t="s">
        <v>442</v>
      </c>
      <c r="H391" t="s">
        <v>512</v>
      </c>
      <c r="I391">
        <v>-20.052600000000002</v>
      </c>
      <c r="J391">
        <v>120.59</v>
      </c>
      <c r="K391" t="str">
        <f>HYPERLINK("http://geossdi.dmp.wa.gov.au/NVCLDataServices/mosaic.html?datasetid=9437a47f-9c62-4a91-966b-91710dab309","BARA 1_Core Image")</f>
        <v>BARA 1_Core Image</v>
      </c>
    </row>
    <row r="392" spans="1:11" x14ac:dyDescent="0.25">
      <c r="A392" t="str">
        <f>HYPERLINK("http://www.corstruth.com.au/WA/SC_0001_1_cs.png","SC_0001_1_A4")</f>
        <v>SC_0001_1_A4</v>
      </c>
      <c r="B392" t="str">
        <f>HYPERLINK("http://www.corstruth.com.au/WA/PNG2/SC_0001_1_cs.png","SC_0001_1_0.25m Bins")</f>
        <v>SC_0001_1_0.25m Bins</v>
      </c>
      <c r="C392" t="str">
        <f>HYPERLINK("http://www.corstruth.com.au/WA/CSV/SC_0001_1.csv","SC_0001_1_CSV File 1m Bins")</f>
        <v>SC_0001_1_CSV File 1m Bins</v>
      </c>
      <c r="D392" t="s">
        <v>513</v>
      </c>
      <c r="E392" t="s">
        <v>1</v>
      </c>
      <c r="G392" t="s">
        <v>442</v>
      </c>
      <c r="H392" t="s">
        <v>512</v>
      </c>
      <c r="I392">
        <v>-20.198499999999999</v>
      </c>
      <c r="J392">
        <v>120.669</v>
      </c>
      <c r="K392" t="str">
        <f>HYPERLINK("http://geossdi.dmp.wa.gov.au/NVCLDataServices/mosaic.html?datasetid=bc8104e1-1415-4b02-a868-c38464c34db","SC_0001_1_Core Image")</f>
        <v>SC_0001_1_Core Image</v>
      </c>
    </row>
    <row r="393" spans="1:11" x14ac:dyDescent="0.25">
      <c r="A393" t="str">
        <f>HYPERLINK("http://www.corstruth.com.au/WA/SC_0002_1_cs.png","SC_0002_1_A4")</f>
        <v>SC_0002_1_A4</v>
      </c>
      <c r="B393" t="str">
        <f>HYPERLINK("http://www.corstruth.com.au/WA/PNG2/SC_0002_1_cs.png","SC_0002_1_0.25m Bins")</f>
        <v>SC_0002_1_0.25m Bins</v>
      </c>
      <c r="C393" t="str">
        <f>HYPERLINK("http://www.corstruth.com.au/WA/CSV/SC_0002_1.csv","SC_0002_1_CSV File 1m Bins")</f>
        <v>SC_0002_1_CSV File 1m Bins</v>
      </c>
      <c r="D393" t="s">
        <v>514</v>
      </c>
      <c r="E393" t="s">
        <v>1</v>
      </c>
      <c r="G393" t="s">
        <v>442</v>
      </c>
      <c r="H393" t="s">
        <v>512</v>
      </c>
      <c r="I393">
        <v>-20.097999999999999</v>
      </c>
      <c r="J393">
        <v>120.616</v>
      </c>
      <c r="K393" t="str">
        <f>HYPERLINK("http://geossdi.dmp.wa.gov.au/NVCLDataServices/mosaic.html?datasetid=c3732922-5d89-4207-a149-e499ba59aa3","SC_0002_1_Core Image")</f>
        <v>SC_0002_1_Core Image</v>
      </c>
    </row>
    <row r="394" spans="1:11" x14ac:dyDescent="0.25">
      <c r="A394" t="str">
        <f>HYPERLINK("http://www.corstruth.com.au/WA/SC_0003_1_cs.png","SC_0003_1_A4")</f>
        <v>SC_0003_1_A4</v>
      </c>
      <c r="B394" t="str">
        <f>HYPERLINK("http://www.corstruth.com.au/WA/PNG2/SC_0003_1_cs.png","SC_0003_1_0.25m Bins")</f>
        <v>SC_0003_1_0.25m Bins</v>
      </c>
      <c r="C394" t="str">
        <f>HYPERLINK("http://www.corstruth.com.au/WA/CSV/SC_0003_1.csv","SC_0003_1_CSV File 1m Bins")</f>
        <v>SC_0003_1_CSV File 1m Bins</v>
      </c>
      <c r="D394" t="s">
        <v>515</v>
      </c>
      <c r="E394" t="s">
        <v>1</v>
      </c>
      <c r="G394" t="s">
        <v>442</v>
      </c>
      <c r="H394" t="s">
        <v>512</v>
      </c>
      <c r="I394">
        <v>-20.149799999999999</v>
      </c>
      <c r="J394">
        <v>120.642</v>
      </c>
      <c r="K394" t="str">
        <f>HYPERLINK("http://geossdi.dmp.wa.gov.au/NVCLDataServices/mosaic.html?datasetid=c3520903-ba30-44d9-aeec-9800f5ccbbe","SC_0003_1_Core Image")</f>
        <v>SC_0003_1_Core Image</v>
      </c>
    </row>
    <row r="395" spans="1:11" x14ac:dyDescent="0.25">
      <c r="A395" t="str">
        <f>HYPERLINK("http://www.corstruth.com.au/WA/SC_0004_1_cs.png","SC_0004_1_A4")</f>
        <v>SC_0004_1_A4</v>
      </c>
      <c r="B395" t="str">
        <f>HYPERLINK("http://www.corstruth.com.au/WA/PNG2/SC_0004_1_cs.png","SC_0004_1_0.25m Bins")</f>
        <v>SC_0004_1_0.25m Bins</v>
      </c>
      <c r="C395" t="str">
        <f>HYPERLINK("http://www.corstruth.com.au/WA/CSV/SC_0004_1.csv","SC_0004_1_CSV File 1m Bins")</f>
        <v>SC_0004_1_CSV File 1m Bins</v>
      </c>
      <c r="D395" t="s">
        <v>516</v>
      </c>
      <c r="E395" t="s">
        <v>1</v>
      </c>
      <c r="G395" t="s">
        <v>442</v>
      </c>
      <c r="H395" t="s">
        <v>512</v>
      </c>
      <c r="I395">
        <v>-20.1708</v>
      </c>
      <c r="J395">
        <v>120.745</v>
      </c>
      <c r="K395" t="str">
        <f>HYPERLINK("http://geossdi.dmp.wa.gov.au/NVCLDataServices/mosaic.html?datasetid=0207ea08-fe24-487f-9238-493aad7e2e8","SC_0004_1_Core Image")</f>
        <v>SC_0004_1_Core Image</v>
      </c>
    </row>
    <row r="396" spans="1:11" x14ac:dyDescent="0.25">
      <c r="A396" t="str">
        <f>HYPERLINK("http://www.corstruth.com.au/WA/SC_0005_1_cs.png","SC_0005_1_A4")</f>
        <v>SC_0005_1_A4</v>
      </c>
      <c r="B396" t="str">
        <f>HYPERLINK("http://www.corstruth.com.au/WA/PNG2/SC_0005_1_cs.png","SC_0005_1_0.25m Bins")</f>
        <v>SC_0005_1_0.25m Bins</v>
      </c>
      <c r="C396" t="str">
        <f>HYPERLINK("http://www.corstruth.com.au/WA/CSV/SC_0005_1.csv","SC_0005_1_CSV File 1m Bins")</f>
        <v>SC_0005_1_CSV File 1m Bins</v>
      </c>
      <c r="D396" t="s">
        <v>517</v>
      </c>
      <c r="E396" t="s">
        <v>1</v>
      </c>
      <c r="G396" t="s">
        <v>442</v>
      </c>
      <c r="H396" t="s">
        <v>512</v>
      </c>
      <c r="I396">
        <v>-20.058900000000001</v>
      </c>
      <c r="J396">
        <v>120.59399999999999</v>
      </c>
      <c r="K396" t="str">
        <f>HYPERLINK("http://geossdi.dmp.wa.gov.au/NVCLDataServices/mosaic.html?datasetid=8c6a9b46-5f60-4f46-93c9-9f81c402384","SC_0005_1_Core Image")</f>
        <v>SC_0005_1_Core Image</v>
      </c>
    </row>
    <row r="397" spans="1:11" x14ac:dyDescent="0.25">
      <c r="A397" t="str">
        <f>HYPERLINK("http://www.corstruth.com.au/WA/SC_0006_1_cs.png","SC_0006_1_A4")</f>
        <v>SC_0006_1_A4</v>
      </c>
      <c r="B397" t="str">
        <f>HYPERLINK("http://www.corstruth.com.au/WA/PNG2/SC_0006_1_cs.png","SC_0006_1_0.25m Bins")</f>
        <v>SC_0006_1_0.25m Bins</v>
      </c>
      <c r="C397" t="str">
        <f>HYPERLINK("http://www.corstruth.com.au/WA/CSV/SC_0006_1.csv","SC_0006_1_CSV File 1m Bins")</f>
        <v>SC_0006_1_CSV File 1m Bins</v>
      </c>
      <c r="D397" t="s">
        <v>518</v>
      </c>
      <c r="E397" t="s">
        <v>1</v>
      </c>
      <c r="G397" t="s">
        <v>442</v>
      </c>
      <c r="H397" t="s">
        <v>512</v>
      </c>
      <c r="I397">
        <v>-20.0716</v>
      </c>
      <c r="J397">
        <v>120.601</v>
      </c>
      <c r="K397" t="str">
        <f>HYPERLINK("http://geossdi.dmp.wa.gov.au/NVCLDataServices/mosaic.html?datasetid=057ec02a-5408-4fa7-acbd-f1808cd6ea4","SC_0006_1_Core Image")</f>
        <v>SC_0006_1_Core Image</v>
      </c>
    </row>
    <row r="398" spans="1:11" x14ac:dyDescent="0.25">
      <c r="A398" t="str">
        <f>HYPERLINK("http://www.corstruth.com.au/WA/SC_0007_1_cs.png","SC_0007_1_A4")</f>
        <v>SC_0007_1_A4</v>
      </c>
      <c r="B398" t="str">
        <f>HYPERLINK("http://www.corstruth.com.au/WA/PNG2/SC_0007_1_cs.png","SC_0007_1_0.25m Bins")</f>
        <v>SC_0007_1_0.25m Bins</v>
      </c>
      <c r="C398" t="str">
        <f>HYPERLINK("http://www.corstruth.com.au/WA/CSV/SC_0007_1.csv","SC_0007_1_CSV File 1m Bins")</f>
        <v>SC_0007_1_CSV File 1m Bins</v>
      </c>
      <c r="D398" t="s">
        <v>519</v>
      </c>
      <c r="E398" t="s">
        <v>1</v>
      </c>
      <c r="G398" t="s">
        <v>442</v>
      </c>
      <c r="H398" t="s">
        <v>512</v>
      </c>
      <c r="I398">
        <v>-20.084299999999999</v>
      </c>
      <c r="J398">
        <v>120.608</v>
      </c>
      <c r="K398" t="str">
        <f>HYPERLINK("http://geossdi.dmp.wa.gov.au/NVCLDataServices/mosaic.html?datasetid=70b8ecd3-ebce-499e-949c-a1f5b4dd976","SC_0007_1_Core Image")</f>
        <v>SC_0007_1_Core Image</v>
      </c>
    </row>
    <row r="399" spans="1:11" x14ac:dyDescent="0.25">
      <c r="A399" t="str">
        <f>HYPERLINK("http://www.corstruth.com.au/WA/Thangoo_1_cs.png","Thangoo 1_A4")</f>
        <v>Thangoo 1_A4</v>
      </c>
      <c r="B399" t="str">
        <f>HYPERLINK("http://www.corstruth.com.au/WA/PNG2/Thangoo_1_cs.png","Thangoo 1_0.25m Bins")</f>
        <v>Thangoo 1_0.25m Bins</v>
      </c>
      <c r="C399" t="str">
        <f>HYPERLINK("http://www.corstruth.com.au/WA/CSV/Thangoo_1.csv","Thangoo 1_CSV File 1m Bins")</f>
        <v>Thangoo 1_CSV File 1m Bins</v>
      </c>
      <c r="D399" t="s">
        <v>520</v>
      </c>
      <c r="E399" t="s">
        <v>1</v>
      </c>
      <c r="G399" t="s">
        <v>442</v>
      </c>
      <c r="H399" t="s">
        <v>521</v>
      </c>
      <c r="I399">
        <v>-18.366800000000001</v>
      </c>
      <c r="J399">
        <v>122.892</v>
      </c>
      <c r="K399" t="str">
        <f>HYPERLINK("http://geossdi.dmp.wa.gov.au/NVCLDataServices/mosaic.html?datasetid=a3f32213-c5ef-46c8-9e8c-8cd48635608","Thangoo 1_Core Image")</f>
        <v>Thangoo 1_Core Image</v>
      </c>
    </row>
    <row r="400" spans="1:11" x14ac:dyDescent="0.25">
      <c r="A400" t="str">
        <f>HYPERLINK("http://www.corstruth.com.au/WA/Theia_1_cs.png","Theia 1_A4")</f>
        <v>Theia 1_A4</v>
      </c>
      <c r="B400" t="str">
        <f>HYPERLINK("http://www.corstruth.com.au/WA/PNG2/Theia_1_cs.png","Theia 1_0.25m Bins")</f>
        <v>Theia 1_0.25m Bins</v>
      </c>
      <c r="C400" t="str">
        <f>HYPERLINK("http://www.corstruth.com.au/WA/CSV/Theia_1.csv","Theia 1_CSV File 1m Bins")</f>
        <v>Theia 1_CSV File 1m Bins</v>
      </c>
      <c r="D400" t="s">
        <v>522</v>
      </c>
      <c r="E400" t="s">
        <v>1</v>
      </c>
      <c r="G400" t="s">
        <v>442</v>
      </c>
      <c r="H400" t="s">
        <v>523</v>
      </c>
      <c r="I400">
        <v>-18.9011</v>
      </c>
      <c r="J400">
        <v>123.294</v>
      </c>
      <c r="K400" t="str">
        <f>HYPERLINK("http://geossdi.dmp.wa.gov.au/NVCLDataServices/mosaic.html?datasetid=eaff84ef-c4e9-4772-a02d-76273de0898","Theia 1_Core Image")</f>
        <v>Theia 1_Core Image</v>
      </c>
    </row>
    <row r="401" spans="1:11" x14ac:dyDescent="0.25">
      <c r="A401" t="str">
        <f>HYPERLINK("http://www.corstruth.com.au/WA/Ungani_Far_West_1_cs.png","Ungani Far West 1_A4")</f>
        <v>Ungani Far West 1_A4</v>
      </c>
      <c r="B401" t="str">
        <f>HYPERLINK("http://www.corstruth.com.au/WA/PNG2/Ungani_Far_West_1_cs.png","Ungani Far West 1_0.25m Bins")</f>
        <v>Ungani Far West 1_0.25m Bins</v>
      </c>
      <c r="C401" t="str">
        <f>HYPERLINK("http://www.corstruth.com.au/WA/CSV/Ungani_Far_West_1.csv","Ungani Far West 1_CSV File 1m Bins")</f>
        <v>Ungani Far West 1_CSV File 1m Bins</v>
      </c>
      <c r="D401" t="s">
        <v>524</v>
      </c>
      <c r="E401" t="s">
        <v>1</v>
      </c>
      <c r="G401" t="s">
        <v>442</v>
      </c>
      <c r="H401" t="s">
        <v>525</v>
      </c>
      <c r="I401">
        <v>-17.999700000000001</v>
      </c>
      <c r="J401">
        <v>123.134</v>
      </c>
      <c r="K401" t="str">
        <f>HYPERLINK("http://geossdi.dmp.wa.gov.au/NVCLDataServices/mosaic.html?datasetid=b2d6945b-0e99-40c6-bf5c-eace3927449","Ungani Far West 1_Core Image")</f>
        <v>Ungani Far West 1_Core Image</v>
      </c>
    </row>
    <row r="402" spans="1:11" x14ac:dyDescent="0.25">
      <c r="A402" t="str">
        <f>HYPERLINK("http://www.corstruth.com.au/WA/White_Hills_1_cs.png","White Hills 1_A4")</f>
        <v>White Hills 1_A4</v>
      </c>
      <c r="B402" t="str">
        <f>HYPERLINK("http://www.corstruth.com.au/WA/PNG2/White_Hills_1_cs.png","White Hills 1_0.25m Bins")</f>
        <v>White Hills 1_0.25m Bins</v>
      </c>
      <c r="C402" t="str">
        <f>HYPERLINK("http://www.corstruth.com.au/WA/CSV/White_Hills_1.csv","White Hills 1_CSV File 1m Bins")</f>
        <v>White Hills 1_CSV File 1m Bins</v>
      </c>
      <c r="D402" t="s">
        <v>526</v>
      </c>
      <c r="E402" t="s">
        <v>1</v>
      </c>
      <c r="G402" t="s">
        <v>442</v>
      </c>
      <c r="H402" t="s">
        <v>527</v>
      </c>
      <c r="I402">
        <v>-21.154199999999999</v>
      </c>
      <c r="J402">
        <v>127.589</v>
      </c>
      <c r="K402" t="str">
        <f>HYPERLINK("http://geossdi.dmp.wa.gov.au/NVCLDataServices/mosaic.html?datasetid=4ddde8f7-0009-4d6c-8a08-988604e3389","White Hills 1_Core Image")</f>
        <v>White Hills 1_Core Image</v>
      </c>
    </row>
    <row r="403" spans="1:11" x14ac:dyDescent="0.25">
      <c r="A403" t="str">
        <f>HYPERLINK("http://www.corstruth.com.au/WA/Willara_1_cs.png","Willara 1_A4")</f>
        <v>Willara 1_A4</v>
      </c>
      <c r="B403" t="str">
        <f>HYPERLINK("http://www.corstruth.com.au/WA/PNG2/Willara_1_cs.png","Willara 1_0.25m Bins")</f>
        <v>Willara 1_0.25m Bins</v>
      </c>
      <c r="C403" t="str">
        <f>HYPERLINK("http://www.corstruth.com.au/WA/CSV/Willara_1.csv","Willara 1_CSV File 1m Bins")</f>
        <v>Willara 1_CSV File 1m Bins</v>
      </c>
      <c r="D403" t="s">
        <v>528</v>
      </c>
      <c r="E403" t="s">
        <v>1</v>
      </c>
      <c r="G403" t="s">
        <v>442</v>
      </c>
      <c r="H403" t="s">
        <v>529</v>
      </c>
      <c r="I403">
        <v>-19.1799</v>
      </c>
      <c r="J403">
        <v>122.075</v>
      </c>
      <c r="K403" t="str">
        <f>HYPERLINK("http://geossdi.dmp.wa.gov.au/NVCLDataServices/mosaic.html?datasetid=687919c6-992c-4191-943d-996a597f7d3","Willara 1_Core Image")</f>
        <v>Willara 1_Core Image</v>
      </c>
    </row>
    <row r="404" spans="1:11" x14ac:dyDescent="0.25">
      <c r="A404" t="str">
        <f>HYPERLINK("http://www.corstruth.com.au/WA/YARDDH001_cs.png","YARDDH001_A4")</f>
        <v>YARDDH001_A4</v>
      </c>
      <c r="B404" t="str">
        <f>HYPERLINK("http://www.corstruth.com.au/WA/PNG2/YARDDH001_cs.png","YARDDH001_0.25m Bins")</f>
        <v>YARDDH001_0.25m Bins</v>
      </c>
      <c r="C404" t="str">
        <f>HYPERLINK("http://www.corstruth.com.au/WA/CSV/YARDDH001.csv","YARDDH001_CSV File 1m Bins")</f>
        <v>YARDDH001_CSV File 1m Bins</v>
      </c>
      <c r="D404" t="s">
        <v>530</v>
      </c>
      <c r="E404" t="s">
        <v>1</v>
      </c>
      <c r="G404" t="s">
        <v>531</v>
      </c>
      <c r="H404" t="s">
        <v>532</v>
      </c>
      <c r="I404">
        <v>-21.620100000000001</v>
      </c>
      <c r="J404">
        <v>116.03700000000001</v>
      </c>
      <c r="K404" t="str">
        <f>HYPERLINK("http://geossdi.dmp.wa.gov.au/NVCLDataServices/mosaic.html?datasetid=289df858-bdd7-45ca-abc3-7adc814ac40","YARDDH001_Core Image")</f>
        <v>YARDDH001_Core Image</v>
      </c>
    </row>
    <row r="405" spans="1:11" x14ac:dyDescent="0.25">
      <c r="A405" t="str">
        <f>HYPERLINK("http://www.corstruth.com.au/WA/YARDDH002_cs.png","YARDDH002_A4")</f>
        <v>YARDDH002_A4</v>
      </c>
      <c r="B405" t="str">
        <f>HYPERLINK("http://www.corstruth.com.au/WA/PNG2/YARDDH002_cs.png","YARDDH002_0.25m Bins")</f>
        <v>YARDDH002_0.25m Bins</v>
      </c>
      <c r="C405" t="str">
        <f>HYPERLINK("http://www.corstruth.com.au/WA/CSV/YARDDH002.csv","YARDDH002_CSV File 1m Bins")</f>
        <v>YARDDH002_CSV File 1m Bins</v>
      </c>
      <c r="D405" t="s">
        <v>533</v>
      </c>
      <c r="E405" t="s">
        <v>1</v>
      </c>
      <c r="G405" t="s">
        <v>531</v>
      </c>
      <c r="H405" t="s">
        <v>532</v>
      </c>
      <c r="I405">
        <v>-21.5932</v>
      </c>
      <c r="J405">
        <v>116.026</v>
      </c>
      <c r="K405" t="str">
        <f>HYPERLINK("http://geossdi.dmp.wa.gov.au/NVCLDataServices/mosaic.html?datasetid=44b3a8a2-7ffc-4fe6-9566-801a064005c","YARDDH002_Core Image")</f>
        <v>YARDDH002_Core Image</v>
      </c>
    </row>
    <row r="406" spans="1:11" x14ac:dyDescent="0.25">
      <c r="A406" t="str">
        <f>HYPERLINK("http://www.corstruth.com.au/WA/YARDDH003_cs.png","YARDDH003_A4")</f>
        <v>YARDDH003_A4</v>
      </c>
      <c r="B406" t="str">
        <f>HYPERLINK("http://www.corstruth.com.au/WA/PNG2/YARDDH003_cs.png","YARDDH003_0.25m Bins")</f>
        <v>YARDDH003_0.25m Bins</v>
      </c>
      <c r="C406" t="str">
        <f>HYPERLINK("http://www.corstruth.com.au/WA/CSV/YARDDH003.csv","YARDDH003_CSV File 1m Bins")</f>
        <v>YARDDH003_CSV File 1m Bins</v>
      </c>
      <c r="D406" t="s">
        <v>534</v>
      </c>
      <c r="E406" t="s">
        <v>1</v>
      </c>
      <c r="G406" t="s">
        <v>531</v>
      </c>
      <c r="H406" t="s">
        <v>532</v>
      </c>
      <c r="I406">
        <v>-21.570399999999999</v>
      </c>
      <c r="J406">
        <v>116.014</v>
      </c>
      <c r="K406" t="str">
        <f>HYPERLINK("http://geossdi.dmp.wa.gov.au/NVCLDataServices/mosaic.html?datasetid=71451f43-eed3-43db-ab42-7549d77ee75","YARDDH003_Core Image")</f>
        <v>YARDDH003_Core Image</v>
      </c>
    </row>
    <row r="407" spans="1:11" x14ac:dyDescent="0.25">
      <c r="A407" t="str">
        <f>HYPERLINK("http://www.corstruth.com.au/WA/PGORCD0010_cs.png","PGORCD0010_A4")</f>
        <v>PGORCD0010_A4</v>
      </c>
      <c r="B407" t="str">
        <f>HYPERLINK("http://www.corstruth.com.au/WA/PNG2/PGORCD0010_cs.png","PGORCD0010_0.25m Bins")</f>
        <v>PGORCD0010_0.25m Bins</v>
      </c>
      <c r="C407" t="str">
        <f>HYPERLINK("http://www.corstruth.com.au/WA/CSV/PGORCD0010.csv","PGORCD0010_CSV File 1m Bins")</f>
        <v>PGORCD0010_CSV File 1m Bins</v>
      </c>
      <c r="D407" t="s">
        <v>535</v>
      </c>
      <c r="E407" t="s">
        <v>1</v>
      </c>
      <c r="G407" t="s">
        <v>536</v>
      </c>
      <c r="H407" t="s">
        <v>537</v>
      </c>
      <c r="I407">
        <v>-22.5763</v>
      </c>
      <c r="J407">
        <v>116.239</v>
      </c>
      <c r="K407" t="str">
        <f>HYPERLINK("http://geossdi.dmp.wa.gov.au/NVCLDataServices/mosaic.html?datasetid=09de2e47-2cdb-468f-84ad-6e090fe297f","PGORCD0010_Core Image")</f>
        <v>PGORCD0010_Core Image</v>
      </c>
    </row>
    <row r="408" spans="1:11" x14ac:dyDescent="0.25">
      <c r="A408" t="str">
        <f>HYPERLINK("http://www.corstruth.com.au/WA/PGORCD0011_cs.png","PGORCD0011_A4")</f>
        <v>PGORCD0011_A4</v>
      </c>
      <c r="B408" t="str">
        <f>HYPERLINK("http://www.corstruth.com.au/WA/PNG2/PGORCD0011_cs.png","PGORCD0011_0.25m Bins")</f>
        <v>PGORCD0011_0.25m Bins</v>
      </c>
      <c r="C408" t="str">
        <f>HYPERLINK("http://www.corstruth.com.au/WA/CSV/PGORCD0011.csv","PGORCD0011_CSV File 1m Bins")</f>
        <v>PGORCD0011_CSV File 1m Bins</v>
      </c>
      <c r="D408" t="s">
        <v>538</v>
      </c>
      <c r="E408" t="s">
        <v>1</v>
      </c>
      <c r="G408" t="s">
        <v>536</v>
      </c>
      <c r="H408" t="s">
        <v>537</v>
      </c>
      <c r="I408">
        <v>-22.575399999999998</v>
      </c>
      <c r="J408">
        <v>116.238</v>
      </c>
      <c r="K408" t="str">
        <f>HYPERLINK("http://geossdi.dmp.wa.gov.au/NVCLDataServices/mosaic.html?datasetid=4208ad1d-47a1-4f15-bbd1-a99f8006835","PGORCD0011_Core Image")</f>
        <v>PGORCD0011_Core Image</v>
      </c>
    </row>
    <row r="409" spans="1:11" x14ac:dyDescent="0.25">
      <c r="A409" t="str">
        <f>HYPERLINK("http://www.corstruth.com.au/WA/AB62_cs.png","AB62_A4")</f>
        <v>AB62_A4</v>
      </c>
      <c r="B409" t="str">
        <f>HYPERLINK("http://www.corstruth.com.au/WA/PNG2/AB62_cs.png","AB62_0.25m Bins")</f>
        <v>AB62_0.25m Bins</v>
      </c>
      <c r="C409" t="str">
        <f>HYPERLINK("http://www.corstruth.com.au/WA/CSV/AB62.csv","AB62_CSV File 1m Bins")</f>
        <v>AB62_CSV File 1m Bins</v>
      </c>
      <c r="D409" t="s">
        <v>539</v>
      </c>
      <c r="E409" t="s">
        <v>1</v>
      </c>
      <c r="G409" t="s">
        <v>540</v>
      </c>
      <c r="H409" t="s">
        <v>541</v>
      </c>
      <c r="I409">
        <v>-24.638300000000001</v>
      </c>
      <c r="J409">
        <v>118.602</v>
      </c>
      <c r="K409" t="str">
        <f>HYPERLINK("http://geossdi.dmp.wa.gov.au/NVCLDataServices/mosaic.html?datasetid=79468191-f7e0-4975-a42f-81b8069fdf1","AB62_Core Image")</f>
        <v>AB62_Core Image</v>
      </c>
    </row>
    <row r="410" spans="1:11" x14ac:dyDescent="0.25">
      <c r="A410" t="str">
        <f>HYPERLINK("http://www.corstruth.com.au/WA/22ACHD0001_cs.png","22ACHD0001_A4")</f>
        <v>22ACHD0001_A4</v>
      </c>
      <c r="B410" t="str">
        <f>HYPERLINK("http://www.corstruth.com.au/WA/PNG2/22ACHD0001_cs.png","22ACHD0001_0.25m Bins")</f>
        <v>22ACHD0001_0.25m Bins</v>
      </c>
      <c r="C410" t="str">
        <f>HYPERLINK("http://www.corstruth.com.au/WA/CSV/22ACHD0001.csv","22ACHD0001_CSV File 1m Bins")</f>
        <v>22ACHD0001_CSV File 1m Bins</v>
      </c>
      <c r="D410" t="s">
        <v>542</v>
      </c>
      <c r="E410" t="s">
        <v>1</v>
      </c>
      <c r="G410" t="s">
        <v>540</v>
      </c>
      <c r="H410" t="s">
        <v>543</v>
      </c>
      <c r="I410">
        <v>-24.884699999999999</v>
      </c>
      <c r="J410">
        <v>119.745</v>
      </c>
    </row>
    <row r="411" spans="1:11" x14ac:dyDescent="0.25">
      <c r="A411" t="str">
        <f>HYPERLINK("http://www.corstruth.com.au/WA/DDH1F1_cs.png","DDH1F1_A4")</f>
        <v>DDH1F1_A4</v>
      </c>
      <c r="B411" t="str">
        <f>HYPERLINK("http://www.corstruth.com.au/WA/PNG2/DDH1F1_cs.png","DDH1F1_0.25m Bins")</f>
        <v>DDH1F1_0.25m Bins</v>
      </c>
      <c r="C411" t="str">
        <f>HYPERLINK("http://www.corstruth.com.au/WA/CSV/DDH1F1.csv","DDH1F1_CSV File 1m Bins")</f>
        <v>DDH1F1_CSV File 1m Bins</v>
      </c>
      <c r="D411" t="s">
        <v>544</v>
      </c>
      <c r="E411" t="s">
        <v>1</v>
      </c>
      <c r="G411" t="s">
        <v>540</v>
      </c>
      <c r="H411" t="s">
        <v>545</v>
      </c>
      <c r="I411">
        <v>-25.3337</v>
      </c>
      <c r="J411">
        <v>118.361</v>
      </c>
      <c r="K411" t="str">
        <f>HYPERLINK("http://geossdi.dmp.wa.gov.au/NVCLDataServices/mosaic.html?datasetid=f56e1497-f5b1-4099-9041-2188b526cf0","DDH1F1_Core Image")</f>
        <v>DDH1F1_Core Image</v>
      </c>
    </row>
    <row r="412" spans="1:11" x14ac:dyDescent="0.25">
      <c r="A412" t="str">
        <f>HYPERLINK("http://www.corstruth.com.au/WA/RCD358_cs.png","RCD358_A4")</f>
        <v>RCD358_A4</v>
      </c>
      <c r="B412" t="str">
        <f>HYPERLINK("http://www.corstruth.com.au/WA/PNG2/RCD358_cs.png","RCD358_0.25m Bins")</f>
        <v>RCD358_0.25m Bins</v>
      </c>
      <c r="C412" t="str">
        <f>HYPERLINK("http://www.corstruth.com.au/WA/CSV/RCD358.csv","RCD358_CSV File 1m Bins")</f>
        <v>RCD358_CSV File 1m Bins</v>
      </c>
      <c r="D412" t="s">
        <v>546</v>
      </c>
      <c r="E412" t="s">
        <v>1</v>
      </c>
      <c r="G412" t="s">
        <v>540</v>
      </c>
      <c r="H412" t="s">
        <v>547</v>
      </c>
      <c r="I412">
        <v>-25.368099999999998</v>
      </c>
      <c r="J412">
        <v>118.63</v>
      </c>
      <c r="K412" t="str">
        <f>HYPERLINK("http://geossdi.dmp.wa.gov.au/NVCLDataServices/mosaic.html?datasetid=72bf1b68-3852-4524-93c0-cce1d369e27","RCD358_Core Image")</f>
        <v>RCD358_Core Image</v>
      </c>
    </row>
    <row r="413" spans="1:11" x14ac:dyDescent="0.25">
      <c r="A413" t="str">
        <f>HYPERLINK("http://www.corstruth.com.au/WA/DD14IL013A_cs.png","DD14IL013A_A4")</f>
        <v>DD14IL013A_A4</v>
      </c>
      <c r="B413" t="str">
        <f>HYPERLINK("http://www.corstruth.com.au/WA/PNG2/DD14IL013A_cs.png","DD14IL013A_0.25m Bins")</f>
        <v>DD14IL013A_0.25m Bins</v>
      </c>
      <c r="C413" t="str">
        <f>HYPERLINK("http://www.corstruth.com.au/WA/CSV/DD14IL013A.csv","DD14IL013A_CSV File 1m Bins")</f>
        <v>DD14IL013A_CSV File 1m Bins</v>
      </c>
      <c r="D413" t="s">
        <v>548</v>
      </c>
      <c r="E413" t="s">
        <v>1</v>
      </c>
      <c r="G413" t="s">
        <v>540</v>
      </c>
      <c r="H413" t="s">
        <v>549</v>
      </c>
      <c r="I413">
        <v>-24.372900000000001</v>
      </c>
      <c r="J413">
        <v>119.55500000000001</v>
      </c>
      <c r="K413" t="str">
        <f>HYPERLINK("http://geossdi.dmp.wa.gov.au/NVCLDataServices/mosaic.html?datasetid=e66f35b1-9b6c-4c2c-90d9-395ad3574eb","DD14IL013A_Core Image")</f>
        <v>DD14IL013A_Core Image</v>
      </c>
    </row>
    <row r="414" spans="1:11" x14ac:dyDescent="0.25">
      <c r="A414" t="str">
        <f>HYPERLINK("http://www.corstruth.com.au/WA/DD14IL014_cs.png","DD14IL014_A4")</f>
        <v>DD14IL014_A4</v>
      </c>
      <c r="B414" t="str">
        <f>HYPERLINK("http://www.corstruth.com.au/WA/PNG2/DD14IL014_cs.png","DD14IL014_0.25m Bins")</f>
        <v>DD14IL014_0.25m Bins</v>
      </c>
      <c r="C414" t="str">
        <f>HYPERLINK("http://www.corstruth.com.au/WA/CSV/DD14IL014.csv","DD14IL014_CSV File 1m Bins")</f>
        <v>DD14IL014_CSV File 1m Bins</v>
      </c>
      <c r="D414" t="s">
        <v>550</v>
      </c>
      <c r="E414" t="s">
        <v>1</v>
      </c>
      <c r="G414" t="s">
        <v>540</v>
      </c>
      <c r="H414" t="s">
        <v>549</v>
      </c>
      <c r="I414">
        <v>-24.352399999999999</v>
      </c>
      <c r="J414">
        <v>119.59399999999999</v>
      </c>
      <c r="K414" t="str">
        <f>HYPERLINK("http://geossdi.dmp.wa.gov.au/NVCLDataServices/mosaic.html?datasetid=a5ab6b72-bf0e-459c-92f9-60c0695dac2","DD14IL014_Core Image")</f>
        <v>DD14IL014_Core Image</v>
      </c>
    </row>
    <row r="415" spans="1:11" x14ac:dyDescent="0.25">
      <c r="A415" t="str">
        <f>HYPERLINK("http://www.corstruth.com.au/WA/DD14IL175_cs.png","DD14IL175_A4")</f>
        <v>DD14IL175_A4</v>
      </c>
      <c r="B415" t="str">
        <f>HYPERLINK("http://www.corstruth.com.au/WA/PNG2/DD14IL175_cs.png","DD14IL175_0.25m Bins")</f>
        <v>DD14IL175_0.25m Bins</v>
      </c>
      <c r="C415" t="str">
        <f>HYPERLINK("http://www.corstruth.com.au/WA/CSV/DD14IL175.csv","DD14IL175_CSV File 1m Bins")</f>
        <v>DD14IL175_CSV File 1m Bins</v>
      </c>
      <c r="D415" t="s">
        <v>551</v>
      </c>
      <c r="E415" t="s">
        <v>1</v>
      </c>
      <c r="G415" t="s">
        <v>540</v>
      </c>
      <c r="H415" t="s">
        <v>549</v>
      </c>
      <c r="I415">
        <v>-24.364799999999999</v>
      </c>
      <c r="J415">
        <v>119.57299999999999</v>
      </c>
      <c r="K415" t="str">
        <f>HYPERLINK("http://geossdi.dmp.wa.gov.au/NVCLDataServices/mosaic.html?datasetid=fbe381af-cd6c-4e8f-a566-dcda6f676d1","DD14IL175_Core Image")</f>
        <v>DD14IL175_Core Image</v>
      </c>
    </row>
    <row r="416" spans="1:11" x14ac:dyDescent="0.25">
      <c r="A416" t="str">
        <f>HYPERLINK("http://www.corstruth.com.au/WA/RC12IL171_cs.png","RC12IL171_A4")</f>
        <v>RC12IL171_A4</v>
      </c>
      <c r="B416" t="str">
        <f>HYPERLINK("http://www.corstruth.com.au/WA/PNG2/RC12IL171_cs.png","RC12IL171_0.25m Bins")</f>
        <v>RC12IL171_0.25m Bins</v>
      </c>
      <c r="C416" t="str">
        <f>HYPERLINK("http://www.corstruth.com.au/WA/CSV/RC12IL171.csv","RC12IL171_CSV File 1m Bins")</f>
        <v>RC12IL171_CSV File 1m Bins</v>
      </c>
      <c r="D416" t="s">
        <v>552</v>
      </c>
      <c r="E416" t="s">
        <v>1</v>
      </c>
      <c r="G416" t="s">
        <v>540</v>
      </c>
      <c r="H416" t="s">
        <v>549</v>
      </c>
      <c r="I416">
        <v>-24.368400000000001</v>
      </c>
      <c r="J416">
        <v>119.56100000000001</v>
      </c>
      <c r="K416" t="str">
        <f>HYPERLINK("http://geossdi.dmp.wa.gov.au/NVCLDataServices/mosaic.html?datasetid=2ae00a36-7087-4929-9590-46887da52fe","RC12IL171_Core Image")</f>
        <v>RC12IL171_Core Image</v>
      </c>
    </row>
    <row r="417" spans="1:11" x14ac:dyDescent="0.25">
      <c r="A417" t="str">
        <f>HYPERLINK("http://www.corstruth.com.au/WA/ARMCDD001_cs.png","ARMCDD001_A4")</f>
        <v>ARMCDD001_A4</v>
      </c>
      <c r="B417" t="str">
        <f>HYPERLINK("http://www.corstruth.com.au/WA/PNG2/ARMCDD001_cs.png","ARMCDD001_0.25m Bins")</f>
        <v>ARMCDD001_0.25m Bins</v>
      </c>
      <c r="C417" t="str">
        <f>HYPERLINK("http://www.corstruth.com.au/WA/CSV/ARMCDD001.csv","ARMCDD001_CSV File 1m Bins")</f>
        <v>ARMCDD001_CSV File 1m Bins</v>
      </c>
      <c r="D417" t="s">
        <v>553</v>
      </c>
      <c r="E417" t="s">
        <v>1</v>
      </c>
      <c r="G417" t="s">
        <v>540</v>
      </c>
      <c r="H417" t="s">
        <v>554</v>
      </c>
      <c r="I417">
        <v>-22.831499999999998</v>
      </c>
      <c r="J417">
        <v>116.10899999999999</v>
      </c>
      <c r="K417" t="str">
        <f>HYPERLINK("http://geossdi.dmp.wa.gov.au/NVCLDataServices/mosaic.html?datasetid=6427e561-3876-4f4a-8c0b-97b9f066345","ARMCDD001_Core Image")</f>
        <v>ARMCDD001_Core Image</v>
      </c>
    </row>
    <row r="418" spans="1:11" x14ac:dyDescent="0.25">
      <c r="A418" t="str">
        <f>HYPERLINK("http://www.corstruth.com.au/WA/ARMCRCD002A_cs.png","ARMCRCD002A_A4")</f>
        <v>ARMCRCD002A_A4</v>
      </c>
      <c r="B418" t="str">
        <f>HYPERLINK("http://www.corstruth.com.au/WA/PNG2/ARMCRCD002A_cs.png","ARMCRCD002A_0.25m Bins")</f>
        <v>ARMCRCD002A_0.25m Bins</v>
      </c>
      <c r="C418" t="str">
        <f>HYPERLINK("http://www.corstruth.com.au/WA/CSV/ARMCRCD002A.csv","ARMCRCD002A_CSV File 1m Bins")</f>
        <v>ARMCRCD002A_CSV File 1m Bins</v>
      </c>
      <c r="D418" t="s">
        <v>555</v>
      </c>
      <c r="E418" t="s">
        <v>1</v>
      </c>
      <c r="G418" t="s">
        <v>540</v>
      </c>
      <c r="H418" t="s">
        <v>554</v>
      </c>
      <c r="I418">
        <v>-22.8325</v>
      </c>
      <c r="J418">
        <v>116.11</v>
      </c>
      <c r="K418" t="str">
        <f>HYPERLINK("http://geossdi.dmp.wa.gov.au/NVCLDataServices/mosaic.html?datasetid=83905d91-791f-4165-8934-0f0b1c804de","ARMCRCD002A_Core Image")</f>
        <v>ARMCRCD002A_Core Image</v>
      </c>
    </row>
    <row r="419" spans="1:11" x14ac:dyDescent="0.25">
      <c r="A419" t="str">
        <f>HYPERLINK("http://www.corstruth.com.au/WA/AWD003_cs.png","AWD003_A4")</f>
        <v>AWD003_A4</v>
      </c>
      <c r="B419" t="str">
        <f>HYPERLINK("http://www.corstruth.com.au/WA/PNG2/AWD003_cs.png","AWD003_0.25m Bins")</f>
        <v>AWD003_0.25m Bins</v>
      </c>
      <c r="C419" t="str">
        <f>HYPERLINK("http://www.corstruth.com.au/WA/CSV/AWD003.csv","AWD003_CSV File 1m Bins")</f>
        <v>AWD003_CSV File 1m Bins</v>
      </c>
      <c r="D419" t="s">
        <v>556</v>
      </c>
      <c r="E419" t="s">
        <v>1</v>
      </c>
      <c r="G419" t="s">
        <v>540</v>
      </c>
      <c r="H419" t="s">
        <v>557</v>
      </c>
      <c r="I419">
        <v>-22.850899999999999</v>
      </c>
      <c r="J419">
        <v>116.755</v>
      </c>
      <c r="K419" t="str">
        <f>HYPERLINK("http://geossdi.dmp.wa.gov.au/NVCLDataServices/mosaic.html?datasetid=1c244855-1bd1-4b74-b36e-a2ee2f3fd91","AWD003_Core Image")</f>
        <v>AWD003_Core Image</v>
      </c>
    </row>
    <row r="420" spans="1:11" x14ac:dyDescent="0.25">
      <c r="A420" t="str">
        <f>HYPERLINK("http://www.corstruth.com.au/WA/EDD005_cs.png","EDD005_A4")</f>
        <v>EDD005_A4</v>
      </c>
      <c r="B420" t="str">
        <f>HYPERLINK("http://www.corstruth.com.au/WA/PNG2/EDD005_cs.png","EDD005_0.25m Bins")</f>
        <v>EDD005_0.25m Bins</v>
      </c>
      <c r="C420" t="str">
        <f>HYPERLINK("http://www.corstruth.com.au/WA/CSV/EDD005.csv","EDD005_CSV File 1m Bins")</f>
        <v>EDD005_CSV File 1m Bins</v>
      </c>
      <c r="D420" t="s">
        <v>558</v>
      </c>
      <c r="E420" t="s">
        <v>1</v>
      </c>
      <c r="G420" t="s">
        <v>540</v>
      </c>
      <c r="H420" t="s">
        <v>557</v>
      </c>
      <c r="I420">
        <v>-22.926400000000001</v>
      </c>
      <c r="J420">
        <v>116.89700000000001</v>
      </c>
      <c r="K420" t="str">
        <f>HYPERLINK("http://geossdi.dmp.wa.gov.au/NVCLDataServices/mosaic.html?datasetid=79f57cc2-aef8-43ab-adb2-65ff89b3910","EDD005_Core Image")</f>
        <v>EDD005_Core Image</v>
      </c>
    </row>
    <row r="421" spans="1:11" x14ac:dyDescent="0.25">
      <c r="A421" t="str">
        <f>HYPERLINK("http://www.corstruth.com.au/WA/MD003_cs.png","MD003_A4")</f>
        <v>MD003_A4</v>
      </c>
      <c r="B421" t="str">
        <f>HYPERLINK("http://www.corstruth.com.au/WA/PNG2/MD003_cs.png","MD003_0.25m Bins")</f>
        <v>MD003_0.25m Bins</v>
      </c>
      <c r="C421" t="str">
        <f>HYPERLINK("http://www.corstruth.com.au/WA/CSV/MD003.csv","MD003_CSV File 1m Bins")</f>
        <v>MD003_CSV File 1m Bins</v>
      </c>
      <c r="D421" t="s">
        <v>559</v>
      </c>
      <c r="E421" t="s">
        <v>1</v>
      </c>
      <c r="G421" t="s">
        <v>540</v>
      </c>
      <c r="H421" t="s">
        <v>557</v>
      </c>
      <c r="I421">
        <v>-22.4878</v>
      </c>
      <c r="J421">
        <v>116.114</v>
      </c>
      <c r="K421" t="str">
        <f>HYPERLINK("http://geossdi.dmp.wa.gov.au/NVCLDataServices/mosaic.html?datasetid=629c7b5c-b16d-4837-a540-265dd307d95","MD003_Core Image")</f>
        <v>MD003_Core Image</v>
      </c>
    </row>
    <row r="422" spans="1:11" x14ac:dyDescent="0.25">
      <c r="A422" t="str">
        <f>HYPERLINK("http://www.corstruth.com.au/WA/PDU2153_cs.png","PDU2153_A4")</f>
        <v>PDU2153_A4</v>
      </c>
      <c r="B422" t="str">
        <f>HYPERLINK("http://www.corstruth.com.au/WA/PNG2/PDU2153_cs.png","PDU2153_0.25m Bins")</f>
        <v>PDU2153_0.25m Bins</v>
      </c>
      <c r="C422" t="str">
        <f>HYPERLINK("http://www.corstruth.com.au/WA/CSV/PDU2153.csv","PDU2153_CSV File 1m Bins")</f>
        <v>PDU2153_CSV File 1m Bins</v>
      </c>
      <c r="E422" t="s">
        <v>1</v>
      </c>
      <c r="G422" t="s">
        <v>540</v>
      </c>
      <c r="H422" t="s">
        <v>560</v>
      </c>
      <c r="I422">
        <v>-22.568999999999999</v>
      </c>
      <c r="J422">
        <v>116.238</v>
      </c>
      <c r="K422" t="str">
        <f>HYPERLINK("http://geossdi.dmp.wa.gov.au/NVCLDataServices/mosaic.html?datasetid=759fb772-601b-4da1-bb74-6612d985355","PDU2153_Core Image")</f>
        <v>PDU2153_Core Image</v>
      </c>
    </row>
    <row r="423" spans="1:11" x14ac:dyDescent="0.25">
      <c r="A423" t="str">
        <f>HYPERLINK("http://www.corstruth.com.au/WA/PDU2217_cs.png","PDU2217_A4")</f>
        <v>PDU2217_A4</v>
      </c>
      <c r="B423" t="str">
        <f>HYPERLINK("http://www.corstruth.com.au/WA/PNG2/PDU2217_cs.png","PDU2217_0.25m Bins")</f>
        <v>PDU2217_0.25m Bins</v>
      </c>
      <c r="C423" t="str">
        <f>HYPERLINK("http://www.corstruth.com.au/WA/CSV/PDU2217.csv","PDU2217_CSV File 1m Bins")</f>
        <v>PDU2217_CSV File 1m Bins</v>
      </c>
      <c r="D423" t="s">
        <v>561</v>
      </c>
      <c r="E423" t="s">
        <v>1</v>
      </c>
      <c r="G423" t="s">
        <v>540</v>
      </c>
      <c r="H423" t="s">
        <v>560</v>
      </c>
      <c r="I423">
        <v>-21.496700000000001</v>
      </c>
      <c r="J423">
        <v>116.62</v>
      </c>
      <c r="K423" t="str">
        <f>HYPERLINK("http://geossdi.dmp.wa.gov.au/NVCLDataServices/mosaic.html?datasetid=be759fb8-b9b3-4d87-aa9c-5792c349856","PDU2217_Core Image")</f>
        <v>PDU2217_Core Image</v>
      </c>
    </row>
    <row r="424" spans="1:11" x14ac:dyDescent="0.25">
      <c r="A424" t="str">
        <f>HYPERLINK("http://www.corstruth.com.au/WA/PDU3000_cs.png","PDU3000_A4")</f>
        <v>PDU3000_A4</v>
      </c>
      <c r="B424" t="str">
        <f>HYPERLINK("http://www.corstruth.com.au/WA/PNG2/PDU3000_cs.png","PDU3000_0.25m Bins")</f>
        <v>PDU3000_0.25m Bins</v>
      </c>
      <c r="C424" t="str">
        <f>HYPERLINK("http://www.corstruth.com.au/WA/CSV/PDU3000.csv","PDU3000_CSV File 1m Bins")</f>
        <v>PDU3000_CSV File 1m Bins</v>
      </c>
      <c r="D424" t="s">
        <v>562</v>
      </c>
      <c r="E424" t="s">
        <v>1</v>
      </c>
      <c r="G424" t="s">
        <v>540</v>
      </c>
      <c r="H424" t="s">
        <v>560</v>
      </c>
      <c r="I424">
        <v>-22.568999999999999</v>
      </c>
      <c r="J424">
        <v>116.238</v>
      </c>
      <c r="K424" t="str">
        <f>HYPERLINK("http://geossdi.dmp.wa.gov.au/NVCLDataServices/mosaic.html?datasetid=575396f5-b18b-401c-a38a-c600ab62110","PDU3000_Core Image")</f>
        <v>PDU3000_Core Image</v>
      </c>
    </row>
    <row r="425" spans="1:11" x14ac:dyDescent="0.25">
      <c r="A425" t="str">
        <f>HYPERLINK("http://www.corstruth.com.au/WA/PDU3001_cs.png","PDU3001_A4")</f>
        <v>PDU3001_A4</v>
      </c>
      <c r="B425" t="str">
        <f>HYPERLINK("http://www.corstruth.com.au/WA/PNG2/PDU3001_cs.png","PDU3001_0.25m Bins")</f>
        <v>PDU3001_0.25m Bins</v>
      </c>
      <c r="C425" t="str">
        <f>HYPERLINK("http://www.corstruth.com.au/WA/CSV/PDU3001.csv","PDU3001_CSV File 1m Bins")</f>
        <v>PDU3001_CSV File 1m Bins</v>
      </c>
      <c r="D425" t="s">
        <v>563</v>
      </c>
      <c r="E425" t="s">
        <v>1</v>
      </c>
      <c r="G425" t="s">
        <v>540</v>
      </c>
      <c r="H425" t="s">
        <v>560</v>
      </c>
      <c r="I425">
        <v>-22.568999999999999</v>
      </c>
      <c r="J425">
        <v>116.238</v>
      </c>
      <c r="K425" t="str">
        <f>HYPERLINK("http://geossdi.dmp.wa.gov.au/NVCLDataServices/mosaic.html?datasetid=9fd24953-db6c-4a0a-a567-df72d43cf12","PDU3001_Core Image")</f>
        <v>PDU3001_Core Image</v>
      </c>
    </row>
    <row r="426" spans="1:11" x14ac:dyDescent="0.25">
      <c r="A426" t="str">
        <f>HYPERLINK("http://www.corstruth.com.au/WA/PDU3002_cs.png","PDU3002_A4")</f>
        <v>PDU3002_A4</v>
      </c>
      <c r="B426" t="str">
        <f>HYPERLINK("http://www.corstruth.com.au/WA/PNG2/PDU3002_cs.png","PDU3002_0.25m Bins")</f>
        <v>PDU3002_0.25m Bins</v>
      </c>
      <c r="C426" t="str">
        <f>HYPERLINK("http://www.corstruth.com.au/WA/CSV/PDU3002.csv","PDU3002_CSV File 1m Bins")</f>
        <v>PDU3002_CSV File 1m Bins</v>
      </c>
      <c r="D426" t="s">
        <v>564</v>
      </c>
      <c r="E426" t="s">
        <v>1</v>
      </c>
      <c r="G426" t="s">
        <v>540</v>
      </c>
      <c r="H426" t="s">
        <v>560</v>
      </c>
      <c r="I426">
        <v>-22.568999999999999</v>
      </c>
      <c r="J426">
        <v>116.238</v>
      </c>
      <c r="K426" t="str">
        <f>HYPERLINK("http://geossdi.dmp.wa.gov.au/NVCLDataServices/mosaic.html?datasetid=bf554f8f-b191-4c89-960c-367f7167f76","PDU3002_Core Image")</f>
        <v>PDU3002_Core Image</v>
      </c>
    </row>
    <row r="427" spans="1:11" x14ac:dyDescent="0.25">
      <c r="A427" t="str">
        <f>HYPERLINK("http://www.corstruth.com.au/WA/PDU3003_cs.png","PDU3003_A4")</f>
        <v>PDU3003_A4</v>
      </c>
      <c r="B427" t="str">
        <f>HYPERLINK("http://www.corstruth.com.au/WA/PNG2/PDU3003_cs.png","PDU3003_0.25m Bins")</f>
        <v>PDU3003_0.25m Bins</v>
      </c>
      <c r="C427" t="str">
        <f>HYPERLINK("http://www.corstruth.com.au/WA/CSV/PDU3003.csv","PDU3003_CSV File 1m Bins")</f>
        <v>PDU3003_CSV File 1m Bins</v>
      </c>
      <c r="D427" t="s">
        <v>565</v>
      </c>
      <c r="E427" t="s">
        <v>1</v>
      </c>
      <c r="G427" t="s">
        <v>540</v>
      </c>
      <c r="H427" t="s">
        <v>560</v>
      </c>
      <c r="I427">
        <v>-22.568999999999999</v>
      </c>
      <c r="J427">
        <v>116.238</v>
      </c>
      <c r="K427" t="str">
        <f>HYPERLINK("http://geossdi.dmp.wa.gov.au/NVCLDataServices/mosaic.html?datasetid=cefea81b-b6af-43ea-b99e-38e75d74342","PDU3003_Core Image")</f>
        <v>PDU3003_Core Image</v>
      </c>
    </row>
    <row r="428" spans="1:11" x14ac:dyDescent="0.25">
      <c r="A428" t="str">
        <f>HYPERLINK("http://www.corstruth.com.au/WA/PLDD015W1_cs.png","PLDD015W1_A4")</f>
        <v>PLDD015W1_A4</v>
      </c>
      <c r="B428" t="str">
        <f>HYPERLINK("http://www.corstruth.com.au/WA/PNG2/PLDD015W1_cs.png","PLDD015W1_0.25m Bins")</f>
        <v>PLDD015W1_0.25m Bins</v>
      </c>
      <c r="C428" t="str">
        <f>HYPERLINK("http://www.corstruth.com.au/WA/CSV/PLDD015W1.csv","PLDD015W1_CSV File 1m Bins")</f>
        <v>PLDD015W1_CSV File 1m Bins</v>
      </c>
      <c r="D428" t="s">
        <v>59</v>
      </c>
      <c r="E428" t="s">
        <v>1</v>
      </c>
      <c r="G428" t="s">
        <v>540</v>
      </c>
      <c r="H428" t="s">
        <v>560</v>
      </c>
      <c r="I428">
        <v>-22.569700000000001</v>
      </c>
      <c r="J428">
        <v>116.241</v>
      </c>
      <c r="K428" t="str">
        <f>HYPERLINK("http://geossdi.dmp.wa.gov.au/NVCLDataServices/mosaic.html?datasetid=6f4274f9-cc5f-4a60-87e0-1b9dae545ed","PLDD015W1_Core Image")</f>
        <v>PLDD015W1_Core Image</v>
      </c>
    </row>
    <row r="429" spans="1:11" x14ac:dyDescent="0.25">
      <c r="A429" t="str">
        <f>HYPERLINK("http://www.corstruth.com.au/WA/PPDDD0001A1_cs.png","PPDDD0001A1_A4")</f>
        <v>PPDDD0001A1_A4</v>
      </c>
      <c r="B429" t="str">
        <f>HYPERLINK("http://www.corstruth.com.au/WA/PNG2/PPDDD0001A1_cs.png","PPDDD0001A1_0.25m Bins")</f>
        <v>PPDDD0001A1_0.25m Bins</v>
      </c>
      <c r="C429" t="str">
        <f>HYPERLINK("http://www.corstruth.com.au/WA/CSV/PPDDD0001A1.csv","PPDDD0001A1_CSV File 1m Bins")</f>
        <v>PPDDD0001A1_CSV File 1m Bins</v>
      </c>
      <c r="E429" t="s">
        <v>1</v>
      </c>
      <c r="G429" t="s">
        <v>540</v>
      </c>
      <c r="H429" t="s">
        <v>560</v>
      </c>
      <c r="I429">
        <v>-22.563700000000001</v>
      </c>
      <c r="J429">
        <v>116.235</v>
      </c>
      <c r="K429" t="str">
        <f>HYPERLINK("http://geossdi.dmp.wa.gov.au/NVCLDataServices/mosaic.html?datasetid=5a5a60cc-91a5-46ff-9cbb-6b3c3ad19e2","PPDDD0001A1_Core Image")</f>
        <v>PPDDD0001A1_Core Image</v>
      </c>
    </row>
    <row r="430" spans="1:11" x14ac:dyDescent="0.25">
      <c r="A430" t="str">
        <f>HYPERLINK("http://www.corstruth.com.au/WA/PPDDD0001B_cs.png","PPDDD0001B_A4")</f>
        <v>PPDDD0001B_A4</v>
      </c>
      <c r="B430" t="str">
        <f>HYPERLINK("http://www.corstruth.com.au/WA/PNG2/PPDDD0001B_cs.png","PPDDD0001B_0.25m Bins")</f>
        <v>PPDDD0001B_0.25m Bins</v>
      </c>
      <c r="C430" t="str">
        <f>HYPERLINK("http://www.corstruth.com.au/WA/CSV/PPDDD0001B.csv","PPDDD0001B_CSV File 1m Bins")</f>
        <v>PPDDD0001B_CSV File 1m Bins</v>
      </c>
      <c r="E430" t="s">
        <v>1</v>
      </c>
      <c r="G430" t="s">
        <v>540</v>
      </c>
      <c r="H430" t="s">
        <v>560</v>
      </c>
      <c r="I430">
        <v>-22.565100000000001</v>
      </c>
      <c r="J430">
        <v>116.236</v>
      </c>
      <c r="K430" t="str">
        <f>HYPERLINK("http://geossdi.dmp.wa.gov.au/NVCLDataServices/mosaic.html?datasetid=bba6139e-27c1-43ed-bda5-7f24a34a547","PPDDD0001B_Core Image")</f>
        <v>PPDDD0001B_Core Image</v>
      </c>
    </row>
    <row r="431" spans="1:11" x14ac:dyDescent="0.25">
      <c r="A431" t="str">
        <f>HYPERLINK("http://www.corstruth.com.au/WA/PPDDD0002A_cs.png","PPDDD0002A_A4")</f>
        <v>PPDDD0002A_A4</v>
      </c>
      <c r="B431" t="str">
        <f>HYPERLINK("http://www.corstruth.com.au/WA/PNG2/PPDDD0002A_cs.png","PPDDD0002A_0.25m Bins")</f>
        <v>PPDDD0002A_0.25m Bins</v>
      </c>
      <c r="C431" t="str">
        <f>HYPERLINK("http://www.corstruth.com.au/WA/CSV/PPDDD0002A.csv","PPDDD0002A_CSV File 1m Bins")</f>
        <v>PPDDD0002A_CSV File 1m Bins</v>
      </c>
      <c r="E431" t="s">
        <v>1</v>
      </c>
      <c r="G431" t="s">
        <v>540</v>
      </c>
      <c r="H431" t="s">
        <v>560</v>
      </c>
      <c r="I431">
        <v>-22.563700000000001</v>
      </c>
      <c r="J431">
        <v>116.235</v>
      </c>
      <c r="K431" t="str">
        <f>HYPERLINK("http://geossdi.dmp.wa.gov.au/NVCLDataServices/mosaic.html?datasetid=82f59ce0-dad1-4b09-91c0-6a63f799655","PPDDD0002A_Core Image")</f>
        <v>PPDDD0002A_Core Image</v>
      </c>
    </row>
    <row r="432" spans="1:11" x14ac:dyDescent="0.25">
      <c r="A432" t="str">
        <f>HYPERLINK("http://www.corstruth.com.au/WA/HD-1_cs.png","HD-1_A4")</f>
        <v>HD-1_A4</v>
      </c>
      <c r="B432" t="str">
        <f>HYPERLINK("http://www.corstruth.com.au/WA/PNG2/HD-1_cs.png","HD-1_0.25m Bins")</f>
        <v>HD-1_0.25m Bins</v>
      </c>
      <c r="C432" t="str">
        <f>HYPERLINK("http://www.corstruth.com.au/WA/CSV/HD-1.csv","HD-1_CSV File 1m Bins")</f>
        <v>HD-1_CSV File 1m Bins</v>
      </c>
      <c r="D432" t="s">
        <v>566</v>
      </c>
      <c r="E432" t="s">
        <v>1</v>
      </c>
      <c r="G432" t="s">
        <v>540</v>
      </c>
      <c r="H432" t="s">
        <v>567</v>
      </c>
      <c r="I432">
        <v>-23.994299999999999</v>
      </c>
      <c r="J432">
        <v>117.71</v>
      </c>
    </row>
    <row r="433" spans="1:11" x14ac:dyDescent="0.25">
      <c r="A433" t="str">
        <f>HYPERLINK("http://www.corstruth.com.au/WA/SHD001A_cs.png","SHD001A_A4")</f>
        <v>SHD001A_A4</v>
      </c>
      <c r="B433" t="str">
        <f>HYPERLINK("http://www.corstruth.com.au/WA/PNG2/SHD001A_cs.png","SHD001A_0.25m Bins")</f>
        <v>SHD001A_0.25m Bins</v>
      </c>
      <c r="C433" t="str">
        <f>HYPERLINK("http://www.corstruth.com.au/WA/CSV/SHD001A.csv","SHD001A_CSV File 1m Bins")</f>
        <v>SHD001A_CSV File 1m Bins</v>
      </c>
      <c r="D433" t="s">
        <v>568</v>
      </c>
      <c r="E433" t="s">
        <v>1</v>
      </c>
      <c r="G433" t="s">
        <v>540</v>
      </c>
      <c r="H433" t="s">
        <v>569</v>
      </c>
      <c r="I433">
        <v>-25.252800000000001</v>
      </c>
      <c r="J433">
        <v>118.517</v>
      </c>
      <c r="K433" t="str">
        <f>HYPERLINK("http://geossdi.dmp.wa.gov.au/NVCLDataServices/mosaic.html?datasetid=5f1bc8ce-7a25-46fd-9d1c-0fd4bba1078","SHD001A_Core Image")</f>
        <v>SHD001A_Core Image</v>
      </c>
    </row>
    <row r="434" spans="1:11" x14ac:dyDescent="0.25">
      <c r="A434" t="str">
        <f>HYPERLINK("http://www.corstruth.com.au/WA/MJGD002_cs.png","MJGD002_A4")</f>
        <v>MJGD002_A4</v>
      </c>
      <c r="B434" t="str">
        <f>HYPERLINK("http://www.corstruth.com.au/WA/PNG2/MJGD002_cs.png","MJGD002_0.25m Bins")</f>
        <v>MJGD002_0.25m Bins</v>
      </c>
      <c r="C434" t="str">
        <f>HYPERLINK("http://www.corstruth.com.au/WA/CSV/MJGD002.csv","MJGD002_CSV File 1m Bins")</f>
        <v>MJGD002_CSV File 1m Bins</v>
      </c>
      <c r="D434" t="s">
        <v>570</v>
      </c>
      <c r="E434" t="s">
        <v>1</v>
      </c>
      <c r="G434" t="s">
        <v>540</v>
      </c>
      <c r="H434" t="s">
        <v>571</v>
      </c>
      <c r="I434">
        <v>-24.692799999999998</v>
      </c>
      <c r="J434">
        <v>117.92</v>
      </c>
      <c r="K434" t="str">
        <f>HYPERLINK("http://geossdi.dmp.wa.gov.au/NVCLDataServices/mosaic.html?datasetid=a87c1f63-9dbd-429f-a82e-5f57e6c7f93","MJGD002_Core Image")</f>
        <v>MJGD002_Core Image</v>
      </c>
    </row>
    <row r="435" spans="1:11" x14ac:dyDescent="0.25">
      <c r="A435" t="str">
        <f>HYPERLINK("http://www.corstruth.com.au/WA/MJGD27_cs.png","MJGD27_A4")</f>
        <v>MJGD27_A4</v>
      </c>
      <c r="B435" t="str">
        <f>HYPERLINK("http://www.corstruth.com.au/WA/PNG2/MJGD27_cs.png","MJGD27_0.25m Bins")</f>
        <v>MJGD27_0.25m Bins</v>
      </c>
      <c r="C435" t="str">
        <f>HYPERLINK("http://www.corstruth.com.au/WA/CSV/MJGD27.csv","MJGD27_CSV File 1m Bins")</f>
        <v>MJGD27_CSV File 1m Bins</v>
      </c>
      <c r="D435" t="s">
        <v>572</v>
      </c>
      <c r="E435" t="s">
        <v>1</v>
      </c>
      <c r="G435" t="s">
        <v>540</v>
      </c>
      <c r="H435" t="s">
        <v>571</v>
      </c>
      <c r="I435">
        <v>-24.6783</v>
      </c>
      <c r="J435">
        <v>117.861</v>
      </c>
      <c r="K435" t="str">
        <f>HYPERLINK("http://geossdi.dmp.wa.gov.au/NVCLDataServices/mosaic.html?datasetid=225c1819-c4e2-45da-bfa7-7d29cc036e0","MJGD27_Core Image")</f>
        <v>MJGD27_Core Image</v>
      </c>
    </row>
    <row r="436" spans="1:11" x14ac:dyDescent="0.25">
      <c r="A436" t="str">
        <f>HYPERLINK("http://www.corstruth.com.au/WA/YNDD021_cs.png","YNDD021_A4")</f>
        <v>YNDD021_A4</v>
      </c>
      <c r="B436" t="str">
        <f>HYPERLINK("http://www.corstruth.com.au/WA/PNG2/YNDD021_cs.png","YNDD021_0.25m Bins")</f>
        <v>YNDD021_0.25m Bins</v>
      </c>
      <c r="C436" t="str">
        <f>HYPERLINK("http://www.corstruth.com.au/WA/CSV/YNDD021.csv","YNDD021_CSV File 1m Bins")</f>
        <v>YNDD021_CSV File 1m Bins</v>
      </c>
      <c r="D436" t="s">
        <v>573</v>
      </c>
      <c r="E436" t="s">
        <v>1</v>
      </c>
      <c r="G436" t="s">
        <v>574</v>
      </c>
      <c r="H436" t="s">
        <v>575</v>
      </c>
      <c r="I436">
        <v>-22.558499999999999</v>
      </c>
      <c r="J436">
        <v>115.04600000000001</v>
      </c>
      <c r="K436" t="str">
        <f>HYPERLINK("http://geossdi.dmp.wa.gov.au/NVCLDataServices/mosaic.html?datasetid=cfee5156-e6a1-4624-b5c4-52c2becc98d","YNDD021_Core Image")</f>
        <v>YNDD021_Core Image</v>
      </c>
    </row>
    <row r="437" spans="1:11" x14ac:dyDescent="0.25">
      <c r="A437" t="str">
        <f>HYPERLINK("http://www.corstruth.com.au/WA/Cody_1_cs.png","Cody 1_A4")</f>
        <v>Cody 1_A4</v>
      </c>
      <c r="D437" t="s">
        <v>576</v>
      </c>
      <c r="E437" t="s">
        <v>1</v>
      </c>
      <c r="G437" t="s">
        <v>574</v>
      </c>
      <c r="H437" t="s">
        <v>577</v>
      </c>
      <c r="I437">
        <v>-21.966799999999999</v>
      </c>
      <c r="J437">
        <v>114.297</v>
      </c>
      <c r="K437" t="str">
        <f>HYPERLINK("http://geossdi.dmp.wa.gov.au/NVCLDataServices/mosaic.html?datasetid=e965f1e6-1516-461d-98c5-f7361b93e0f","Cody 1_Core Image")</f>
        <v>Cody 1_Core Image</v>
      </c>
    </row>
    <row r="438" spans="1:11" x14ac:dyDescent="0.25">
      <c r="A438" t="str">
        <f>HYPERLINK("http://www.corstruth.com.au/WA/YNDD011_cs.png","YNDD011_A4")</f>
        <v>YNDD011_A4</v>
      </c>
      <c r="B438" t="str">
        <f>HYPERLINK("http://www.corstruth.com.au/WA/PNG2/YNDD011_cs.png","YNDD011_0.25m Bins")</f>
        <v>YNDD011_0.25m Bins</v>
      </c>
      <c r="C438" t="str">
        <f>HYPERLINK("http://www.corstruth.com.au/WA/CSV/YNDD011.csv","YNDD011_CSV File 1m Bins")</f>
        <v>YNDD011_CSV File 1m Bins</v>
      </c>
      <c r="D438" t="s">
        <v>578</v>
      </c>
      <c r="E438" t="s">
        <v>1</v>
      </c>
      <c r="G438" t="s">
        <v>574</v>
      </c>
      <c r="H438" t="s">
        <v>579</v>
      </c>
      <c r="I438">
        <v>-22.851400000000002</v>
      </c>
      <c r="J438">
        <v>115.039</v>
      </c>
      <c r="K438" t="str">
        <f>HYPERLINK("http://geossdi.dmp.wa.gov.au/NVCLDataServices/mosaic.html?datasetid=daa6bce8-186c-47fa-89f4-7aec1cf24d5","YNDD011_Core Image")</f>
        <v>YNDD011_Core Image</v>
      </c>
    </row>
    <row r="439" spans="1:11" x14ac:dyDescent="0.25">
      <c r="A439" t="str">
        <f>HYPERLINK("http://www.corstruth.com.au/WA/YNDD012_cs.png","YNDD012_A4")</f>
        <v>YNDD012_A4</v>
      </c>
      <c r="B439" t="str">
        <f>HYPERLINK("http://www.corstruth.com.au/WA/PNG2/YNDD012_cs.png","YNDD012_0.25m Bins")</f>
        <v>YNDD012_0.25m Bins</v>
      </c>
      <c r="C439" t="str">
        <f>HYPERLINK("http://www.corstruth.com.au/WA/CSV/YNDD012.csv","YNDD012_CSV File 1m Bins")</f>
        <v>YNDD012_CSV File 1m Bins</v>
      </c>
      <c r="D439" t="s">
        <v>580</v>
      </c>
      <c r="E439" t="s">
        <v>1</v>
      </c>
      <c r="G439" t="s">
        <v>574</v>
      </c>
      <c r="H439" t="s">
        <v>579</v>
      </c>
      <c r="I439">
        <v>-22.835899999999999</v>
      </c>
      <c r="J439">
        <v>115.041</v>
      </c>
      <c r="K439" t="str">
        <f>HYPERLINK("http://geossdi.dmp.wa.gov.au/NVCLDataServices/mosaic.html?datasetid=cbb435f8-a78b-419a-9aae-dcd54b58a0a","YNDD012_Core Image")</f>
        <v>YNDD012_Core Image</v>
      </c>
    </row>
    <row r="440" spans="1:11" x14ac:dyDescent="0.25">
      <c r="A440" t="str">
        <f>HYPERLINK("http://www.corstruth.com.au/WA/YNDD013_cs.png","YNDD013_A4")</f>
        <v>YNDD013_A4</v>
      </c>
      <c r="B440" t="str">
        <f>HYPERLINK("http://www.corstruth.com.au/WA/PNG2/YNDD013_cs.png","YNDD013_0.25m Bins")</f>
        <v>YNDD013_0.25m Bins</v>
      </c>
      <c r="C440" t="str">
        <f>HYPERLINK("http://www.corstruth.com.au/WA/CSV/YNDD013.csv","YNDD013_CSV File 1m Bins")</f>
        <v>YNDD013_CSV File 1m Bins</v>
      </c>
      <c r="D440" t="s">
        <v>581</v>
      </c>
      <c r="E440" t="s">
        <v>1</v>
      </c>
      <c r="G440" t="s">
        <v>574</v>
      </c>
      <c r="H440" t="s">
        <v>579</v>
      </c>
      <c r="I440">
        <v>-22.860800000000001</v>
      </c>
      <c r="J440">
        <v>115.041</v>
      </c>
      <c r="K440" t="str">
        <f>HYPERLINK("http://geossdi.dmp.wa.gov.au/NVCLDataServices/mosaic.html?datasetid=2f22b4fa-8c6f-4fd9-84d1-806d6ffca12","YNDD013_Core Image")</f>
        <v>YNDD013_Core Image</v>
      </c>
    </row>
    <row r="441" spans="1:11" x14ac:dyDescent="0.25">
      <c r="A441" t="str">
        <f>HYPERLINK("http://www.corstruth.com.au/WA/YNDD014_cs.png","YNDD014_A4")</f>
        <v>YNDD014_A4</v>
      </c>
      <c r="B441" t="str">
        <f>HYPERLINK("http://www.corstruth.com.au/WA/PNG2/YNDD014_cs.png","YNDD014_0.25m Bins")</f>
        <v>YNDD014_0.25m Bins</v>
      </c>
      <c r="C441" t="str">
        <f>HYPERLINK("http://www.corstruth.com.au/WA/CSV/YNDD014.csv","YNDD014_CSV File 1m Bins")</f>
        <v>YNDD014_CSV File 1m Bins</v>
      </c>
      <c r="D441" t="s">
        <v>582</v>
      </c>
      <c r="E441" t="s">
        <v>1</v>
      </c>
      <c r="G441" t="s">
        <v>574</v>
      </c>
      <c r="H441" t="s">
        <v>579</v>
      </c>
      <c r="I441">
        <v>-22.8659</v>
      </c>
      <c r="J441">
        <v>115.04</v>
      </c>
      <c r="K441" t="str">
        <f>HYPERLINK("http://geossdi.dmp.wa.gov.au/NVCLDataServices/mosaic.html?datasetid=fe067e4a-a158-48db-a858-48b7d91037a","YNDD014_Core Image")</f>
        <v>YNDD014_Core Image</v>
      </c>
    </row>
    <row r="442" spans="1:11" x14ac:dyDescent="0.25">
      <c r="A442" t="str">
        <f>HYPERLINK("http://www.corstruth.com.au/WA/Casuarinas_1_cuttings_cs.png","Casuarinas 1_cuttings_A4")</f>
        <v>Casuarinas 1_cuttings_A4</v>
      </c>
      <c r="B442" t="str">
        <f>HYPERLINK("http://www.corstruth.com.au/WA/PNG2/Casuarinas_1_cuttings_cs.png","Casuarinas 1_cuttings_0.25m Bins")</f>
        <v>Casuarinas 1_cuttings_0.25m Bins</v>
      </c>
      <c r="C442" t="str">
        <f>HYPERLINK("http://www.corstruth.com.au/WA/CSV/Casuarinas_1_cuttings.csv","Casuarinas 1_cuttings_CSV File 1m Bins")</f>
        <v>Casuarinas 1_cuttings_CSV File 1m Bins</v>
      </c>
      <c r="D442" t="s">
        <v>583</v>
      </c>
      <c r="E442" t="s">
        <v>1</v>
      </c>
      <c r="H442" t="s">
        <v>584</v>
      </c>
      <c r="I442">
        <v>-28.9254</v>
      </c>
      <c r="J442">
        <v>115.15300000000001</v>
      </c>
      <c r="K442" t="str">
        <f>HYPERLINK("http://geossdi.dmp.wa.gov.au/NVCLDataServices/mosaic.html?datasetid=69c0749c-f201-496d-b53f-9ca41f0a9f6","Casuarinas 1_cuttings_Core Image")</f>
        <v>Casuarinas 1_cuttings_Core Image</v>
      </c>
    </row>
    <row r="443" spans="1:11" x14ac:dyDescent="0.25">
      <c r="A443" t="str">
        <f>HYPERLINK("http://www.corstruth.com.au/WA/Central_Yardarino_1_cuttings_cs.png","Central Yardarino 1_cuttings_A4")</f>
        <v>Central Yardarino 1_cuttings_A4</v>
      </c>
      <c r="B443" t="str">
        <f>HYPERLINK("http://www.corstruth.com.au/WA/PNG2/Central_Yardarino_1_cuttings_cs.png","Central Yardarino 1_cuttings_0.25m Bins")</f>
        <v>Central Yardarino 1_cuttings_0.25m Bins</v>
      </c>
      <c r="C443" t="str">
        <f>HYPERLINK("http://www.corstruth.com.au/WA/CSV/Central_Yardarino_1_cuttings.csv","Central Yardarino 1_cuttings_CSV File 1m Bins")</f>
        <v>Central Yardarino 1_cuttings_CSV File 1m Bins</v>
      </c>
      <c r="D443" t="s">
        <v>585</v>
      </c>
      <c r="E443" t="s">
        <v>1</v>
      </c>
      <c r="H443" t="s">
        <v>586</v>
      </c>
      <c r="I443">
        <v>-29.199200000000001</v>
      </c>
      <c r="J443">
        <v>115.051</v>
      </c>
      <c r="K443" t="str">
        <f>HYPERLINK("http://geossdi.dmp.wa.gov.au/NVCLDataServices/mosaic.html?datasetid=7c2132c9-ce3c-4f35-acf0-c1533a4a53a","Central Yardarino 1_cuttings_Core Image")</f>
        <v>Central Yardarino 1_cuttings_Core Image</v>
      </c>
    </row>
    <row r="444" spans="1:11" x14ac:dyDescent="0.25">
      <c r="A444" t="str">
        <f>HYPERLINK("http://www.corstruth.com.au/WA/RDD01_cs.png","RDD01_A4")</f>
        <v>RDD01_A4</v>
      </c>
      <c r="B444" t="str">
        <f>HYPERLINK("http://www.corstruth.com.au/WA/PNG2/RDD01_cs.png","RDD01_0.25m Bins")</f>
        <v>RDD01_0.25m Bins</v>
      </c>
      <c r="C444" t="str">
        <f>HYPERLINK("http://www.corstruth.com.au/WA/CSV/RDD01.csv","RDD01_CSV File 1m Bins")</f>
        <v>RDD01_CSV File 1m Bins</v>
      </c>
      <c r="D444" t="s">
        <v>587</v>
      </c>
      <c r="E444" t="s">
        <v>1</v>
      </c>
      <c r="G444" t="s">
        <v>588</v>
      </c>
      <c r="H444" t="s">
        <v>589</v>
      </c>
      <c r="I444">
        <v>-22.292400000000001</v>
      </c>
      <c r="J444">
        <v>128.22399999999999</v>
      </c>
      <c r="K444" t="str">
        <f>HYPERLINK("http://geossdi.dmp.wa.gov.au/NVCLDataServices/mosaic.html?datasetid=1eaa9c2a-f438-4a27-ad3d-c0b133b99c4","RDD01_Core Image")</f>
        <v>RDD01_Core Image</v>
      </c>
    </row>
    <row r="445" spans="1:11" x14ac:dyDescent="0.25">
      <c r="A445" t="str">
        <f>HYPERLINK("http://www.corstruth.com.au/WA/Conder_1_cuttings_cs.png","Conder 1_cuttings_A4")</f>
        <v>Conder 1_cuttings_A4</v>
      </c>
      <c r="B445" t="str">
        <f>HYPERLINK("http://www.corstruth.com.au/WA/PNG2/Conder_1_cuttings_cs.png","Conder 1_cuttings_0.25m Bins")</f>
        <v>Conder 1_cuttings_0.25m Bins</v>
      </c>
      <c r="C445" t="str">
        <f>HYPERLINK("http://www.corstruth.com.au/WA/CSV/Conder_1_cuttings.csv","Conder 1_cuttings_CSV File 1m Bins")</f>
        <v>Conder 1_cuttings_CSV File 1m Bins</v>
      </c>
      <c r="D445" t="s">
        <v>590</v>
      </c>
      <c r="E445" t="s">
        <v>1</v>
      </c>
      <c r="H445" t="s">
        <v>591</v>
      </c>
      <c r="I445">
        <v>-29.044</v>
      </c>
      <c r="J445">
        <v>114.92400000000001</v>
      </c>
      <c r="K445" t="str">
        <f>HYPERLINK("http://geossdi.dmp.wa.gov.au/NVCLDataServices/mosaic.html?datasetid=eda7aee3-9ee6-4b39-937f-8fea1a299f2","Conder 1_cuttings_Core Image")</f>
        <v>Conder 1_cuttings_Core Image</v>
      </c>
    </row>
    <row r="446" spans="1:11" x14ac:dyDescent="0.25">
      <c r="A446" t="str">
        <f>HYPERLINK("http://www.corstruth.com.au/WA/Connolly_1_cuttings_cs.png","Connolly 1_cuttings_A4")</f>
        <v>Connolly 1_cuttings_A4</v>
      </c>
      <c r="B446" t="str">
        <f>HYPERLINK("http://www.corstruth.com.au/WA/PNG2/Connolly_1_cuttings_cs.png","Connolly 1_cuttings_0.25m Bins")</f>
        <v>Connolly 1_cuttings_0.25m Bins</v>
      </c>
      <c r="C446" t="str">
        <f>HYPERLINK("http://www.corstruth.com.au/WA/CSV/Connolly_1_cuttings.csv","Connolly 1_cuttings_CSV File 1m Bins")</f>
        <v>Connolly 1_cuttings_CSV File 1m Bins</v>
      </c>
      <c r="D446" t="s">
        <v>592</v>
      </c>
      <c r="E446" t="s">
        <v>1</v>
      </c>
      <c r="H446" t="s">
        <v>593</v>
      </c>
      <c r="I446">
        <v>-29.0365</v>
      </c>
      <c r="J446">
        <v>114.953</v>
      </c>
      <c r="K446" t="str">
        <f>HYPERLINK("http://geossdi.dmp.wa.gov.au/NVCLDataServices/mosaic.html?datasetid=ed6dc396-2630-424c-913f-51e1679c340","Connolly 1_cuttings_Core Image")</f>
        <v>Connolly 1_cuttings_Core Image</v>
      </c>
    </row>
    <row r="447" spans="1:11" x14ac:dyDescent="0.25">
      <c r="A447" t="str">
        <f>HYPERLINK("http://www.corstruth.com.au/WA/Corybas_1_cuttings_cs.png","Corybas 1_cuttings_A4")</f>
        <v>Corybas 1_cuttings_A4</v>
      </c>
      <c r="B447" t="str">
        <f>HYPERLINK("http://www.corstruth.com.au/WA/PNG2/Corybas_1_cuttings_cs.png","Corybas 1_cuttings_0.25m Bins")</f>
        <v>Corybas 1_cuttings_0.25m Bins</v>
      </c>
      <c r="C447" t="str">
        <f>HYPERLINK("http://www.corstruth.com.au/WA/CSV/Corybas_1_cuttings.csv","Corybas 1_cuttings_CSV File 1m Bins")</f>
        <v>Corybas 1_cuttings_CSV File 1m Bins</v>
      </c>
      <c r="D447" t="s">
        <v>594</v>
      </c>
      <c r="E447" t="s">
        <v>1</v>
      </c>
      <c r="H447" t="s">
        <v>595</v>
      </c>
      <c r="I447">
        <v>-29.200600000000001</v>
      </c>
      <c r="J447">
        <v>115.053</v>
      </c>
      <c r="K447" t="str">
        <f>HYPERLINK("http://geossdi.dmp.wa.gov.au/NVCLDataServices/mosaic.html?datasetid=21d03b64-1247-4521-87d0-6378a098570","Corybas 1_cuttings_Core Image")</f>
        <v>Corybas 1_cuttings_Core Image</v>
      </c>
    </row>
    <row r="448" spans="1:11" x14ac:dyDescent="0.25">
      <c r="A448" t="str">
        <f>HYPERLINK("http://www.corstruth.com.au/WA/Denison_1_cuttings_cs.png","Denison 1_cuttings_A4")</f>
        <v>Denison 1_cuttings_A4</v>
      </c>
      <c r="B448" t="str">
        <f>HYPERLINK("http://www.corstruth.com.au/WA/PNG2/Denison_1_cuttings_cs.png","Denison 1_cuttings_0.25m Bins")</f>
        <v>Denison 1_cuttings_0.25m Bins</v>
      </c>
      <c r="C448" t="str">
        <f>HYPERLINK("http://www.corstruth.com.au/WA/CSV/Denison_1_cuttings.csv","Denison 1_cuttings_CSV File 1m Bins")</f>
        <v>Denison 1_cuttings_CSV File 1m Bins</v>
      </c>
      <c r="D448" t="s">
        <v>596</v>
      </c>
      <c r="E448" t="s">
        <v>1</v>
      </c>
      <c r="H448" t="s">
        <v>597</v>
      </c>
      <c r="I448">
        <v>-29.224399999999999</v>
      </c>
      <c r="J448">
        <v>114.956</v>
      </c>
      <c r="K448" t="str">
        <f>HYPERLINK("http://geossdi.dmp.wa.gov.au/NVCLDataServices/mosaic.html?datasetid=48e6ddcd-2e2d-4654-a10c-021e5d53e38","Denison 1_cuttings_Core Image")</f>
        <v>Denison 1_cuttings_Core Image</v>
      </c>
    </row>
    <row r="449" spans="1:11" x14ac:dyDescent="0.25">
      <c r="A449" t="str">
        <f>HYPERLINK("http://www.corstruth.com.au/WA/Depot_Hill_1_cuttings_cs.png","Depot Hill 1_cuttings_A4")</f>
        <v>Depot Hill 1_cuttings_A4</v>
      </c>
      <c r="B449" t="str">
        <f>HYPERLINK("http://www.corstruth.com.au/WA/PNG2/Depot_Hill_1_cuttings_cs.png","Depot Hill 1_cuttings_0.25m Bins")</f>
        <v>Depot Hill 1_cuttings_0.25m Bins</v>
      </c>
      <c r="C449" t="str">
        <f>HYPERLINK("http://www.corstruth.com.au/WA/CSV/Depot_Hill_1_cuttings.csv","Depot Hill 1_cuttings_CSV File 1m Bins")</f>
        <v>Depot Hill 1_cuttings_CSV File 1m Bins</v>
      </c>
      <c r="D449" t="s">
        <v>598</v>
      </c>
      <c r="E449" t="s">
        <v>1</v>
      </c>
      <c r="H449" t="s">
        <v>599</v>
      </c>
      <c r="I449">
        <v>-29.1004</v>
      </c>
      <c r="J449">
        <v>115.32599999999999</v>
      </c>
      <c r="K449" t="str">
        <f>HYPERLINK("http://geossdi.dmp.wa.gov.au/NVCLDataServices/mosaic.html?datasetid=f5b43b4a-1ef3-4700-b09e-a3f354489ed","Depot Hill 1_cuttings_Core Image")</f>
        <v>Depot Hill 1_cuttings_Core Image</v>
      </c>
    </row>
    <row r="450" spans="1:11" x14ac:dyDescent="0.25">
      <c r="A450" t="str">
        <f>HYPERLINK("http://www.corstruth.com.au/WA/Depot_Hill_1_cuttings2_cs.png","Depot Hill 1_cuttings2_A4")</f>
        <v>Depot Hill 1_cuttings2_A4</v>
      </c>
      <c r="B450" t="str">
        <f>HYPERLINK("http://www.corstruth.com.au/WA/PNG2/Depot_Hill_1_cuttings2_cs.png","Depot Hill 1_cuttings2_0.25m Bins")</f>
        <v>Depot Hill 1_cuttings2_0.25m Bins</v>
      </c>
      <c r="C450" t="str">
        <f>HYPERLINK("http://www.corstruth.com.au/WA/CSV/Depot_Hill_1_cuttings2.csv","Depot Hill 1_cuttings2_CSV File 1m Bins")</f>
        <v>Depot Hill 1_cuttings2_CSV File 1m Bins</v>
      </c>
      <c r="D450" t="s">
        <v>598</v>
      </c>
      <c r="E450" t="s">
        <v>1</v>
      </c>
      <c r="H450" t="s">
        <v>599</v>
      </c>
      <c r="I450">
        <v>-29.1004</v>
      </c>
      <c r="J450">
        <v>115.32599999999999</v>
      </c>
      <c r="K450" t="str">
        <f>HYPERLINK("http://geossdi.dmp.wa.gov.au/NVCLDataServices/mosaic.html?datasetid=c23ec1ac-aec6-4fcd-b392-eb977a79ed2","Depot Hill 1_cuttings2_Core Image")</f>
        <v>Depot Hill 1_cuttings2_Core Image</v>
      </c>
    </row>
    <row r="451" spans="1:11" x14ac:dyDescent="0.25">
      <c r="A451" t="str">
        <f>HYPERLINK("http://www.corstruth.com.au/WA/Dongara_04_cuttings_cs.png","Dongara 04_cuttings_A4")</f>
        <v>Dongara 04_cuttings_A4</v>
      </c>
      <c r="B451" t="str">
        <f>HYPERLINK("http://www.corstruth.com.au/WA/PNG2/Dongara_04_cuttings_cs.png","Dongara 04_cuttings_0.25m Bins")</f>
        <v>Dongara 04_cuttings_0.25m Bins</v>
      </c>
      <c r="C451" t="str">
        <f>HYPERLINK("http://www.corstruth.com.au/WA/CSV/Dongara_04_cuttings.csv","Dongara 04_cuttings_CSV File 1m Bins")</f>
        <v>Dongara 04_cuttings_CSV File 1m Bins</v>
      </c>
      <c r="D451" t="s">
        <v>600</v>
      </c>
      <c r="E451" t="s">
        <v>1</v>
      </c>
      <c r="H451" t="s">
        <v>601</v>
      </c>
      <c r="I451">
        <v>-29.229500000000002</v>
      </c>
      <c r="J451">
        <v>114.983</v>
      </c>
      <c r="K451" t="str">
        <f>HYPERLINK("http://geossdi.dmp.wa.gov.au/NVCLDataServices/mosaic.html?datasetid=d228306e-488f-4a27-a3e3-b57fb6caa74","Dongara 04_cuttings_Core Image")</f>
        <v>Dongara 04_cuttings_Core Image</v>
      </c>
    </row>
    <row r="452" spans="1:11" x14ac:dyDescent="0.25">
      <c r="A452" t="str">
        <f>HYPERLINK("http://www.corstruth.com.au/WA/Dongara_11_cuttings_cs.png","Dongara 11_cuttings_A4")</f>
        <v>Dongara 11_cuttings_A4</v>
      </c>
      <c r="B452" t="str">
        <f>HYPERLINK("http://www.corstruth.com.au/WA/PNG2/Dongara_11_cuttings_cs.png","Dongara 11_cuttings_0.25m Bins")</f>
        <v>Dongara 11_cuttings_0.25m Bins</v>
      </c>
      <c r="C452" t="str">
        <f>HYPERLINK("http://www.corstruth.com.au/WA/CSV/Dongara_11_cuttings.csv","Dongara 11_cuttings_CSV File 1m Bins")</f>
        <v>Dongara 11_cuttings_CSV File 1m Bins</v>
      </c>
      <c r="D452" t="s">
        <v>602</v>
      </c>
      <c r="E452" t="s">
        <v>1</v>
      </c>
      <c r="H452" t="s">
        <v>601</v>
      </c>
      <c r="I452">
        <v>-29.266400000000001</v>
      </c>
      <c r="J452">
        <v>115.01</v>
      </c>
      <c r="K452" t="str">
        <f>HYPERLINK("http://geossdi.dmp.wa.gov.au/NVCLDataServices/mosaic.html?datasetid=8d46fd1a-c04a-4c53-b413-75ba5324113","Dongara 11_cuttings_Core Image")</f>
        <v>Dongara 11_cuttings_Core Image</v>
      </c>
    </row>
    <row r="453" spans="1:11" x14ac:dyDescent="0.25">
      <c r="A453" t="str">
        <f>HYPERLINK("http://www.corstruth.com.au/WA/Dongara_12_cuttings_cs.png","Dongara 12_cuttings_A4")</f>
        <v>Dongara 12_cuttings_A4</v>
      </c>
      <c r="B453" t="str">
        <f>HYPERLINK("http://www.corstruth.com.au/WA/PNG2/Dongara_12_cuttings_cs.png","Dongara 12_cuttings_0.25m Bins")</f>
        <v>Dongara 12_cuttings_0.25m Bins</v>
      </c>
      <c r="C453" t="str">
        <f>HYPERLINK("http://www.corstruth.com.au/WA/CSV/Dongara_12_cuttings.csv","Dongara 12_cuttings_CSV File 1m Bins")</f>
        <v>Dongara 12_cuttings_CSV File 1m Bins</v>
      </c>
      <c r="D453" t="s">
        <v>603</v>
      </c>
      <c r="E453" t="s">
        <v>1</v>
      </c>
      <c r="H453" t="s">
        <v>601</v>
      </c>
      <c r="I453">
        <v>-29.238099999999999</v>
      </c>
      <c r="J453">
        <v>115.023</v>
      </c>
      <c r="K453" t="str">
        <f>HYPERLINK("http://geossdi.dmp.wa.gov.au/NVCLDataServices/mosaic.html?datasetid=b38ca06e-7bec-47e4-a427-1ecb1bddb39","Dongara 12_cuttings_Core Image")</f>
        <v>Dongara 12_cuttings_Core Image</v>
      </c>
    </row>
    <row r="454" spans="1:11" x14ac:dyDescent="0.25">
      <c r="A454" t="str">
        <f>HYPERLINK("http://www.corstruth.com.au/WA/Dongara_23_cuttings_cs.png","Dongara 23_cuttings_A4")</f>
        <v>Dongara 23_cuttings_A4</v>
      </c>
      <c r="B454" t="str">
        <f>HYPERLINK("http://www.corstruth.com.au/WA/PNG2/Dongara_23_cuttings_cs.png","Dongara 23_cuttings_0.25m Bins")</f>
        <v>Dongara 23_cuttings_0.25m Bins</v>
      </c>
      <c r="C454" t="str">
        <f>HYPERLINK("http://www.corstruth.com.au/WA/CSV/Dongara_23_cuttings.csv","Dongara 23_cuttings_CSV File 1m Bins")</f>
        <v>Dongara 23_cuttings_CSV File 1m Bins</v>
      </c>
      <c r="D454" t="s">
        <v>604</v>
      </c>
      <c r="E454" t="s">
        <v>1</v>
      </c>
      <c r="H454" t="s">
        <v>601</v>
      </c>
      <c r="I454">
        <v>-29.260999999999999</v>
      </c>
      <c r="J454">
        <v>115.00700000000001</v>
      </c>
      <c r="K454" t="str">
        <f>HYPERLINK("http://geossdi.dmp.wa.gov.au/NVCLDataServices/mosaic.html?datasetid=e2670e94-41a4-4b71-b498-d573e7fbd19","Dongara 23_cuttings_Core Image")</f>
        <v>Dongara 23_cuttings_Core Image</v>
      </c>
    </row>
    <row r="455" spans="1:11" x14ac:dyDescent="0.25">
      <c r="A455" t="str">
        <f>HYPERLINK("http://www.corstruth.com.au/WA/Dongara_24_cuttings_cs.png","Dongara 24_cuttings_A4")</f>
        <v>Dongara 24_cuttings_A4</v>
      </c>
      <c r="B455" t="str">
        <f>HYPERLINK("http://www.corstruth.com.au/WA/PNG2/Dongara_24_cuttings_cs.png","Dongara 24_cuttings_0.25m Bins")</f>
        <v>Dongara 24_cuttings_0.25m Bins</v>
      </c>
      <c r="C455" t="str">
        <f>HYPERLINK("http://www.corstruth.com.au/WA/CSV/Dongara_24_cuttings.csv","Dongara 24_cuttings_CSV File 1m Bins")</f>
        <v>Dongara 24_cuttings_CSV File 1m Bins</v>
      </c>
      <c r="D455" t="s">
        <v>605</v>
      </c>
      <c r="E455" t="s">
        <v>1</v>
      </c>
      <c r="H455" t="s">
        <v>601</v>
      </c>
      <c r="I455">
        <v>-29.236000000000001</v>
      </c>
      <c r="J455">
        <v>115.018</v>
      </c>
      <c r="K455" t="str">
        <f>HYPERLINK("http://geossdi.dmp.wa.gov.au/NVCLDataServices/mosaic.html?datasetid=6714d8ad-60ba-4e75-9c69-6711160fc06","Dongara 24_cuttings_Core Image")</f>
        <v>Dongara 24_cuttings_Core Image</v>
      </c>
    </row>
    <row r="456" spans="1:11" x14ac:dyDescent="0.25">
      <c r="A456" t="str">
        <f>HYPERLINK("http://www.corstruth.com.au/WA/Dongara_25_cuttings_cs.png","Dongara 25_cuttings_A4")</f>
        <v>Dongara 25_cuttings_A4</v>
      </c>
      <c r="B456" t="str">
        <f>HYPERLINK("http://www.corstruth.com.au/WA/PNG2/Dongara_25_cuttings_cs.png","Dongara 25_cuttings_0.25m Bins")</f>
        <v>Dongara 25_cuttings_0.25m Bins</v>
      </c>
      <c r="C456" t="str">
        <f>HYPERLINK("http://www.corstruth.com.au/WA/CSV/Dongara_25_cuttings.csv","Dongara 25_cuttings_CSV File 1m Bins")</f>
        <v>Dongara 25_cuttings_CSV File 1m Bins</v>
      </c>
      <c r="D456" t="s">
        <v>606</v>
      </c>
      <c r="E456" t="s">
        <v>1</v>
      </c>
      <c r="H456" t="s">
        <v>601</v>
      </c>
      <c r="I456">
        <v>-29.241700000000002</v>
      </c>
      <c r="J456">
        <v>115.026</v>
      </c>
      <c r="K456" t="str">
        <f>HYPERLINK("http://geossdi.dmp.wa.gov.au/NVCLDataServices/mosaic.html?datasetid=c280bcbc-ed28-4b16-bcf1-a60f14b6483","Dongara 25_cuttings_Core Image")</f>
        <v>Dongara 25_cuttings_Core Image</v>
      </c>
    </row>
    <row r="457" spans="1:11" x14ac:dyDescent="0.25">
      <c r="A457" t="str">
        <f>HYPERLINK("http://www.corstruth.com.au/WA/Dongara_27_cuttings_cs.png","Dongara 27_cuttings_A4")</f>
        <v>Dongara 27_cuttings_A4</v>
      </c>
      <c r="B457" t="str">
        <f>HYPERLINK("http://www.corstruth.com.au/WA/PNG2/Dongara_27_cuttings_cs.png","Dongara 27_cuttings_0.25m Bins")</f>
        <v>Dongara 27_cuttings_0.25m Bins</v>
      </c>
      <c r="C457" t="str">
        <f>HYPERLINK("http://www.corstruth.com.au/WA/CSV/Dongara_27_cuttings.csv","Dongara 27_cuttings_CSV File 1m Bins")</f>
        <v>Dongara 27_cuttings_CSV File 1m Bins</v>
      </c>
      <c r="D457" t="s">
        <v>607</v>
      </c>
      <c r="E457" t="s">
        <v>1</v>
      </c>
      <c r="H457" t="s">
        <v>601</v>
      </c>
      <c r="I457">
        <v>-29.200500000000002</v>
      </c>
      <c r="J457">
        <v>115.023</v>
      </c>
      <c r="K457" t="str">
        <f>HYPERLINK("http://geossdi.dmp.wa.gov.au/NVCLDataServices/mosaic.html?datasetid=f8070dd4-be2f-445d-9b26-f7576ab9476","Dongara 27_cuttings_Core Image")</f>
        <v>Dongara 27_cuttings_Core Image</v>
      </c>
    </row>
    <row r="458" spans="1:11" x14ac:dyDescent="0.25">
      <c r="A458" t="str">
        <f>HYPERLINK("http://www.corstruth.com.au/WA/Drakea_1_cuttings_cs.png","Drakea 1_cuttings_A4")</f>
        <v>Drakea 1_cuttings_A4</v>
      </c>
      <c r="B458" t="str">
        <f>HYPERLINK("http://www.corstruth.com.au/WA/PNG2/Drakea_1_cuttings_cs.png","Drakea 1_cuttings_0.25m Bins")</f>
        <v>Drakea 1_cuttings_0.25m Bins</v>
      </c>
      <c r="C458" t="str">
        <f>HYPERLINK("http://www.corstruth.com.au/WA/CSV/Drakea_1_cuttings.csv","Drakea 1_cuttings_CSV File 1m Bins")</f>
        <v>Drakea 1_cuttings_CSV File 1m Bins</v>
      </c>
      <c r="D458" t="s">
        <v>608</v>
      </c>
      <c r="E458" t="s">
        <v>1</v>
      </c>
      <c r="H458" t="s">
        <v>609</v>
      </c>
      <c r="I458">
        <v>-29.402999999999999</v>
      </c>
      <c r="J458">
        <v>115.06100000000001</v>
      </c>
      <c r="K458" t="str">
        <f>HYPERLINK("http://geossdi.dmp.wa.gov.au/NVCLDataServices/mosaic.html?datasetid=5a04732f-6b22-430f-888f-32d2a6a52dd","Drakea 1_cuttings_Core Image")</f>
        <v>Drakea 1_cuttings_Core Image</v>
      </c>
    </row>
    <row r="459" spans="1:11" x14ac:dyDescent="0.25">
      <c r="A459" t="str">
        <f>HYPERLINK("http://www.corstruth.com.au/WA/EDH003_cs.png","EDH003_A4")</f>
        <v>EDH003_A4</v>
      </c>
      <c r="B459" t="str">
        <f>HYPERLINK("http://www.corstruth.com.au/WA/PNG2/EDH003_cs.png","EDH003_0.25m Bins")</f>
        <v>EDH003_0.25m Bins</v>
      </c>
      <c r="C459" t="str">
        <f>HYPERLINK("http://www.corstruth.com.au/WA/CSV/EDH003.csv","EDH003_CSV File 1m Bins")</f>
        <v>EDH003_CSV File 1m Bins</v>
      </c>
      <c r="D459" t="s">
        <v>610</v>
      </c>
      <c r="E459" t="s">
        <v>1</v>
      </c>
      <c r="G459" t="s">
        <v>611</v>
      </c>
      <c r="H459" t="s">
        <v>612</v>
      </c>
      <c r="I459">
        <v>-25.675999999999998</v>
      </c>
      <c r="J459">
        <v>120.657</v>
      </c>
      <c r="K459" t="str">
        <f>HYPERLINK("http://geossdi.dmp.wa.gov.au/NVCLDataServices/mosaic.html?datasetid=6d6c7493-ad7e-4872-a80d-b563772971c","EDH003_Core Image")</f>
        <v>EDH003_Core Image</v>
      </c>
    </row>
    <row r="460" spans="1:11" x14ac:dyDescent="0.25">
      <c r="A460" t="str">
        <f>HYPERLINK("http://www.corstruth.com.au/WA/EDH001_cs.png","EDH001_A4")</f>
        <v>EDH001_A4</v>
      </c>
      <c r="B460" t="str">
        <f>HYPERLINK("http://www.corstruth.com.au/WA/PNG2/EDH001_cs.png","EDH001_0.25m Bins")</f>
        <v>EDH001_0.25m Bins</v>
      </c>
      <c r="C460" t="str">
        <f>HYPERLINK("http://www.corstruth.com.au/WA/CSV/EDH001.csv","EDH001_CSV File 1m Bins")</f>
        <v>EDH001_CSV File 1m Bins</v>
      </c>
      <c r="D460" t="s">
        <v>613</v>
      </c>
      <c r="E460" t="s">
        <v>1</v>
      </c>
      <c r="G460" t="s">
        <v>611</v>
      </c>
      <c r="H460" t="s">
        <v>614</v>
      </c>
      <c r="I460">
        <v>-25.643699999999999</v>
      </c>
      <c r="J460">
        <v>120.624</v>
      </c>
      <c r="K460" t="str">
        <f>HYPERLINK("http://geossdi.dmp.wa.gov.au/NVCLDataServices/mosaic.html?datasetid=c47c4d78-8e05-41ea-8d27-d3d93938af4","EDH001_Core Image")</f>
        <v>EDH001_Core Image</v>
      </c>
    </row>
    <row r="461" spans="1:11" x14ac:dyDescent="0.25">
      <c r="A461" t="str">
        <f>HYPERLINK("http://www.corstruth.com.au/WA/EDH002A_cs.png","EDH002A_A4")</f>
        <v>EDH002A_A4</v>
      </c>
      <c r="B461" t="str">
        <f>HYPERLINK("http://www.corstruth.com.au/WA/PNG2/EDH002A_cs.png","EDH002A_0.25m Bins")</f>
        <v>EDH002A_0.25m Bins</v>
      </c>
      <c r="C461" t="str">
        <f>HYPERLINK("http://www.corstruth.com.au/WA/CSV/EDH002A.csv","EDH002A_CSV File 1m Bins")</f>
        <v>EDH002A_CSV File 1m Bins</v>
      </c>
      <c r="D461" t="s">
        <v>615</v>
      </c>
      <c r="E461" t="s">
        <v>1</v>
      </c>
      <c r="G461" t="s">
        <v>611</v>
      </c>
      <c r="H461" t="s">
        <v>614</v>
      </c>
      <c r="I461">
        <v>-25.658100000000001</v>
      </c>
      <c r="J461">
        <v>120.65</v>
      </c>
      <c r="K461" t="str">
        <f>HYPERLINK("http://geossdi.dmp.wa.gov.au/NVCLDataServices/mosaic.html?datasetid=44142874-bbfb-41dd-8bac-bc29f8ddc02","EDH002A_Core Image")</f>
        <v>EDH002A_Core Image</v>
      </c>
    </row>
    <row r="462" spans="1:11" x14ac:dyDescent="0.25">
      <c r="A462" t="str">
        <f>HYPERLINK("http://www.corstruth.com.au/WA/TDH1_cs.png","TDH1_A4")</f>
        <v>TDH1_A4</v>
      </c>
      <c r="B462" t="str">
        <f>HYPERLINK("http://www.corstruth.com.au/WA/PNG2/TDH1_cs.png","TDH1_0.25m Bins")</f>
        <v>TDH1_0.25m Bins</v>
      </c>
      <c r="C462" t="str">
        <f>HYPERLINK("http://www.corstruth.com.au/WA/CSV/TDH1.csv","TDH1_CSV File 1m Bins")</f>
        <v>TDH1_CSV File 1m Bins</v>
      </c>
      <c r="D462" t="s">
        <v>616</v>
      </c>
      <c r="E462" t="s">
        <v>1</v>
      </c>
      <c r="G462" t="s">
        <v>611</v>
      </c>
      <c r="H462" t="s">
        <v>617</v>
      </c>
      <c r="I462">
        <v>-25.683299999999999</v>
      </c>
      <c r="J462">
        <v>120.664</v>
      </c>
      <c r="K462" t="str">
        <f>HYPERLINK("http://geossdi.dmp.wa.gov.au/NVCLDataServices/mosaic.html?datasetid=b4afa85c-851a-4367-80f8-00195a2535f","TDH1_Core Image")</f>
        <v>TDH1_Core Image</v>
      </c>
    </row>
    <row r="463" spans="1:11" x14ac:dyDescent="0.25">
      <c r="A463" t="str">
        <f>HYPERLINK("http://www.corstruth.com.au/WA/TDH26_cs.png","TDH26_A4")</f>
        <v>TDH26_A4</v>
      </c>
      <c r="B463" t="str">
        <f>HYPERLINK("http://www.corstruth.com.au/WA/PNG2/TDH26_cs.png","TDH26_0.25m Bins")</f>
        <v>TDH26_0.25m Bins</v>
      </c>
      <c r="C463" t="str">
        <f>HYPERLINK("http://www.corstruth.com.au/WA/CSV/TDH26.csv","TDH26_CSV File 1m Bins")</f>
        <v>TDH26_CSV File 1m Bins</v>
      </c>
      <c r="D463" t="s">
        <v>618</v>
      </c>
      <c r="E463" t="s">
        <v>1</v>
      </c>
      <c r="G463" t="s">
        <v>611</v>
      </c>
      <c r="H463" t="s">
        <v>617</v>
      </c>
      <c r="I463">
        <v>-25.595800000000001</v>
      </c>
      <c r="J463">
        <v>120.577</v>
      </c>
      <c r="K463" t="str">
        <f>HYPERLINK("http://geossdi.dmp.wa.gov.au/NVCLDataServices/mosaic.html?datasetid=e80008af-90a8-4a89-b353-3976fa6a6ac","TDH26_Core Image")</f>
        <v>TDH26_Core Image</v>
      </c>
    </row>
    <row r="464" spans="1:11" x14ac:dyDescent="0.25">
      <c r="A464" t="str">
        <f>HYPERLINK("http://www.corstruth.com.au/WA/TDH30_cs.png","TDH30_A4")</f>
        <v>TDH30_A4</v>
      </c>
      <c r="B464" t="str">
        <f>HYPERLINK("http://www.corstruth.com.au/WA/PNG2/TDH30_cs.png","TDH30_0.25m Bins")</f>
        <v>TDH30_0.25m Bins</v>
      </c>
      <c r="C464" t="str">
        <f>HYPERLINK("http://www.corstruth.com.au/WA/CSV/TDH30.csv","TDH30_CSV File 1m Bins")</f>
        <v>TDH30_CSV File 1m Bins</v>
      </c>
      <c r="D464" t="s">
        <v>619</v>
      </c>
      <c r="E464" t="s">
        <v>1</v>
      </c>
      <c r="G464" t="s">
        <v>611</v>
      </c>
      <c r="H464" t="s">
        <v>617</v>
      </c>
      <c r="I464">
        <v>-25.5761</v>
      </c>
      <c r="J464">
        <v>120.527</v>
      </c>
      <c r="K464" t="str">
        <f>HYPERLINK("http://geossdi.dmp.wa.gov.au/NVCLDataServices/mosaic.html?datasetid=18c1af47-042e-46fa-a553-24e33cbe253","TDH30_Core Image")</f>
        <v>TDH30_Core Image</v>
      </c>
    </row>
    <row r="465" spans="1:11" x14ac:dyDescent="0.25">
      <c r="A465" t="str">
        <f>HYPERLINK("http://www.corstruth.com.au/WA/TDH9_cs.png","TDH9_A4")</f>
        <v>TDH9_A4</v>
      </c>
      <c r="B465" t="str">
        <f>HYPERLINK("http://www.corstruth.com.au/WA/PNG2/TDH9_cs.png","TDH9_0.25m Bins")</f>
        <v>TDH9_0.25m Bins</v>
      </c>
      <c r="C465" t="str">
        <f>HYPERLINK("http://www.corstruth.com.au/WA/CSV/TDH9.csv","TDH9_CSV File 1m Bins")</f>
        <v>TDH9_CSV File 1m Bins</v>
      </c>
      <c r="D465" t="s">
        <v>620</v>
      </c>
      <c r="E465" t="s">
        <v>1</v>
      </c>
      <c r="G465" t="s">
        <v>611</v>
      </c>
      <c r="H465" t="s">
        <v>621</v>
      </c>
      <c r="I465">
        <v>-25.783300000000001</v>
      </c>
      <c r="J465">
        <v>120.715</v>
      </c>
      <c r="K465" t="str">
        <f>HYPERLINK("http://geossdi.dmp.wa.gov.au/NVCLDataServices/mosaic.html?datasetid=12b0b3a8-1dae-4146-ac5c-9e9a9a17423","TDH9_Core Image")</f>
        <v>TDH9_Core Image</v>
      </c>
    </row>
    <row r="466" spans="1:11" x14ac:dyDescent="0.25">
      <c r="A466" t="str">
        <f>HYPERLINK("http://www.corstruth.com.au/WA/EMSD1138_cs.png","EMSD1138_A4")</f>
        <v>EMSD1138_A4</v>
      </c>
      <c r="B466" t="str">
        <f>HYPERLINK("http://www.corstruth.com.au/WA/PNG2/EMSD1138_cs.png","EMSD1138_0.25m Bins")</f>
        <v>EMSD1138_0.25m Bins</v>
      </c>
      <c r="C466" t="str">
        <f>HYPERLINK("http://www.corstruth.com.au/WA/CSV/EMSD1138.csv","EMSD1138_CSV File 1m Bins")</f>
        <v>EMSD1138_CSV File 1m Bins</v>
      </c>
      <c r="D466" t="s">
        <v>622</v>
      </c>
      <c r="E466" t="s">
        <v>1</v>
      </c>
      <c r="G466" t="s">
        <v>623</v>
      </c>
      <c r="H466" t="s">
        <v>624</v>
      </c>
      <c r="I466">
        <v>-27.963100000000001</v>
      </c>
      <c r="J466">
        <v>120.495</v>
      </c>
      <c r="K466" t="str">
        <f>HYPERLINK("http://geossdi.dmp.wa.gov.au/NVCLDataServices/mosaic.html?datasetid=f0c2b47b-ea17-4259-8991-5f850043b7e","EMSD1138_Core Image")</f>
        <v>EMSD1138_Core Image</v>
      </c>
    </row>
    <row r="467" spans="1:11" x14ac:dyDescent="0.25">
      <c r="A467" t="str">
        <f>HYPERLINK("http://www.corstruth.com.au/WA/EMSD1161_cs.png","EMSD1161_A4")</f>
        <v>EMSD1161_A4</v>
      </c>
      <c r="B467" t="str">
        <f>HYPERLINK("http://www.corstruth.com.au/WA/PNG2/EMSD1161_cs.png","EMSD1161_0.25m Bins")</f>
        <v>EMSD1161_0.25m Bins</v>
      </c>
      <c r="C467" t="str">
        <f>HYPERLINK("http://www.corstruth.com.au/WA/CSV/EMSD1161.csv","EMSD1161_CSV File 1m Bins")</f>
        <v>EMSD1161_CSV File 1m Bins</v>
      </c>
      <c r="D467" t="s">
        <v>625</v>
      </c>
      <c r="E467" t="s">
        <v>1</v>
      </c>
      <c r="G467" t="s">
        <v>623</v>
      </c>
      <c r="H467" t="s">
        <v>624</v>
      </c>
      <c r="I467">
        <v>-27.997599999999998</v>
      </c>
      <c r="J467">
        <v>120.494</v>
      </c>
      <c r="K467" t="str">
        <f>HYPERLINK("http://geossdi.dmp.wa.gov.au/NVCLDataServices/mosaic.html?datasetid=7ec8e200-e214-4683-bd62-a2594914cf6","EMSD1161_Core Image")</f>
        <v>EMSD1161_Core Image</v>
      </c>
    </row>
    <row r="468" spans="1:11" x14ac:dyDescent="0.25">
      <c r="A468" t="str">
        <f>HYPERLINK("http://www.corstruth.com.au/WA/EMSD1388_cs.png","EMSD1388_A4")</f>
        <v>EMSD1388_A4</v>
      </c>
      <c r="B468" t="str">
        <f>HYPERLINK("http://www.corstruth.com.au/WA/PNG2/EMSD1388_cs.png","EMSD1388_0.25m Bins")</f>
        <v>EMSD1388_0.25m Bins</v>
      </c>
      <c r="C468" t="str">
        <f>HYPERLINK("http://www.corstruth.com.au/WA/CSV/EMSD1388.csv","EMSD1388_CSV File 1m Bins")</f>
        <v>EMSD1388_CSV File 1m Bins</v>
      </c>
      <c r="D468" t="s">
        <v>626</v>
      </c>
      <c r="E468" t="s">
        <v>1</v>
      </c>
      <c r="G468" t="s">
        <v>623</v>
      </c>
      <c r="H468" t="s">
        <v>624</v>
      </c>
      <c r="I468">
        <v>-27.976299999999998</v>
      </c>
      <c r="J468">
        <v>120.502</v>
      </c>
      <c r="K468" t="str">
        <f>HYPERLINK("http://geossdi.dmp.wa.gov.au/NVCLDataServices/mosaic.html?datasetid=aee8dc1d-f5f3-434a-9bd3-654ef22f26a","EMSD1388_Core Image")</f>
        <v>EMSD1388_Core Image</v>
      </c>
    </row>
    <row r="469" spans="1:11" x14ac:dyDescent="0.25">
      <c r="A469" t="str">
        <f>HYPERLINK("http://www.corstruth.com.au/WA/EMSD1557_cs.png","EMSD1557_A4")</f>
        <v>EMSD1557_A4</v>
      </c>
      <c r="B469" t="str">
        <f>HYPERLINK("http://www.corstruth.com.au/WA/PNG2/EMSD1557_cs.png","EMSD1557_0.25m Bins")</f>
        <v>EMSD1557_0.25m Bins</v>
      </c>
      <c r="C469" t="str">
        <f>HYPERLINK("http://www.corstruth.com.au/WA/CSV/EMSD1557.csv","EMSD1557_CSV File 1m Bins")</f>
        <v>EMSD1557_CSV File 1m Bins</v>
      </c>
      <c r="D469" t="s">
        <v>627</v>
      </c>
      <c r="E469" t="s">
        <v>1</v>
      </c>
      <c r="G469" t="s">
        <v>623</v>
      </c>
      <c r="H469" t="s">
        <v>624</v>
      </c>
      <c r="I469">
        <v>-27.9528</v>
      </c>
      <c r="J469">
        <v>120.495</v>
      </c>
      <c r="K469" t="str">
        <f>HYPERLINK("http://geossdi.dmp.wa.gov.au/NVCLDataServices/mosaic.html?datasetid=9c60431b-1ac7-4539-8e6a-ca68ce1b1b3","EMSD1557_Core Image")</f>
        <v>EMSD1557_Core Image</v>
      </c>
    </row>
    <row r="470" spans="1:11" x14ac:dyDescent="0.25">
      <c r="A470" t="str">
        <f>HYPERLINK("http://www.corstruth.com.au/WA/EMSD1558_cs.png","EMSD1558_A4")</f>
        <v>EMSD1558_A4</v>
      </c>
      <c r="B470" t="str">
        <f>HYPERLINK("http://www.corstruth.com.au/WA/PNG2/EMSD1558_cs.png","EMSD1558_0.25m Bins")</f>
        <v>EMSD1558_0.25m Bins</v>
      </c>
      <c r="C470" t="str">
        <f>HYPERLINK("http://www.corstruth.com.au/WA/CSV/EMSD1558.csv","EMSD1558_CSV File 1m Bins")</f>
        <v>EMSD1558_CSV File 1m Bins</v>
      </c>
      <c r="D470" t="s">
        <v>628</v>
      </c>
      <c r="E470" t="s">
        <v>1</v>
      </c>
      <c r="G470" t="s">
        <v>623</v>
      </c>
      <c r="H470" t="s">
        <v>624</v>
      </c>
      <c r="I470">
        <v>-27.9528</v>
      </c>
      <c r="J470">
        <v>120.498</v>
      </c>
      <c r="K470" t="str">
        <f>HYPERLINK("http://geossdi.dmp.wa.gov.au/NVCLDataServices/mosaic.html?datasetid=18feb4f9-e141-4b3a-8eea-d96a40b4d4d","EMSD1558_Core Image")</f>
        <v>EMSD1558_Core Image</v>
      </c>
    </row>
    <row r="471" spans="1:11" x14ac:dyDescent="0.25">
      <c r="A471" t="str">
        <f>HYPERLINK("http://www.corstruth.com.au/WA/EMSD1559_cs.png","EMSD1559_A4")</f>
        <v>EMSD1559_A4</v>
      </c>
      <c r="B471" t="str">
        <f>HYPERLINK("http://www.corstruth.com.au/WA/PNG2/EMSD1559_cs.png","EMSD1559_0.25m Bins")</f>
        <v>EMSD1559_0.25m Bins</v>
      </c>
      <c r="C471" t="str">
        <f>HYPERLINK("http://www.corstruth.com.au/WA/CSV/EMSD1559.csv","EMSD1559_CSV File 1m Bins")</f>
        <v>EMSD1559_CSV File 1m Bins</v>
      </c>
      <c r="D471" t="s">
        <v>629</v>
      </c>
      <c r="E471" t="s">
        <v>1</v>
      </c>
      <c r="G471" t="s">
        <v>623</v>
      </c>
      <c r="H471" t="s">
        <v>624</v>
      </c>
      <c r="I471">
        <v>-27.9529</v>
      </c>
      <c r="J471">
        <v>120.501</v>
      </c>
      <c r="K471" t="str">
        <f>HYPERLINK("http://geossdi.dmp.wa.gov.au/NVCLDataServices/mosaic.html?datasetid=b775e0d7-00e9-4cac-99a0-e2f3871ec78","EMSD1559_Core Image")</f>
        <v>EMSD1559_Core Image</v>
      </c>
    </row>
    <row r="472" spans="1:11" x14ac:dyDescent="0.25">
      <c r="A472" t="str">
        <f>HYPERLINK("http://www.corstruth.com.au/WA/20EISD001_cs.png","20EISD001_A4")</f>
        <v>20EISD001_A4</v>
      </c>
      <c r="B472" t="str">
        <f>HYPERLINK("http://www.corstruth.com.au/WA/PNG2/20EISD001_cs.png","20EISD001_0.25m Bins")</f>
        <v>20EISD001_0.25m Bins</v>
      </c>
      <c r="C472" t="str">
        <f>HYPERLINK("http://www.corstruth.com.au/WA/CSV/20EISD001.csv","20EISD001_CSV File 1m Bins")</f>
        <v>20EISD001_CSV File 1m Bins</v>
      </c>
      <c r="D472" t="s">
        <v>630</v>
      </c>
      <c r="E472" t="s">
        <v>1</v>
      </c>
      <c r="G472" t="s">
        <v>623</v>
      </c>
      <c r="H472" t="s">
        <v>631</v>
      </c>
      <c r="I472">
        <v>-31.072399999999998</v>
      </c>
      <c r="J472">
        <v>122.554</v>
      </c>
      <c r="K472" t="str">
        <f>HYPERLINK("http://geossdi.dmp.wa.gov.au/NVCLDataServices/mosaic.html?datasetid=8e2f9d18-3d35-4259-a539-8ff7b887519","20EISD001_Core Image")</f>
        <v>20EISD001_Core Image</v>
      </c>
    </row>
    <row r="473" spans="1:11" x14ac:dyDescent="0.25">
      <c r="A473" t="str">
        <f>HYPERLINK("http://www.corstruth.com.au/WA/20EISD002_cs.png","20EISD002_A4")</f>
        <v>20EISD002_A4</v>
      </c>
      <c r="B473" t="str">
        <f>HYPERLINK("http://www.corstruth.com.au/WA/PNG2/20EISD002_cs.png","20EISD002_0.25m Bins")</f>
        <v>20EISD002_0.25m Bins</v>
      </c>
      <c r="C473" t="str">
        <f>HYPERLINK("http://www.corstruth.com.au/WA/CSV/20EISD002.csv","20EISD002_CSV File 1m Bins")</f>
        <v>20EISD002_CSV File 1m Bins</v>
      </c>
      <c r="D473" t="s">
        <v>632</v>
      </c>
      <c r="E473" t="s">
        <v>1</v>
      </c>
      <c r="G473" t="s">
        <v>623</v>
      </c>
      <c r="H473" t="s">
        <v>631</v>
      </c>
      <c r="I473">
        <v>-31.074200000000001</v>
      </c>
      <c r="J473">
        <v>122.554</v>
      </c>
    </row>
    <row r="474" spans="1:11" x14ac:dyDescent="0.25">
      <c r="A474" t="str">
        <f>HYPERLINK("http://www.corstruth.com.au/WA/20EISD003_cs.png","20EISD003_A4")</f>
        <v>20EISD003_A4</v>
      </c>
      <c r="B474" t="str">
        <f>HYPERLINK("http://www.corstruth.com.au/WA/PNG2/20EISD003_cs.png","20EISD003_0.25m Bins")</f>
        <v>20EISD003_0.25m Bins</v>
      </c>
      <c r="C474" t="str">
        <f>HYPERLINK("http://www.corstruth.com.au/WA/CSV/20EISD003.csv","20EISD003_CSV File 1m Bins")</f>
        <v>20EISD003_CSV File 1m Bins</v>
      </c>
      <c r="D474" t="s">
        <v>633</v>
      </c>
      <c r="E474" t="s">
        <v>1</v>
      </c>
      <c r="G474" t="s">
        <v>623</v>
      </c>
      <c r="H474" t="s">
        <v>631</v>
      </c>
      <c r="I474">
        <v>-31.073399999999999</v>
      </c>
      <c r="J474">
        <v>122.56399999999999</v>
      </c>
    </row>
    <row r="475" spans="1:11" x14ac:dyDescent="0.25">
      <c r="A475" t="str">
        <f>HYPERLINK("http://www.corstruth.com.au/WA/20EISD004_cs.png","20EISD004_A4")</f>
        <v>20EISD004_A4</v>
      </c>
      <c r="B475" t="str">
        <f>HYPERLINK("http://www.corstruth.com.au/WA/PNG2/20EISD004_cs.png","20EISD004_0.25m Bins")</f>
        <v>20EISD004_0.25m Bins</v>
      </c>
      <c r="C475" t="str">
        <f>HYPERLINK("http://www.corstruth.com.au/WA/CSV/20EISD004.csv","20EISD004_CSV File 1m Bins")</f>
        <v>20EISD004_CSV File 1m Bins</v>
      </c>
      <c r="D475" t="s">
        <v>634</v>
      </c>
      <c r="E475" t="s">
        <v>1</v>
      </c>
      <c r="G475" t="s">
        <v>623</v>
      </c>
      <c r="H475" t="s">
        <v>631</v>
      </c>
      <c r="I475">
        <v>-31.079899999999999</v>
      </c>
      <c r="J475">
        <v>122.562</v>
      </c>
    </row>
    <row r="476" spans="1:11" x14ac:dyDescent="0.25">
      <c r="A476" t="str">
        <f>HYPERLINK("http://www.corstruth.com.au/WA/20EISD005_cs.png","20EISD005_A4")</f>
        <v>20EISD005_A4</v>
      </c>
      <c r="B476" t="str">
        <f>HYPERLINK("http://www.corstruth.com.au/WA/PNG2/20EISD005_cs.png","20EISD005_0.25m Bins")</f>
        <v>20EISD005_0.25m Bins</v>
      </c>
      <c r="C476" t="str">
        <f>HYPERLINK("http://www.corstruth.com.au/WA/CSV/20EISD005.csv","20EISD005_CSV File 1m Bins")</f>
        <v>20EISD005_CSV File 1m Bins</v>
      </c>
      <c r="D476" t="s">
        <v>635</v>
      </c>
      <c r="E476" t="s">
        <v>1</v>
      </c>
      <c r="G476" t="s">
        <v>623</v>
      </c>
      <c r="H476" t="s">
        <v>631</v>
      </c>
      <c r="I476">
        <v>-31.081900000000001</v>
      </c>
      <c r="J476">
        <v>122.562</v>
      </c>
    </row>
    <row r="477" spans="1:11" x14ac:dyDescent="0.25">
      <c r="A477" t="str">
        <f>HYPERLINK("http://www.corstruth.com.au/WA/TD12952_cs.png","TD12952_A4")</f>
        <v>TD12952_A4</v>
      </c>
      <c r="B477" t="str">
        <f>HYPERLINK("http://www.corstruth.com.au/WA/PNG2/TD12952_cs.png","TD12952_0.25m Bins")</f>
        <v>TD12952_0.25m Bins</v>
      </c>
      <c r="C477" t="str">
        <f>HYPERLINK("http://www.corstruth.com.au/WA/CSV/TD12952.csv","TD12952_CSV File 1m Bins")</f>
        <v>TD12952_CSV File 1m Bins</v>
      </c>
      <c r="D477" t="s">
        <v>636</v>
      </c>
      <c r="E477" t="s">
        <v>1</v>
      </c>
      <c r="G477" t="s">
        <v>623</v>
      </c>
      <c r="H477" t="s">
        <v>637</v>
      </c>
      <c r="I477">
        <v>-31.433499999999999</v>
      </c>
      <c r="J477">
        <v>121.848</v>
      </c>
      <c r="K477" t="str">
        <f>HYPERLINK("http://geossdi.dmp.wa.gov.au/NVCLDataServices/mosaic.html?datasetid=a7119512-43e3-4a09-93ad-1816397368d","TD12952_Core Image")</f>
        <v>TD12952_Core Image</v>
      </c>
    </row>
    <row r="478" spans="1:11" x14ac:dyDescent="0.25">
      <c r="A478" t="str">
        <f>HYPERLINK("http://www.corstruth.com.au/WA/AZRCDD011_cs.png","AZRCDD011_A4")</f>
        <v>AZRCDD011_A4</v>
      </c>
      <c r="B478" t="str">
        <f>HYPERLINK("http://www.corstruth.com.au/WA/PNG2/AZRCDD011_cs.png","AZRCDD011_0.25m Bins")</f>
        <v>AZRCDD011_0.25m Bins</v>
      </c>
      <c r="C478" t="str">
        <f>HYPERLINK("http://www.corstruth.com.au/WA/CSV/AZRCDD011.csv","AZRCDD011_CSV File 1m Bins")</f>
        <v>AZRCDD011_CSV File 1m Bins</v>
      </c>
      <c r="D478" t="s">
        <v>638</v>
      </c>
      <c r="E478" t="s">
        <v>1</v>
      </c>
      <c r="G478" t="s">
        <v>623</v>
      </c>
      <c r="H478" t="s">
        <v>639</v>
      </c>
      <c r="I478">
        <v>-31.119599999999998</v>
      </c>
      <c r="J478">
        <v>121.82599999999999</v>
      </c>
      <c r="K478" t="str">
        <f>HYPERLINK("http://geossdi.dmp.wa.gov.au/NVCLDataServices/mosaic.html?datasetid=8cfbcd3f-fd86-48d1-9744-7c642b84892","AZRCDD011_Core Image")</f>
        <v>AZRCDD011_Core Image</v>
      </c>
    </row>
    <row r="479" spans="1:11" x14ac:dyDescent="0.25">
      <c r="A479" t="str">
        <f>HYPERLINK("http://www.corstruth.com.au/WA/AZRCDD012_cs.png","AZRCDD012_A4")</f>
        <v>AZRCDD012_A4</v>
      </c>
      <c r="B479" t="str">
        <f>HYPERLINK("http://www.corstruth.com.au/WA/PNG2/AZRCDD012_cs.png","AZRCDD012_0.25m Bins")</f>
        <v>AZRCDD012_0.25m Bins</v>
      </c>
      <c r="C479" t="str">
        <f>HYPERLINK("http://www.corstruth.com.au/WA/CSV/AZRCDD012.csv","AZRCDD012_CSV File 1m Bins")</f>
        <v>AZRCDD012_CSV File 1m Bins</v>
      </c>
      <c r="D479" t="s">
        <v>640</v>
      </c>
      <c r="E479" t="s">
        <v>1</v>
      </c>
      <c r="G479" t="s">
        <v>623</v>
      </c>
      <c r="H479" t="s">
        <v>639</v>
      </c>
      <c r="I479">
        <v>-31.122299999999999</v>
      </c>
      <c r="J479">
        <v>121.79900000000001</v>
      </c>
      <c r="K479" t="str">
        <f>HYPERLINK("http://geossdi.dmp.wa.gov.au/NVCLDataServices/mosaic.html?datasetid=a7b6d07c-7319-46a2-842f-5aebfa982ee","AZRCDD012_Core Image")</f>
        <v>AZRCDD012_Core Image</v>
      </c>
    </row>
    <row r="480" spans="1:11" x14ac:dyDescent="0.25">
      <c r="A480" t="str">
        <f>HYPERLINK("http://www.corstruth.com.au/WA/AZRCDD013_cs.png","AZRCDD013_A4")</f>
        <v>AZRCDD013_A4</v>
      </c>
      <c r="B480" t="str">
        <f>HYPERLINK("http://www.corstruth.com.au/WA/PNG2/AZRCDD013_cs.png","AZRCDD013_0.25m Bins")</f>
        <v>AZRCDD013_0.25m Bins</v>
      </c>
      <c r="C480" t="str">
        <f>HYPERLINK("http://www.corstruth.com.au/WA/CSV/AZRCDD013.csv","AZRCDD013_CSV File 1m Bins")</f>
        <v>AZRCDD013_CSV File 1m Bins</v>
      </c>
      <c r="D480" t="s">
        <v>641</v>
      </c>
      <c r="E480" t="s">
        <v>1</v>
      </c>
      <c r="G480" t="s">
        <v>623</v>
      </c>
      <c r="H480" t="s">
        <v>639</v>
      </c>
      <c r="I480">
        <v>-31.107700000000001</v>
      </c>
      <c r="J480">
        <v>121.822</v>
      </c>
      <c r="K480" t="str">
        <f>HYPERLINK("http://geossdi.dmp.wa.gov.au/NVCLDataServices/mosaic.html?datasetid=b87c7f43-94ba-4b3d-a4a9-a4aeb6e8799","AZRCDD013_Core Image")</f>
        <v>AZRCDD013_Core Image</v>
      </c>
    </row>
    <row r="481" spans="1:11" x14ac:dyDescent="0.25">
      <c r="A481" t="str">
        <f>HYPERLINK("http://www.corstruth.com.au/WA/AZRCDD015_cs.png","AZRCDD015_A4")</f>
        <v>AZRCDD015_A4</v>
      </c>
      <c r="B481" t="str">
        <f>HYPERLINK("http://www.corstruth.com.au/WA/PNG2/AZRCDD015_cs.png","AZRCDD015_0.25m Bins")</f>
        <v>AZRCDD015_0.25m Bins</v>
      </c>
      <c r="C481" t="str">
        <f>HYPERLINK("http://www.corstruth.com.au/WA/CSV/AZRCDD015.csv","AZRCDD015_CSV File 1m Bins")</f>
        <v>AZRCDD015_CSV File 1m Bins</v>
      </c>
      <c r="D481" t="s">
        <v>642</v>
      </c>
      <c r="E481" t="s">
        <v>1</v>
      </c>
      <c r="G481" t="s">
        <v>623</v>
      </c>
      <c r="H481" t="s">
        <v>639</v>
      </c>
      <c r="I481">
        <v>-31.111000000000001</v>
      </c>
      <c r="J481">
        <v>121.824</v>
      </c>
      <c r="K481" t="str">
        <f>HYPERLINK("http://geossdi.dmp.wa.gov.au/NVCLDataServices/mosaic.html?datasetid=69f07f35-925c-41e1-a249-e65f167df76","AZRCDD015_Core Image")</f>
        <v>AZRCDD015_Core Image</v>
      </c>
    </row>
    <row r="482" spans="1:11" x14ac:dyDescent="0.25">
      <c r="A482" t="str">
        <f>HYPERLINK("http://www.corstruth.com.au/WA/CMDD001_cs.png","CMDD001_A4")</f>
        <v>CMDD001_A4</v>
      </c>
      <c r="B482" t="str">
        <f>HYPERLINK("http://www.corstruth.com.au/WA/PNG2/CMDD001_cs.png","CMDD001_0.25m Bins")</f>
        <v>CMDD001_0.25m Bins</v>
      </c>
      <c r="C482" t="str">
        <f>HYPERLINK("http://www.corstruth.com.au/WA/CSV/CMDD001.csv","CMDD001_CSV File 1m Bins")</f>
        <v>CMDD001_CSV File 1m Bins</v>
      </c>
      <c r="D482" t="s">
        <v>643</v>
      </c>
      <c r="E482" t="s">
        <v>1</v>
      </c>
      <c r="G482" t="s">
        <v>623</v>
      </c>
      <c r="H482" t="s">
        <v>644</v>
      </c>
      <c r="I482">
        <v>-27.653500000000001</v>
      </c>
      <c r="J482">
        <v>121.6</v>
      </c>
      <c r="K482" t="str">
        <f>HYPERLINK("http://geossdi.dmp.wa.gov.au/NVCLDataServices/mosaic.html?datasetid=252dbefa-f7d3-4713-b1a5-41e408daf84","CMDD001_Core Image")</f>
        <v>CMDD001_Core Image</v>
      </c>
    </row>
    <row r="483" spans="1:11" x14ac:dyDescent="0.25">
      <c r="A483" t="str">
        <f>HYPERLINK("http://www.corstruth.com.au/WA/CMDD001A_cs.png","CMDD001A_A4")</f>
        <v>CMDD001A_A4</v>
      </c>
      <c r="B483" t="str">
        <f>HYPERLINK("http://www.corstruth.com.au/WA/PNG2/CMDD001A_cs.png","CMDD001A_0.25m Bins")</f>
        <v>CMDD001A_0.25m Bins</v>
      </c>
      <c r="C483" t="str">
        <f>HYPERLINK("http://www.corstruth.com.au/WA/CSV/CMDD001A.csv","CMDD001A_CSV File 1m Bins")</f>
        <v>CMDD001A_CSV File 1m Bins</v>
      </c>
      <c r="D483" t="s">
        <v>645</v>
      </c>
      <c r="E483" t="s">
        <v>1</v>
      </c>
      <c r="G483" t="s">
        <v>623</v>
      </c>
      <c r="H483" t="s">
        <v>644</v>
      </c>
      <c r="I483">
        <v>-27.653500000000001</v>
      </c>
      <c r="J483">
        <v>121.6</v>
      </c>
      <c r="K483" t="str">
        <f>HYPERLINK("http://geossdi.dmp.wa.gov.au/NVCLDataServices/mosaic.html?datasetid=dbf5a520-693c-46ec-8b64-c760987bc63","CMDD001A_Core Image")</f>
        <v>CMDD001A_Core Image</v>
      </c>
    </row>
    <row r="484" spans="1:11" x14ac:dyDescent="0.25">
      <c r="A484" t="str">
        <f>HYPERLINK("http://www.corstruth.com.au/WA/CMDD002_cs.png","CMDD002_A4")</f>
        <v>CMDD002_A4</v>
      </c>
      <c r="B484" t="str">
        <f>HYPERLINK("http://www.corstruth.com.au/WA/PNG2/CMDD002_cs.png","CMDD002_0.25m Bins")</f>
        <v>CMDD002_0.25m Bins</v>
      </c>
      <c r="C484" t="str">
        <f>HYPERLINK("http://www.corstruth.com.au/WA/CSV/CMDD002.csv","CMDD002_CSV File 1m Bins")</f>
        <v>CMDD002_CSV File 1m Bins</v>
      </c>
      <c r="D484" t="s">
        <v>646</v>
      </c>
      <c r="E484" t="s">
        <v>1</v>
      </c>
      <c r="G484" t="s">
        <v>623</v>
      </c>
      <c r="H484" t="s">
        <v>644</v>
      </c>
      <c r="I484">
        <v>-27.6526</v>
      </c>
      <c r="J484">
        <v>121.6</v>
      </c>
      <c r="K484" t="str">
        <f>HYPERLINK("http://geossdi.dmp.wa.gov.au/NVCLDataServices/mosaic.html?datasetid=21bd2324-fab7-49ed-9122-81e59e400d3","CMDD002_Core Image")</f>
        <v>CMDD002_Core Image</v>
      </c>
    </row>
    <row r="485" spans="1:11" x14ac:dyDescent="0.25">
      <c r="A485" t="str">
        <f>HYPERLINK("http://www.corstruth.com.au/WA/DRDD059_cs.png","DRDD059_A4")</f>
        <v>DRDD059_A4</v>
      </c>
      <c r="B485" t="str">
        <f>HYPERLINK("http://www.corstruth.com.au/WA/PNG2/DRDD059_cs.png","DRDD059_0.25m Bins")</f>
        <v>DRDD059_0.25m Bins</v>
      </c>
      <c r="C485" t="str">
        <f>HYPERLINK("http://www.corstruth.com.au/WA/CSV/DRDD059.csv","DRDD059_CSV File 1m Bins")</f>
        <v>DRDD059_CSV File 1m Bins</v>
      </c>
      <c r="D485" t="s">
        <v>647</v>
      </c>
      <c r="E485" t="s">
        <v>1</v>
      </c>
      <c r="G485" t="s">
        <v>623</v>
      </c>
      <c r="H485" t="s">
        <v>648</v>
      </c>
      <c r="I485">
        <v>-27.650700000000001</v>
      </c>
      <c r="J485">
        <v>120.554</v>
      </c>
      <c r="K485" t="str">
        <f>HYPERLINK("http://geossdi.dmp.wa.gov.au/NVCLDataServices/mosaic.html?datasetid=d07520ba-780a-4d1e-946b-ce576b8860c","DRDD059_Core Image")</f>
        <v>DRDD059_Core Image</v>
      </c>
    </row>
    <row r="486" spans="1:11" x14ac:dyDescent="0.25">
      <c r="A486" t="str">
        <f>HYPERLINK("http://www.corstruth.com.au/WA/DRDD128_cs.png","DRDD128_A4")</f>
        <v>DRDD128_A4</v>
      </c>
      <c r="B486" t="str">
        <f>HYPERLINK("http://www.corstruth.com.au/WA/PNG2/DRDD128_cs.png","DRDD128_0.25m Bins")</f>
        <v>DRDD128_0.25m Bins</v>
      </c>
      <c r="C486" t="str">
        <f>HYPERLINK("http://www.corstruth.com.au/WA/CSV/DRDD128.csv","DRDD128_CSV File 1m Bins")</f>
        <v>DRDD128_CSV File 1m Bins</v>
      </c>
      <c r="D486" t="s">
        <v>649</v>
      </c>
      <c r="E486" t="s">
        <v>1</v>
      </c>
      <c r="G486" t="s">
        <v>623</v>
      </c>
      <c r="H486" t="s">
        <v>650</v>
      </c>
      <c r="I486">
        <v>-27.649799999999999</v>
      </c>
      <c r="J486">
        <v>126.556</v>
      </c>
    </row>
    <row r="487" spans="1:11" x14ac:dyDescent="0.25">
      <c r="A487" t="str">
        <f>HYPERLINK("http://www.corstruth.com.au/WA/DRDD139_cs.png","DRDD139_A4")</f>
        <v>DRDD139_A4</v>
      </c>
      <c r="B487" t="str">
        <f>HYPERLINK("http://www.corstruth.com.au/WA/PNG2/DRDD139_cs.png","DRDD139_0.25m Bins")</f>
        <v>DRDD139_0.25m Bins</v>
      </c>
      <c r="C487" t="str">
        <f>HYPERLINK("http://www.corstruth.com.au/WA/CSV/DRDD139.csv","DRDD139_CSV File 1m Bins")</f>
        <v>DRDD139_CSV File 1m Bins</v>
      </c>
      <c r="D487" t="s">
        <v>651</v>
      </c>
      <c r="E487" t="s">
        <v>1</v>
      </c>
      <c r="G487" t="s">
        <v>623</v>
      </c>
      <c r="H487" t="s">
        <v>650</v>
      </c>
      <c r="I487">
        <v>-27.646699999999999</v>
      </c>
      <c r="J487">
        <v>126.556</v>
      </c>
    </row>
    <row r="488" spans="1:11" x14ac:dyDescent="0.25">
      <c r="A488" t="str">
        <f>HYPERLINK("http://www.corstruth.com.au/WA/CD28_cs.png","CD28_A4")</f>
        <v>CD28_A4</v>
      </c>
      <c r="B488" t="str">
        <f>HYPERLINK("http://www.corstruth.com.au/WA/PNG2/CD28_cs.png","CD28_0.25m Bins")</f>
        <v>CD28_0.25m Bins</v>
      </c>
      <c r="C488" t="str">
        <f>HYPERLINK("http://www.corstruth.com.au/WA/CSV/CD28.csv","CD28_CSV File 1m Bins")</f>
        <v>CD28_CSV File 1m Bins</v>
      </c>
      <c r="D488" t="s">
        <v>652</v>
      </c>
      <c r="E488" t="s">
        <v>1</v>
      </c>
      <c r="G488" t="s">
        <v>623</v>
      </c>
      <c r="H488" t="s">
        <v>653</v>
      </c>
      <c r="I488">
        <v>-31.0809</v>
      </c>
      <c r="J488">
        <v>121.432</v>
      </c>
      <c r="K488" t="str">
        <f>HYPERLINK("http://geossdi.dmp.wa.gov.au/NVCLDataServices/mosaic.html?datasetid=7a788127-1c07-48dc-909c-b468cd81f1c","CD28_Core Image")</f>
        <v>CD28_Core Image</v>
      </c>
    </row>
    <row r="489" spans="1:11" x14ac:dyDescent="0.25">
      <c r="A489" t="str">
        <f>HYPERLINK("http://www.corstruth.com.au/WA/BNDD001_[dup._name]_cs.png","BNDD001 [dup. name]_A4")</f>
        <v>BNDD001 [dup. name]_A4</v>
      </c>
      <c r="B489" t="str">
        <f>HYPERLINK("http://www.corstruth.com.au/WA/PNG2/BNDD001_[dup._name]_cs.png","BNDD001 [dup. name]_0.25m Bins")</f>
        <v>BNDD001 [dup. name]_0.25m Bins</v>
      </c>
      <c r="C489" t="str">
        <f>HYPERLINK("http://www.corstruth.com.au/WA/CSV/BNDD001_[dup._name].csv","BNDD001 [dup. name]_CSV File 1m Bins")</f>
        <v>BNDD001 [dup. name]_CSV File 1m Bins</v>
      </c>
      <c r="D489" t="s">
        <v>654</v>
      </c>
      <c r="E489" t="s">
        <v>1</v>
      </c>
      <c r="G489" t="s">
        <v>623</v>
      </c>
      <c r="H489" t="s">
        <v>655</v>
      </c>
      <c r="I489">
        <v>-31.555800000000001</v>
      </c>
      <c r="J489">
        <v>122.102</v>
      </c>
      <c r="K489" t="str">
        <f>HYPERLINK("http://geossdi.dmp.wa.gov.au/NVCLDataServices/mosaic.html?datasetid=6f9d2880-4e57-48b4-9a5e-0f5fab4e0c9","BNDD001 [dup. name]_Core Image")</f>
        <v>BNDD001 [dup. name]_Core Image</v>
      </c>
    </row>
    <row r="490" spans="1:11" x14ac:dyDescent="0.25">
      <c r="A490" t="str">
        <f>HYPERLINK("http://www.corstruth.com.au/WA/SKGD8_cs.png","SKGD8_A4")</f>
        <v>SKGD8_A4</v>
      </c>
      <c r="B490" t="str">
        <f>HYPERLINK("http://www.corstruth.com.au/WA/PNG2/SKGD8_cs.png","SKGD8_0.25m Bins")</f>
        <v>SKGD8_0.25m Bins</v>
      </c>
      <c r="C490" t="str">
        <f>HYPERLINK("http://www.corstruth.com.au/WA/CSV/SKGD8.csv","SKGD8_CSV File 1m Bins")</f>
        <v>SKGD8_CSV File 1m Bins</v>
      </c>
      <c r="D490" t="s">
        <v>656</v>
      </c>
      <c r="E490" t="s">
        <v>1</v>
      </c>
      <c r="G490" t="s">
        <v>623</v>
      </c>
      <c r="H490" t="s">
        <v>657</v>
      </c>
      <c r="I490">
        <v>-30.785599999999999</v>
      </c>
      <c r="J490">
        <v>121.51</v>
      </c>
      <c r="K490" t="str">
        <f>HYPERLINK("http://geossdi.dmp.wa.gov.au/NVCLDataServices/mosaic.html?datasetid=ca8fabfa-2286-4764-b080-0f2e9f99c72","SKGD8_Core Image")</f>
        <v>SKGD8_Core Image</v>
      </c>
    </row>
    <row r="491" spans="1:11" x14ac:dyDescent="0.25">
      <c r="A491" t="str">
        <f>HYPERLINK("http://www.corstruth.com.au/WA/PBDD17109_cs.png","PBDD17109_A4")</f>
        <v>PBDD17109_A4</v>
      </c>
      <c r="B491" t="str">
        <f>HYPERLINK("http://www.corstruth.com.au/WA/PNG2/PBDD17109_cs.png","PBDD17109_0.25m Bins")</f>
        <v>PBDD17109_0.25m Bins</v>
      </c>
      <c r="C491" t="str">
        <f>HYPERLINK("http://www.corstruth.com.au/WA/CSV/PBDD17109.csv","PBDD17109_CSV File 1m Bins")</f>
        <v>PBDD17109_CSV File 1m Bins</v>
      </c>
      <c r="D491" t="s">
        <v>658</v>
      </c>
      <c r="E491" t="s">
        <v>1</v>
      </c>
      <c r="G491" t="s">
        <v>623</v>
      </c>
      <c r="H491" t="s">
        <v>659</v>
      </c>
      <c r="I491">
        <v>-30.7286</v>
      </c>
      <c r="J491">
        <v>121.26300000000001</v>
      </c>
      <c r="K491" t="str">
        <f>HYPERLINK("http://geossdi.dmp.wa.gov.au/NVCLDataServices/mosaic.html?datasetid=cb978451-889f-48f6-b70e-dc546c804a0","PBDD17109_Core Image")</f>
        <v>PBDD17109_Core Image</v>
      </c>
    </row>
    <row r="492" spans="1:11" x14ac:dyDescent="0.25">
      <c r="A492" t="str">
        <f>HYPERLINK("http://www.corstruth.com.au/WA/PBDD17108_cs.png","PBDD17108_A4")</f>
        <v>PBDD17108_A4</v>
      </c>
      <c r="B492" t="str">
        <f>HYPERLINK("http://www.corstruth.com.au/WA/PNG2/PBDD17108_cs.png","PBDD17108_0.25m Bins")</f>
        <v>PBDD17108_0.25m Bins</v>
      </c>
      <c r="C492" t="str">
        <f>HYPERLINK("http://www.corstruth.com.au/WA/CSV/PBDD17108.csv","PBDD17108_CSV File 1m Bins")</f>
        <v>PBDD17108_CSV File 1m Bins</v>
      </c>
      <c r="D492" t="s">
        <v>660</v>
      </c>
      <c r="E492" t="s">
        <v>1</v>
      </c>
      <c r="G492" t="s">
        <v>623</v>
      </c>
      <c r="H492" t="s">
        <v>661</v>
      </c>
      <c r="I492">
        <v>-30.731400000000001</v>
      </c>
      <c r="J492">
        <v>121.259</v>
      </c>
      <c r="K492" t="str">
        <f>HYPERLINK("http://geossdi.dmp.wa.gov.au/NVCLDataServices/mosaic.html?datasetid=d918fc87-7d00-4431-ac62-84dc244bca1","PBDD17108_Core Image")</f>
        <v>PBDD17108_Core Image</v>
      </c>
    </row>
    <row r="493" spans="1:11" x14ac:dyDescent="0.25">
      <c r="A493" t="str">
        <f>HYPERLINK("http://www.corstruth.com.au/WA/GRRCD005_cs.png","GRRCD005_A4")</f>
        <v>GRRCD005_A4</v>
      </c>
      <c r="B493" t="str">
        <f>HYPERLINK("http://www.corstruth.com.au/WA/PNG2/GRRCD005_cs.png","GRRCD005_0.25m Bins")</f>
        <v>GRRCD005_0.25m Bins</v>
      </c>
      <c r="C493" t="str">
        <f>HYPERLINK("http://www.corstruth.com.au/WA/CSV/GRRCD005.csv","GRRCD005_CSV File 1m Bins")</f>
        <v>GRRCD005_CSV File 1m Bins</v>
      </c>
      <c r="D493" t="s">
        <v>662</v>
      </c>
      <c r="E493" t="s">
        <v>1</v>
      </c>
      <c r="G493" t="s">
        <v>623</v>
      </c>
      <c r="H493" t="s">
        <v>663</v>
      </c>
      <c r="I493">
        <v>-30.910699999999999</v>
      </c>
      <c r="J493">
        <v>121.71</v>
      </c>
      <c r="K493" t="str">
        <f>HYPERLINK("http://geossdi.dmp.wa.gov.au/NVCLDataServices/mosaic.html?datasetid=d165b1ed-374c-4a84-92d4-1b15c7f9440","GRRCD005_Core Image")</f>
        <v>GRRCD005_Core Image</v>
      </c>
    </row>
    <row r="494" spans="1:11" x14ac:dyDescent="0.25">
      <c r="A494" t="str">
        <f>HYPERLINK("http://www.corstruth.com.au/WA/GRRCD006_cs.png","GRRCD006_A4")</f>
        <v>GRRCD006_A4</v>
      </c>
      <c r="B494" t="str">
        <f>HYPERLINK("http://www.corstruth.com.au/WA/PNG2/GRRCD006_cs.png","GRRCD006_0.25m Bins")</f>
        <v>GRRCD006_0.25m Bins</v>
      </c>
      <c r="C494" t="str">
        <f>HYPERLINK("http://www.corstruth.com.au/WA/CSV/GRRCD006.csv","GRRCD006_CSV File 1m Bins")</f>
        <v>GRRCD006_CSV File 1m Bins</v>
      </c>
      <c r="D494" t="s">
        <v>664</v>
      </c>
      <c r="E494" t="s">
        <v>1</v>
      </c>
      <c r="G494" t="s">
        <v>623</v>
      </c>
      <c r="H494" t="s">
        <v>663</v>
      </c>
      <c r="I494">
        <v>-30.9114</v>
      </c>
      <c r="J494">
        <v>121.711</v>
      </c>
      <c r="K494" t="str">
        <f>HYPERLINK("http://geossdi.dmp.wa.gov.au/NVCLDataServices/mosaic.html?datasetid=5f585b0b-e79f-498c-8472-e6037713467","GRRCD006_Core Image")</f>
        <v>GRRCD006_Core Image</v>
      </c>
    </row>
    <row r="495" spans="1:11" x14ac:dyDescent="0.25">
      <c r="A495" t="str">
        <f>HYPERLINK("http://www.corstruth.com.au/WA/GRRCD007_cs.png","GRRCD007_A4")</f>
        <v>GRRCD007_A4</v>
      </c>
      <c r="B495" t="str">
        <f>HYPERLINK("http://www.corstruth.com.au/WA/PNG2/GRRCD007_cs.png","GRRCD007_0.25m Bins")</f>
        <v>GRRCD007_0.25m Bins</v>
      </c>
      <c r="C495" t="str">
        <f>HYPERLINK("http://www.corstruth.com.au/WA/CSV/GRRCD007.csv","GRRCD007_CSV File 1m Bins")</f>
        <v>GRRCD007_CSV File 1m Bins</v>
      </c>
      <c r="D495" t="s">
        <v>665</v>
      </c>
      <c r="E495" t="s">
        <v>1</v>
      </c>
      <c r="G495" t="s">
        <v>623</v>
      </c>
      <c r="H495" t="s">
        <v>663</v>
      </c>
      <c r="I495">
        <v>-30.9131</v>
      </c>
      <c r="J495">
        <v>121.71</v>
      </c>
      <c r="K495" t="str">
        <f>HYPERLINK("http://geossdi.dmp.wa.gov.au/NVCLDataServices/mosaic.html?datasetid=aca47b63-01a0-45e9-a87f-70c299cb8fd","GRRCD007_Core Image")</f>
        <v>GRRCD007_Core Image</v>
      </c>
    </row>
    <row r="496" spans="1:11" x14ac:dyDescent="0.25">
      <c r="A496" t="str">
        <f>HYPERLINK("http://www.corstruth.com.au/WA/AMDD003_cs.png","AMDD003_A4")</f>
        <v>AMDD003_A4</v>
      </c>
      <c r="B496" t="str">
        <f>HYPERLINK("http://www.corstruth.com.au/WA/PNG2/AMDD003_cs.png","AMDD003_0.25m Bins")</f>
        <v>AMDD003_0.25m Bins</v>
      </c>
      <c r="C496" t="str">
        <f>HYPERLINK("http://www.corstruth.com.au/WA/CSV/AMDD003.csv","AMDD003_CSV File 1m Bins")</f>
        <v>AMDD003_CSV File 1m Bins</v>
      </c>
      <c r="D496" t="s">
        <v>666</v>
      </c>
      <c r="E496" t="s">
        <v>1</v>
      </c>
      <c r="G496" t="s">
        <v>623</v>
      </c>
      <c r="H496" t="s">
        <v>667</v>
      </c>
      <c r="I496">
        <v>-30.914400000000001</v>
      </c>
      <c r="J496">
        <v>121.712</v>
      </c>
      <c r="K496" t="str">
        <f>HYPERLINK("http://geossdi.dmp.wa.gov.au/NVCLDataServices/mosaic.html?datasetid=e715799e-8f66-4243-ac22-c1d03256459","AMDD003_Core Image")</f>
        <v>AMDD003_Core Image</v>
      </c>
    </row>
    <row r="497" spans="1:11" x14ac:dyDescent="0.25">
      <c r="A497" t="str">
        <f>HYPERLINK("http://www.corstruth.com.au/WA/BODH053_cs.png","BODH053_A4")</f>
        <v>BODH053_A4</v>
      </c>
      <c r="B497" t="str">
        <f>HYPERLINK("http://www.corstruth.com.au/WA/PNG2/BODH053_cs.png","BODH053_0.25m Bins")</f>
        <v>BODH053_0.25m Bins</v>
      </c>
      <c r="C497" t="str">
        <f>HYPERLINK("http://www.corstruth.com.au/WA/CSV/BODH053.csv","BODH053_CSV File 1m Bins")</f>
        <v>BODH053_CSV File 1m Bins</v>
      </c>
      <c r="D497" t="s">
        <v>668</v>
      </c>
      <c r="E497" t="s">
        <v>1</v>
      </c>
      <c r="G497" t="s">
        <v>623</v>
      </c>
      <c r="H497" t="s">
        <v>669</v>
      </c>
      <c r="I497">
        <v>-30.8078</v>
      </c>
      <c r="J497">
        <v>121.651</v>
      </c>
      <c r="K497" t="str">
        <f>HYPERLINK("http://geossdi.dmp.wa.gov.au/NVCLDataServices/mosaic.html?datasetid=5d351f3b-05f1-4cb6-916d-d7ede3a4b4a","BODH053_Core Image")</f>
        <v>BODH053_Core Image</v>
      </c>
    </row>
    <row r="498" spans="1:11" x14ac:dyDescent="0.25">
      <c r="A498" t="str">
        <f>HYPERLINK("http://www.corstruth.com.au/WA/BADD-001_cs.png","BADD-001_A4")</f>
        <v>BADD-001_A4</v>
      </c>
      <c r="B498" t="str">
        <f>HYPERLINK("http://www.corstruth.com.au/WA/PNG2/BADD-001_cs.png","BADD-001_0.25m Bins")</f>
        <v>BADD-001_0.25m Bins</v>
      </c>
      <c r="C498" t="str">
        <f>HYPERLINK("http://www.corstruth.com.au/WA/CSV/BADD-001.csv","BADD-001_CSV File 1m Bins")</f>
        <v>BADD-001_CSV File 1m Bins</v>
      </c>
      <c r="D498" t="s">
        <v>670</v>
      </c>
      <c r="E498" t="s">
        <v>1</v>
      </c>
      <c r="G498" t="s">
        <v>623</v>
      </c>
      <c r="H498" t="s">
        <v>671</v>
      </c>
      <c r="I498">
        <v>-31.234100000000002</v>
      </c>
      <c r="J498">
        <v>121.497</v>
      </c>
      <c r="K498" t="str">
        <f>HYPERLINK("http://geossdi.dmp.wa.gov.au/NVCLDataServices/mosaic.html?datasetid=2b48cc34-8816-4db2-ad17-363ced2eb6f","BADD-001_Core Image")</f>
        <v>BADD-001_Core Image</v>
      </c>
    </row>
    <row r="499" spans="1:11" x14ac:dyDescent="0.25">
      <c r="A499" t="str">
        <f>HYPERLINK("http://www.corstruth.com.au/WA/BADD-002_cs.png","BADD-002_A4")</f>
        <v>BADD-002_A4</v>
      </c>
      <c r="B499" t="str">
        <f>HYPERLINK("http://www.corstruth.com.au/WA/PNG2/BADD-002_cs.png","BADD-002_0.25m Bins")</f>
        <v>BADD-002_0.25m Bins</v>
      </c>
      <c r="C499" t="str">
        <f>HYPERLINK("http://www.corstruth.com.au/WA/CSV/BADD-002.csv","BADD-002_CSV File 1m Bins")</f>
        <v>BADD-002_CSV File 1m Bins</v>
      </c>
      <c r="D499" t="s">
        <v>672</v>
      </c>
      <c r="E499" t="s">
        <v>1</v>
      </c>
      <c r="G499" t="s">
        <v>623</v>
      </c>
      <c r="H499" t="s">
        <v>671</v>
      </c>
      <c r="I499">
        <v>-31.222300000000001</v>
      </c>
      <c r="J499">
        <v>121.495</v>
      </c>
      <c r="K499" t="str">
        <f>HYPERLINK("http://geossdi.dmp.wa.gov.au/NVCLDataServices/mosaic.html?datasetid=d1a970bc-937a-47ea-bc0a-c93a7cf2ff1","BADD-002_Core Image")</f>
        <v>BADD-002_Core Image</v>
      </c>
    </row>
    <row r="500" spans="1:11" x14ac:dyDescent="0.25">
      <c r="A500" t="str">
        <f>HYPERLINK("http://www.corstruth.com.au/WA/BADD-003_cs.png","BADD-003_A4")</f>
        <v>BADD-003_A4</v>
      </c>
      <c r="B500" t="str">
        <f>HYPERLINK("http://www.corstruth.com.au/WA/PNG2/BADD-003_cs.png","BADD-003_0.25m Bins")</f>
        <v>BADD-003_0.25m Bins</v>
      </c>
      <c r="C500" t="str">
        <f>HYPERLINK("http://www.corstruth.com.au/WA/CSV/BADD-003.csv","BADD-003_CSV File 1m Bins")</f>
        <v>BADD-003_CSV File 1m Bins</v>
      </c>
      <c r="D500" t="s">
        <v>673</v>
      </c>
      <c r="E500" t="s">
        <v>1</v>
      </c>
      <c r="G500" t="s">
        <v>623</v>
      </c>
      <c r="H500" t="s">
        <v>671</v>
      </c>
      <c r="I500">
        <v>-31.222200000000001</v>
      </c>
      <c r="J500">
        <v>121.496</v>
      </c>
      <c r="K500" t="str">
        <f>HYPERLINK("http://geossdi.dmp.wa.gov.au/NVCLDataServices/mosaic.html?datasetid=80f32727-d9bf-4183-8b48-11b2fff65e2","BADD-003_Core Image")</f>
        <v>BADD-003_Core Image</v>
      </c>
    </row>
    <row r="501" spans="1:11" x14ac:dyDescent="0.25">
      <c r="A501" t="str">
        <f>HYPERLINK("http://www.corstruth.com.au/WA/BOD202_cs.png","BOD202_A4")</f>
        <v>BOD202_A4</v>
      </c>
      <c r="B501" t="str">
        <f>HYPERLINK("http://www.corstruth.com.au/WA/PNG2/BOD202_cs.png","BOD202_0.25m Bins")</f>
        <v>BOD202_0.25m Bins</v>
      </c>
      <c r="C501" t="str">
        <f>HYPERLINK("http://www.corstruth.com.au/WA/CSV/BOD202.csv","BOD202_CSV File 1m Bins")</f>
        <v>BOD202_CSV File 1m Bins</v>
      </c>
      <c r="D501" t="s">
        <v>674</v>
      </c>
      <c r="E501" t="s">
        <v>1</v>
      </c>
      <c r="G501" t="s">
        <v>623</v>
      </c>
      <c r="H501" t="s">
        <v>675</v>
      </c>
      <c r="I501">
        <v>-30.7913</v>
      </c>
      <c r="J501">
        <v>121.651</v>
      </c>
      <c r="K501" t="str">
        <f>HYPERLINK("http://geossdi.dmp.wa.gov.au/NVCLDataServices/mosaic.html?datasetid=8b660a9d-10aa-443f-82f1-df8772f645f","BOD202_Core Image")</f>
        <v>BOD202_Core Image</v>
      </c>
    </row>
    <row r="502" spans="1:11" x14ac:dyDescent="0.25">
      <c r="A502" t="str">
        <f>HYPERLINK("http://www.corstruth.com.au/WA/BODH015_cs.png","BODH015_A4")</f>
        <v>BODH015_A4</v>
      </c>
      <c r="B502" t="str">
        <f>HYPERLINK("http://www.corstruth.com.au/WA/PNG2/BODH015_cs.png","BODH015_0.25m Bins")</f>
        <v>BODH015_0.25m Bins</v>
      </c>
      <c r="C502" t="str">
        <f>HYPERLINK("http://www.corstruth.com.au/WA/CSV/BODH015.csv","BODH015_CSV File 1m Bins")</f>
        <v>BODH015_CSV File 1m Bins</v>
      </c>
      <c r="D502" t="s">
        <v>676</v>
      </c>
      <c r="E502" t="s">
        <v>1</v>
      </c>
      <c r="G502" t="s">
        <v>623</v>
      </c>
      <c r="H502" t="s">
        <v>675</v>
      </c>
      <c r="I502">
        <v>-30.795300000000001</v>
      </c>
      <c r="J502">
        <v>121.636</v>
      </c>
      <c r="K502" t="str">
        <f>HYPERLINK("http://geossdi.dmp.wa.gov.au/NVCLDataServices/mosaic.html?datasetid=b0dd2e64-71c4-4ea2-8d6e-427f47f3b14","BODH015_Core Image")</f>
        <v>BODH015_Core Image</v>
      </c>
    </row>
    <row r="503" spans="1:11" x14ac:dyDescent="0.25">
      <c r="A503" t="str">
        <f>HYPERLINK("http://www.corstruth.com.au/WA/BDDD0017_cs.png","BDDD0017_A4")</f>
        <v>BDDD0017_A4</v>
      </c>
      <c r="B503" t="str">
        <f>HYPERLINK("http://www.corstruth.com.au/WA/PNG2/BDDD0017_cs.png","BDDD0017_0.25m Bins")</f>
        <v>BDDD0017_0.25m Bins</v>
      </c>
      <c r="C503" t="str">
        <f>HYPERLINK("http://www.corstruth.com.au/WA/CSV/BDDD0017.csv","BDDD0017_CSV File 1m Bins")</f>
        <v>BDDD0017_CSV File 1m Bins</v>
      </c>
      <c r="D503" t="s">
        <v>677</v>
      </c>
      <c r="E503" t="s">
        <v>1</v>
      </c>
      <c r="G503" t="s">
        <v>623</v>
      </c>
      <c r="H503" t="s">
        <v>678</v>
      </c>
      <c r="I503">
        <v>-30.5594</v>
      </c>
      <c r="J503">
        <v>121.08499999999999</v>
      </c>
      <c r="K503" t="str">
        <f>HYPERLINK("http://geossdi.dmp.wa.gov.au/NVCLDataServices/mosaic.html?datasetid=3b2514b0-51f0-437c-a7ac-b2969e0c5f2","BDDD0017_Core Image")</f>
        <v>BDDD0017_Core Image</v>
      </c>
    </row>
    <row r="504" spans="1:11" x14ac:dyDescent="0.25">
      <c r="A504" t="str">
        <f>HYPERLINK("http://www.corstruth.com.au/WA/BWSDD001_cs.png","BWSDD001_A4")</f>
        <v>BWSDD001_A4</v>
      </c>
      <c r="B504" t="str">
        <f>HYPERLINK("http://www.corstruth.com.au/WA/PNG2/BWSDD001_cs.png","BWSDD001_0.25m Bins")</f>
        <v>BWSDD001_0.25m Bins</v>
      </c>
      <c r="C504" t="str">
        <f>HYPERLINK("http://www.corstruth.com.au/WA/CSV/BWSDD001.csv","BWSDD001_CSV File 1m Bins")</f>
        <v>BWSDD001_CSV File 1m Bins</v>
      </c>
      <c r="D504" t="s">
        <v>679</v>
      </c>
      <c r="E504" t="s">
        <v>1</v>
      </c>
      <c r="G504" t="s">
        <v>623</v>
      </c>
      <c r="H504" t="s">
        <v>680</v>
      </c>
      <c r="I504">
        <v>-27.4146</v>
      </c>
      <c r="J504">
        <v>121.014</v>
      </c>
      <c r="K504" t="str">
        <f>HYPERLINK("http://geossdi.dmp.wa.gov.au/NVCLDataServices/mosaic.html?datasetid=c0f23a1a-9e5a-4f1c-9c7f-dad748bd19b","BWSDD001_Core Image")</f>
        <v>BWSDD001_Core Image</v>
      </c>
    </row>
    <row r="505" spans="1:11" x14ac:dyDescent="0.25">
      <c r="A505" t="str">
        <f>HYPERLINK("http://www.corstruth.com.au/WA/BWSDD003_cs.png","BWSDD003_A4")</f>
        <v>BWSDD003_A4</v>
      </c>
      <c r="B505" t="str">
        <f>HYPERLINK("http://www.corstruth.com.au/WA/PNG2/BWSDD003_cs.png","BWSDD003_0.25m Bins")</f>
        <v>BWSDD003_0.25m Bins</v>
      </c>
      <c r="C505" t="str">
        <f>HYPERLINK("http://www.corstruth.com.au/WA/CSV/BWSDD003.csv","BWSDD003_CSV File 1m Bins")</f>
        <v>BWSDD003_CSV File 1m Bins</v>
      </c>
      <c r="D505" t="s">
        <v>681</v>
      </c>
      <c r="E505" t="s">
        <v>1</v>
      </c>
      <c r="G505" t="s">
        <v>623</v>
      </c>
      <c r="H505" t="s">
        <v>680</v>
      </c>
      <c r="I505">
        <v>-27.419499999999999</v>
      </c>
      <c r="J505">
        <v>121.014</v>
      </c>
      <c r="K505" t="str">
        <f>HYPERLINK("http://geossdi.dmp.wa.gov.au/NVCLDataServices/mosaic.html?datasetid=ae97bdc0-e9a0-4f8e-bbd9-d9073ead7ae","BWSDD003_Core Image")</f>
        <v>BWSDD003_Core Image</v>
      </c>
    </row>
    <row r="506" spans="1:11" x14ac:dyDescent="0.25">
      <c r="A506" t="str">
        <f>HYPERLINK("http://www.corstruth.com.au/WA/BDD1_cs.png","BDD1_A4")</f>
        <v>BDD1_A4</v>
      </c>
      <c r="B506" t="str">
        <f>HYPERLINK("http://www.corstruth.com.au/WA/PNG2/BDD1_cs.png","BDD1_0.25m Bins")</f>
        <v>BDD1_0.25m Bins</v>
      </c>
      <c r="C506" t="str">
        <f>HYPERLINK("http://www.corstruth.com.au/WA/CSV/BDD1.csv","BDD1_CSV File 1m Bins")</f>
        <v>BDD1_CSV File 1m Bins</v>
      </c>
      <c r="D506" t="s">
        <v>682</v>
      </c>
      <c r="E506" t="s">
        <v>1</v>
      </c>
      <c r="G506" t="s">
        <v>623</v>
      </c>
      <c r="H506" t="s">
        <v>683</v>
      </c>
      <c r="I506">
        <v>-32.051000000000002</v>
      </c>
      <c r="J506">
        <v>122.03400000000001</v>
      </c>
      <c r="K506" t="str">
        <f>HYPERLINK("http://geossdi.dmp.wa.gov.au/NVCLDataServices/mosaic.html?datasetid=bd9b33cc-535c-4644-aac8-6abcc9201a0","BDD1_Core Image")</f>
        <v>BDD1_Core Image</v>
      </c>
    </row>
    <row r="507" spans="1:11" x14ac:dyDescent="0.25">
      <c r="A507" t="str">
        <f>HYPERLINK("http://www.corstruth.com.au/WA/BDD2_cs.png","BDD2_A4")</f>
        <v>BDD2_A4</v>
      </c>
      <c r="B507" t="str">
        <f>HYPERLINK("http://www.corstruth.com.au/WA/PNG2/BDD2_cs.png","BDD2_0.25m Bins")</f>
        <v>BDD2_0.25m Bins</v>
      </c>
      <c r="C507" t="str">
        <f>HYPERLINK("http://www.corstruth.com.au/WA/CSV/BDD2.csv","BDD2_CSV File 1m Bins")</f>
        <v>BDD2_CSV File 1m Bins</v>
      </c>
      <c r="D507" t="s">
        <v>684</v>
      </c>
      <c r="E507" t="s">
        <v>1</v>
      </c>
      <c r="G507" t="s">
        <v>623</v>
      </c>
      <c r="H507" t="s">
        <v>683</v>
      </c>
      <c r="I507">
        <v>-32.050899999999999</v>
      </c>
      <c r="J507">
        <v>122.036</v>
      </c>
      <c r="K507" t="str">
        <f>HYPERLINK("http://geossdi.dmp.wa.gov.au/NVCLDataServices/mosaic.html?datasetid=f1565a83-aa6b-4676-87cb-afbc5e08dfe","BDD2_Core Image")</f>
        <v>BDD2_Core Image</v>
      </c>
    </row>
    <row r="508" spans="1:11" x14ac:dyDescent="0.25">
      <c r="A508" t="str">
        <f>HYPERLINK("http://www.corstruth.com.au/WA/BDD3_cs.png","BDD3_A4")</f>
        <v>BDD3_A4</v>
      </c>
      <c r="B508" t="str">
        <f>HYPERLINK("http://www.corstruth.com.au/WA/PNG2/BDD3_cs.png","BDD3_0.25m Bins")</f>
        <v>BDD3_0.25m Bins</v>
      </c>
      <c r="C508" t="str">
        <f>HYPERLINK("http://www.corstruth.com.au/WA/CSV/BDD3.csv","BDD3_CSV File 1m Bins")</f>
        <v>BDD3_CSV File 1m Bins</v>
      </c>
      <c r="D508" t="s">
        <v>685</v>
      </c>
      <c r="E508" t="s">
        <v>1</v>
      </c>
      <c r="G508" t="s">
        <v>623</v>
      </c>
      <c r="H508" t="s">
        <v>683</v>
      </c>
      <c r="I508">
        <v>-32.051099999999998</v>
      </c>
      <c r="J508">
        <v>122.038</v>
      </c>
      <c r="K508" t="str">
        <f>HYPERLINK("http://geossdi.dmp.wa.gov.au/NVCLDataServices/mosaic.html?datasetid=6f9f67a8-db50-42a4-8a52-984759bdf71","BDD3_Core Image")</f>
        <v>BDD3_Core Image</v>
      </c>
    </row>
    <row r="509" spans="1:11" x14ac:dyDescent="0.25">
      <c r="A509" t="str">
        <f>HYPERLINK("http://www.corstruth.com.au/WA/BDD4_cs.png","BDD4_A4")</f>
        <v>BDD4_A4</v>
      </c>
      <c r="B509" t="str">
        <f>HYPERLINK("http://www.corstruth.com.au/WA/PNG2/BDD4_cs.png","BDD4_0.25m Bins")</f>
        <v>BDD4_0.25m Bins</v>
      </c>
      <c r="C509" t="str">
        <f>HYPERLINK("http://www.corstruth.com.au/WA/CSV/BDD4.csv","BDD4_CSV File 1m Bins")</f>
        <v>BDD4_CSV File 1m Bins</v>
      </c>
      <c r="D509" t="s">
        <v>686</v>
      </c>
      <c r="E509" t="s">
        <v>1</v>
      </c>
      <c r="G509" t="s">
        <v>623</v>
      </c>
      <c r="H509" t="s">
        <v>683</v>
      </c>
      <c r="I509">
        <v>-32.051099999999998</v>
      </c>
      <c r="J509">
        <v>122.039</v>
      </c>
      <c r="K509" t="str">
        <f>HYPERLINK("http://geossdi.dmp.wa.gov.au/NVCLDataServices/mosaic.html?datasetid=f6d78c7a-2de5-434e-8d9e-cdab425eab1","BDD4_Core Image")</f>
        <v>BDD4_Core Image</v>
      </c>
    </row>
    <row r="510" spans="1:11" x14ac:dyDescent="0.25">
      <c r="A510" t="str">
        <f>HYPERLINK("http://www.corstruth.com.au/WA/BDD5_cs.png","BDD5_A4")</f>
        <v>BDD5_A4</v>
      </c>
      <c r="B510" t="str">
        <f>HYPERLINK("http://www.corstruth.com.au/WA/PNG2/BDD5_cs.png","BDD5_0.25m Bins")</f>
        <v>BDD5_0.25m Bins</v>
      </c>
      <c r="C510" t="str">
        <f>HYPERLINK("http://www.corstruth.com.au/WA/CSV/BDD5.csv","BDD5_CSV File 1m Bins")</f>
        <v>BDD5_CSV File 1m Bins</v>
      </c>
      <c r="D510" t="s">
        <v>687</v>
      </c>
      <c r="E510" t="s">
        <v>1</v>
      </c>
      <c r="G510" t="s">
        <v>623</v>
      </c>
      <c r="H510" t="s">
        <v>683</v>
      </c>
      <c r="I510">
        <v>-32.050600000000003</v>
      </c>
      <c r="J510">
        <v>122.041</v>
      </c>
      <c r="K510" t="str">
        <f>HYPERLINK("http://geossdi.dmp.wa.gov.au/NVCLDataServices/mosaic.html?datasetid=ab8b6fdb-f759-4cf4-bf68-7f32097d19d","BDD5_Core Image")</f>
        <v>BDD5_Core Image</v>
      </c>
    </row>
    <row r="511" spans="1:11" x14ac:dyDescent="0.25">
      <c r="A511" t="str">
        <f>HYPERLINK("http://www.corstruth.com.au/WA/BDD6_cs.png","BDD6_A4")</f>
        <v>BDD6_A4</v>
      </c>
      <c r="B511" t="str">
        <f>HYPERLINK("http://www.corstruth.com.au/WA/PNG2/BDD6_cs.png","BDD6_0.25m Bins")</f>
        <v>BDD6_0.25m Bins</v>
      </c>
      <c r="C511" t="str">
        <f>HYPERLINK("http://www.corstruth.com.au/WA/CSV/BDD6.csv","BDD6_CSV File 1m Bins")</f>
        <v>BDD6_CSV File 1m Bins</v>
      </c>
      <c r="D511" t="s">
        <v>688</v>
      </c>
      <c r="E511" t="s">
        <v>1</v>
      </c>
      <c r="G511" t="s">
        <v>623</v>
      </c>
      <c r="H511" t="s">
        <v>683</v>
      </c>
      <c r="I511">
        <v>-32.050600000000003</v>
      </c>
      <c r="J511">
        <v>122.04300000000001</v>
      </c>
      <c r="K511" t="str">
        <f>HYPERLINK("http://geossdi.dmp.wa.gov.au/NVCLDataServices/mosaic.html?datasetid=f7788e25-1faf-4a02-84f0-28eb31373d8","BDD6_Core Image")</f>
        <v>BDD6_Core Image</v>
      </c>
    </row>
    <row r="512" spans="1:11" x14ac:dyDescent="0.25">
      <c r="A512" t="str">
        <f>HYPERLINK("http://www.corstruth.com.au/WA/BDD6A_cs.png","BDD6A_A4")</f>
        <v>BDD6A_A4</v>
      </c>
      <c r="B512" t="str">
        <f>HYPERLINK("http://www.corstruth.com.au/WA/PNG2/BDD6A_cs.png","BDD6A_0.25m Bins")</f>
        <v>BDD6A_0.25m Bins</v>
      </c>
      <c r="C512" t="str">
        <f>HYPERLINK("http://www.corstruth.com.au/WA/CSV/BDD6A.csv","BDD6A_CSV File 1m Bins")</f>
        <v>BDD6A_CSV File 1m Bins</v>
      </c>
      <c r="D512" t="s">
        <v>689</v>
      </c>
      <c r="E512" t="s">
        <v>1</v>
      </c>
      <c r="G512" t="s">
        <v>623</v>
      </c>
      <c r="H512" t="s">
        <v>683</v>
      </c>
      <c r="I512">
        <v>-32.050600000000003</v>
      </c>
      <c r="J512">
        <v>122.04300000000001</v>
      </c>
      <c r="K512" t="str">
        <f>HYPERLINK("http://geossdi.dmp.wa.gov.au/NVCLDataServices/mosaic.html?datasetid=dc82f580-6bf1-4587-8325-b3f0c9a1e8f","BDD6A_Core Image")</f>
        <v>BDD6A_Core Image</v>
      </c>
    </row>
    <row r="513" spans="1:11" x14ac:dyDescent="0.25">
      <c r="A513" t="str">
        <f>HYPERLINK("http://www.corstruth.com.au/WA/BDD7_cs.png","BDD7_A4")</f>
        <v>BDD7_A4</v>
      </c>
      <c r="B513" t="str">
        <f>HYPERLINK("http://www.corstruth.com.au/WA/PNG2/BDD7_cs.png","BDD7_0.25m Bins")</f>
        <v>BDD7_0.25m Bins</v>
      </c>
      <c r="C513" t="str">
        <f>HYPERLINK("http://www.corstruth.com.au/WA/CSV/BDD7.csv","BDD7_CSV File 1m Bins")</f>
        <v>BDD7_CSV File 1m Bins</v>
      </c>
      <c r="D513" t="s">
        <v>690</v>
      </c>
      <c r="E513" t="s">
        <v>1</v>
      </c>
      <c r="G513" t="s">
        <v>623</v>
      </c>
      <c r="H513" t="s">
        <v>683</v>
      </c>
      <c r="I513">
        <v>-32.052900000000001</v>
      </c>
      <c r="J513">
        <v>122.03700000000001</v>
      </c>
      <c r="K513" t="str">
        <f>HYPERLINK("http://geossdi.dmp.wa.gov.au/NVCLDataServices/mosaic.html?datasetid=67cb73fc-d25d-40d9-b2bc-3bf3b591d89","BDD7_Core Image")</f>
        <v>BDD7_Core Image</v>
      </c>
    </row>
    <row r="514" spans="1:11" x14ac:dyDescent="0.25">
      <c r="A514" t="str">
        <f>HYPERLINK("http://www.corstruth.com.au/WA/BDD8_cs.png","BDD8_A4")</f>
        <v>BDD8_A4</v>
      </c>
      <c r="B514" t="str">
        <f>HYPERLINK("http://www.corstruth.com.au/WA/PNG2/BDD8_cs.png","BDD8_0.25m Bins")</f>
        <v>BDD8_0.25m Bins</v>
      </c>
      <c r="C514" t="str">
        <f>HYPERLINK("http://www.corstruth.com.au/WA/CSV/BDD8.csv","BDD8_CSV File 1m Bins")</f>
        <v>BDD8_CSV File 1m Bins</v>
      </c>
      <c r="D514" t="s">
        <v>691</v>
      </c>
      <c r="E514" t="s">
        <v>1</v>
      </c>
      <c r="G514" t="s">
        <v>623</v>
      </c>
      <c r="H514" t="s">
        <v>683</v>
      </c>
      <c r="I514">
        <v>-32.052900000000001</v>
      </c>
      <c r="J514">
        <v>122.038</v>
      </c>
      <c r="K514" t="str">
        <f>HYPERLINK("http://geossdi.dmp.wa.gov.au/NVCLDataServices/mosaic.html?datasetid=0e7a776e-9138-480d-b66e-c45b68d11ef","BDD8_Core Image")</f>
        <v>BDD8_Core Image</v>
      </c>
    </row>
    <row r="515" spans="1:11" x14ac:dyDescent="0.25">
      <c r="A515" t="str">
        <f>HYPERLINK("http://www.corstruth.com.au/WA/FFD01_cs.png","FFD01_A4")</f>
        <v>FFD01_A4</v>
      </c>
      <c r="B515" t="str">
        <f>HYPERLINK("http://www.corstruth.com.au/WA/PNG2/FFD01_cs.png","FFD01_0.25m Bins")</f>
        <v>FFD01_0.25m Bins</v>
      </c>
      <c r="C515" t="str">
        <f>HYPERLINK("http://www.corstruth.com.au/WA/CSV/FFD01.csv","FFD01_CSV File 1m Bins")</f>
        <v>FFD01_CSV File 1m Bins</v>
      </c>
      <c r="D515" t="s">
        <v>692</v>
      </c>
      <c r="E515" t="s">
        <v>1</v>
      </c>
      <c r="G515" t="s">
        <v>623</v>
      </c>
      <c r="H515" t="s">
        <v>693</v>
      </c>
      <c r="I515">
        <v>-30.9434</v>
      </c>
      <c r="J515">
        <v>120.91800000000001</v>
      </c>
      <c r="K515" t="str">
        <f>HYPERLINK("http://geossdi.dmp.wa.gov.au/NVCLDataServices/mosaic.html?datasetid=471730fe-66ba-451e-8829-8f4e4cef47f","FFD01_Core Image")</f>
        <v>FFD01_Core Image</v>
      </c>
    </row>
    <row r="516" spans="1:11" x14ac:dyDescent="0.25">
      <c r="A516" t="str">
        <f>HYPERLINK("http://www.corstruth.com.au/WA/FFD02_cs.png","FFD02_A4")</f>
        <v>FFD02_A4</v>
      </c>
      <c r="B516" t="str">
        <f>HYPERLINK("http://www.corstruth.com.au/WA/PNG2/FFD02_cs.png","FFD02_0.25m Bins")</f>
        <v>FFD02_0.25m Bins</v>
      </c>
      <c r="C516" t="str">
        <f>HYPERLINK("http://www.corstruth.com.au/WA/CSV/FFD02.csv","FFD02_CSV File 1m Bins")</f>
        <v>FFD02_CSV File 1m Bins</v>
      </c>
      <c r="D516" t="s">
        <v>694</v>
      </c>
      <c r="E516" t="s">
        <v>1</v>
      </c>
      <c r="G516" t="s">
        <v>623</v>
      </c>
      <c r="H516" t="s">
        <v>693</v>
      </c>
      <c r="I516">
        <v>-30.9434</v>
      </c>
      <c r="J516">
        <v>120.917</v>
      </c>
      <c r="K516" t="str">
        <f>HYPERLINK("http://geossdi.dmp.wa.gov.au/NVCLDataServices/mosaic.html?datasetid=e7e1a822-184a-47e9-9bad-f9feaa4fef8","FFD02_Core Image")</f>
        <v>FFD02_Core Image</v>
      </c>
    </row>
    <row r="517" spans="1:11" x14ac:dyDescent="0.25">
      <c r="A517" t="str">
        <f>HYPERLINK("http://www.corstruth.com.au/WA/FFD03_cs.png","FFD03_A4")</f>
        <v>FFD03_A4</v>
      </c>
      <c r="B517" t="str">
        <f>HYPERLINK("http://www.corstruth.com.au/WA/PNG2/FFD03_cs.png","FFD03_0.25m Bins")</f>
        <v>FFD03_0.25m Bins</v>
      </c>
      <c r="C517" t="str">
        <f>HYPERLINK("http://www.corstruth.com.au/WA/CSV/FFD03.csv","FFD03_CSV File 1m Bins")</f>
        <v>FFD03_CSV File 1m Bins</v>
      </c>
      <c r="D517" t="s">
        <v>695</v>
      </c>
      <c r="E517" t="s">
        <v>1</v>
      </c>
      <c r="G517" t="s">
        <v>623</v>
      </c>
      <c r="H517" t="s">
        <v>693</v>
      </c>
      <c r="I517">
        <v>-30.944700000000001</v>
      </c>
      <c r="J517">
        <v>120.92</v>
      </c>
      <c r="K517" t="str">
        <f>HYPERLINK("http://geossdi.dmp.wa.gov.au/NVCLDataServices/mosaic.html?datasetid=c2d9d415-1a99-48af-b5f9-006e4039902","FFD03_Core Image")</f>
        <v>FFD03_Core Image</v>
      </c>
    </row>
    <row r="518" spans="1:11" x14ac:dyDescent="0.25">
      <c r="A518" t="str">
        <f>HYPERLINK("http://www.corstruth.com.au/WA/FFD04_cs.png","FFD04_A4")</f>
        <v>FFD04_A4</v>
      </c>
      <c r="B518" t="str">
        <f>HYPERLINK("http://www.corstruth.com.au/WA/PNG2/FFD04_cs.png","FFD04_0.25m Bins")</f>
        <v>FFD04_0.25m Bins</v>
      </c>
      <c r="C518" t="str">
        <f>HYPERLINK("http://www.corstruth.com.au/WA/CSV/FFD04.csv","FFD04_CSV File 1m Bins")</f>
        <v>FFD04_CSV File 1m Bins</v>
      </c>
      <c r="D518" t="s">
        <v>696</v>
      </c>
      <c r="E518" t="s">
        <v>1</v>
      </c>
      <c r="G518" t="s">
        <v>623</v>
      </c>
      <c r="H518" t="s">
        <v>693</v>
      </c>
      <c r="I518">
        <v>-30.9419</v>
      </c>
      <c r="J518">
        <v>120.917</v>
      </c>
      <c r="K518" t="str">
        <f>HYPERLINK("http://geossdi.dmp.wa.gov.au/NVCLDataServices/mosaic.html?datasetid=a308d14a-b042-43d6-b7f3-749d4e4aaaa","FFD04_Core Image")</f>
        <v>FFD04_Core Image</v>
      </c>
    </row>
    <row r="519" spans="1:11" x14ac:dyDescent="0.25">
      <c r="A519" t="str">
        <f>HYPERLINK("http://www.corstruth.com.au/WA/BUG049_cs.png","BUG049_A4")</f>
        <v>BUG049_A4</v>
      </c>
      <c r="B519" t="str">
        <f>HYPERLINK("http://www.corstruth.com.au/WA/PNG2/BUG049_cs.png","BUG049_0.25m Bins")</f>
        <v>BUG049_0.25m Bins</v>
      </c>
      <c r="C519" t="str">
        <f>HYPERLINK("http://www.corstruth.com.au/WA/CSV/BUG049.csv","BUG049_CSV File 1m Bins")</f>
        <v>BUG049_CSV File 1m Bins</v>
      </c>
      <c r="D519" t="s">
        <v>697</v>
      </c>
      <c r="E519" t="s">
        <v>1</v>
      </c>
      <c r="G519" t="s">
        <v>623</v>
      </c>
      <c r="H519" t="s">
        <v>698</v>
      </c>
      <c r="I519">
        <v>-30.5261</v>
      </c>
      <c r="J519">
        <v>121.059</v>
      </c>
      <c r="K519" t="str">
        <f>HYPERLINK("http://geossdi.dmp.wa.gov.au/NVCLDataServices/mosaic.html?datasetid=6244b826-111f-41da-9c77-603c7c7cc81","BUG049_Core Image")</f>
        <v>BUG049_Core Image</v>
      </c>
    </row>
    <row r="520" spans="1:11" x14ac:dyDescent="0.25">
      <c r="A520" t="str">
        <f>HYPERLINK("http://www.corstruth.com.au/WA/BUR2034_cs.png","BUR2034_A4")</f>
        <v>BUR2034_A4</v>
      </c>
      <c r="B520" t="str">
        <f>HYPERLINK("http://www.corstruth.com.au/WA/PNG2/BUR2034_cs.png","BUR2034_0.25m Bins")</f>
        <v>BUR2034_0.25m Bins</v>
      </c>
      <c r="C520" t="str">
        <f>HYPERLINK("http://www.corstruth.com.au/WA/CSV/BUR2034.csv","BUR2034_CSV File 1m Bins")</f>
        <v>BUR2034_CSV File 1m Bins</v>
      </c>
      <c r="D520" t="s">
        <v>699</v>
      </c>
      <c r="E520" t="s">
        <v>1</v>
      </c>
      <c r="G520" t="s">
        <v>623</v>
      </c>
      <c r="H520" t="s">
        <v>700</v>
      </c>
      <c r="I520">
        <v>-30.651700000000002</v>
      </c>
      <c r="J520">
        <v>121.824</v>
      </c>
      <c r="K520" t="str">
        <f>HYPERLINK("http://geossdi.dmp.wa.gov.au/NVCLDataServices/mosaic.html?datasetid=c7480b06-a0a0-412d-9f1f-ec95c0bde79","BUR2034_Core Image")</f>
        <v>BUR2034_Core Image</v>
      </c>
    </row>
    <row r="521" spans="1:11" x14ac:dyDescent="0.25">
      <c r="A521" t="str">
        <f>HYPERLINK("http://www.corstruth.com.au/WA/BUR2035_cs.png","BUR2035_A4")</f>
        <v>BUR2035_A4</v>
      </c>
      <c r="B521" t="str">
        <f>HYPERLINK("http://www.corstruth.com.au/WA/PNG2/BUR2035_cs.png","BUR2035_0.25m Bins")</f>
        <v>BUR2035_0.25m Bins</v>
      </c>
      <c r="C521" t="str">
        <f>HYPERLINK("http://www.corstruth.com.au/WA/CSV/BUR2035.csv","BUR2035_CSV File 1m Bins")</f>
        <v>BUR2035_CSV File 1m Bins</v>
      </c>
      <c r="D521" t="s">
        <v>701</v>
      </c>
      <c r="E521" t="s">
        <v>1</v>
      </c>
      <c r="G521" t="s">
        <v>623</v>
      </c>
      <c r="H521" t="s">
        <v>700</v>
      </c>
      <c r="I521">
        <v>-30.651399999999999</v>
      </c>
      <c r="J521">
        <v>121.827</v>
      </c>
      <c r="K521" t="str">
        <f>HYPERLINK("http://geossdi.dmp.wa.gov.au/NVCLDataServices/mosaic.html?datasetid=d04ba061-14fd-4386-a650-82c75b14fce","BUR2035_Core Image")</f>
        <v>BUR2035_Core Image</v>
      </c>
    </row>
    <row r="522" spans="1:11" x14ac:dyDescent="0.25">
      <c r="A522" t="str">
        <f>HYPERLINK("http://www.corstruth.com.au/WA/BUR2037_cs.png","BUR2037_A4")</f>
        <v>BUR2037_A4</v>
      </c>
      <c r="B522" t="str">
        <f>HYPERLINK("http://www.corstruth.com.au/WA/PNG2/BUR2037_cs.png","BUR2037_0.25m Bins")</f>
        <v>BUR2037_0.25m Bins</v>
      </c>
      <c r="C522" t="str">
        <f>HYPERLINK("http://www.corstruth.com.au/WA/CSV/BUR2037.csv","BUR2037_CSV File 1m Bins")</f>
        <v>BUR2037_CSV File 1m Bins</v>
      </c>
      <c r="D522" t="s">
        <v>702</v>
      </c>
      <c r="E522" t="s">
        <v>1</v>
      </c>
      <c r="G522" t="s">
        <v>623</v>
      </c>
      <c r="H522" t="s">
        <v>700</v>
      </c>
      <c r="I522">
        <v>-30.6523</v>
      </c>
      <c r="J522">
        <v>121.824</v>
      </c>
      <c r="K522" t="str">
        <f>HYPERLINK("http://geossdi.dmp.wa.gov.au/NVCLDataServices/mosaic.html?datasetid=a06e02c6-b03b-4c47-afa6-584a169bc6a","BUR2037_Core Image")</f>
        <v>BUR2037_Core Image</v>
      </c>
    </row>
    <row r="523" spans="1:11" x14ac:dyDescent="0.25">
      <c r="A523" t="str">
        <f>HYPERLINK("http://www.corstruth.com.au/WA/LEFD006_cs.png","LEFD006_A4")</f>
        <v>LEFD006_A4</v>
      </c>
      <c r="B523" t="str">
        <f>HYPERLINK("http://www.corstruth.com.au/WA/PNG2/LEFD006_cs.png","LEFD006_0.25m Bins")</f>
        <v>LEFD006_0.25m Bins</v>
      </c>
      <c r="C523" t="str">
        <f>HYPERLINK("http://www.corstruth.com.au/WA/CSV/LEFD006.csv","LEFD006_CSV File 1m Bins")</f>
        <v>LEFD006_CSV File 1m Bins</v>
      </c>
      <c r="D523" t="s">
        <v>703</v>
      </c>
      <c r="E523" t="s">
        <v>1</v>
      </c>
      <c r="G523" t="s">
        <v>623</v>
      </c>
      <c r="H523" t="s">
        <v>704</v>
      </c>
      <c r="I523">
        <v>-31.182600000000001</v>
      </c>
      <c r="J523">
        <v>122.024</v>
      </c>
      <c r="K523" t="str">
        <f>HYPERLINK("http://geossdi.dmp.wa.gov.au/NVCLDataServices/mosaic.html?datasetid=b3b06b47-9e9a-42fd-984b-6d52585a6c5","LEFD006_Core Image")</f>
        <v>LEFD006_Core Image</v>
      </c>
    </row>
    <row r="524" spans="1:11" x14ac:dyDescent="0.25">
      <c r="A524" t="str">
        <f>HYPERLINK("http://www.corstruth.com.au/WA/OBUDD002_cs.png","OBUDD002_A4")</f>
        <v>OBUDD002_A4</v>
      </c>
      <c r="B524" t="str">
        <f>HYPERLINK("http://www.corstruth.com.au/WA/PNG2/OBUDD002_cs.png","OBUDD002_0.25m Bins")</f>
        <v>OBUDD002_0.25m Bins</v>
      </c>
      <c r="C524" t="str">
        <f>HYPERLINK("http://www.corstruth.com.au/WA/CSV/OBUDD002.csv","OBUDD002_CSV File 1m Bins")</f>
        <v>OBUDD002_CSV File 1m Bins</v>
      </c>
      <c r="D524" t="s">
        <v>705</v>
      </c>
      <c r="E524" t="s">
        <v>1</v>
      </c>
      <c r="G524" t="s">
        <v>623</v>
      </c>
      <c r="H524" t="s">
        <v>706</v>
      </c>
      <c r="I524">
        <v>-31.185400000000001</v>
      </c>
      <c r="J524">
        <v>122.02800000000001</v>
      </c>
      <c r="K524" t="str">
        <f>HYPERLINK("http://geossdi.dmp.wa.gov.au/NVCLDataServices/mosaic.html?datasetid=ccc6dd11-fa7f-45c2-bc9a-dc98eb0cdf5","OBUDD002_Core Image")</f>
        <v>OBUDD002_Core Image</v>
      </c>
    </row>
    <row r="525" spans="1:11" x14ac:dyDescent="0.25">
      <c r="A525" t="str">
        <f>HYPERLINK("http://www.corstruth.com.au/WA/OBUDD003_cs.png","OBUDD003_A4")</f>
        <v>OBUDD003_A4</v>
      </c>
      <c r="B525" t="str">
        <f>HYPERLINK("http://www.corstruth.com.au/WA/PNG2/OBUDD003_cs.png","OBUDD003_0.25m Bins")</f>
        <v>OBUDD003_0.25m Bins</v>
      </c>
      <c r="C525" t="str">
        <f>HYPERLINK("http://www.corstruth.com.au/WA/CSV/OBUDD003.csv","OBUDD003_CSV File 1m Bins")</f>
        <v>OBUDD003_CSV File 1m Bins</v>
      </c>
      <c r="D525" t="s">
        <v>707</v>
      </c>
      <c r="E525" t="s">
        <v>1</v>
      </c>
      <c r="G525" t="s">
        <v>623</v>
      </c>
      <c r="H525" t="s">
        <v>706</v>
      </c>
      <c r="I525">
        <v>-31.1812</v>
      </c>
      <c r="J525">
        <v>122.024</v>
      </c>
      <c r="K525" t="str">
        <f>HYPERLINK("http://geossdi.dmp.wa.gov.au/NVCLDataServices/mosaic.html?datasetid=e3afb9ba-8836-4086-8a76-72a61057379","OBUDD003_Core Image")</f>
        <v>OBUDD003_Core Image</v>
      </c>
    </row>
    <row r="526" spans="1:11" x14ac:dyDescent="0.25">
      <c r="A526" t="str">
        <f>HYPERLINK("http://www.corstruth.com.au/WA/16CADD001_cs.png","16CADD001_A4")</f>
        <v>16CADD001_A4</v>
      </c>
      <c r="B526" t="str">
        <f>HYPERLINK("http://www.corstruth.com.au/WA/PNG2/16CADD001_cs.png","16CADD001_0.25m Bins")</f>
        <v>16CADD001_0.25m Bins</v>
      </c>
      <c r="C526" t="str">
        <f>HYPERLINK("http://www.corstruth.com.au/WA/CSV/16CADD001.csv","16CADD001_CSV File 1m Bins")</f>
        <v>16CADD001_CSV File 1m Bins</v>
      </c>
      <c r="D526" t="s">
        <v>708</v>
      </c>
      <c r="E526" t="s">
        <v>1</v>
      </c>
      <c r="G526" t="s">
        <v>623</v>
      </c>
      <c r="H526" t="s">
        <v>709</v>
      </c>
      <c r="I526">
        <v>-28.872399999999999</v>
      </c>
      <c r="J526">
        <v>122.227</v>
      </c>
      <c r="K526" t="str">
        <f>HYPERLINK("http://geossdi.dmp.wa.gov.au/NVCLDataServices/mosaic.html?datasetid=ace388ac-e3a2-4ff7-a2c2-2353ffbbc5f","16CADD001_Core Image")</f>
        <v>16CADD001_Core Image</v>
      </c>
    </row>
    <row r="527" spans="1:11" x14ac:dyDescent="0.25">
      <c r="A527" t="str">
        <f>HYPERLINK("http://www.corstruth.com.au/WA/16CADD002_cs.png","16CADD002_A4")</f>
        <v>16CADD002_A4</v>
      </c>
      <c r="B527" t="str">
        <f>HYPERLINK("http://www.corstruth.com.au/WA/PNG2/16CADD002_cs.png","16CADD002_0.25m Bins")</f>
        <v>16CADD002_0.25m Bins</v>
      </c>
      <c r="C527" t="str">
        <f>HYPERLINK("http://www.corstruth.com.au/WA/CSV/16CADD002.csv","16CADD002_CSV File 1m Bins")</f>
        <v>16CADD002_CSV File 1m Bins</v>
      </c>
      <c r="D527" t="s">
        <v>710</v>
      </c>
      <c r="E527" t="s">
        <v>1</v>
      </c>
      <c r="G527" t="s">
        <v>623</v>
      </c>
      <c r="H527" t="s">
        <v>709</v>
      </c>
      <c r="I527">
        <v>-28.872499999999999</v>
      </c>
      <c r="J527">
        <v>122.23399999999999</v>
      </c>
      <c r="K527" t="str">
        <f>HYPERLINK("http://geossdi.dmp.wa.gov.au/NVCLDataServices/mosaic.html?datasetid=04c3638b-f0c9-41ef-94f6-ac3dfe74042","16CADD002_Core Image")</f>
        <v>16CADD002_Core Image</v>
      </c>
    </row>
    <row r="528" spans="1:11" x14ac:dyDescent="0.25">
      <c r="A528" t="str">
        <f>HYPERLINK("http://www.corstruth.com.au/WA/NCB0003_cs.png","NCB0003_A4")</f>
        <v>NCB0003_A4</v>
      </c>
      <c r="B528" t="str">
        <f>HYPERLINK("http://www.corstruth.com.au/WA/PNG2/NCB0003_cs.png","NCB0003_0.25m Bins")</f>
        <v>NCB0003_0.25m Bins</v>
      </c>
      <c r="C528" t="str">
        <f>HYPERLINK("http://www.corstruth.com.au/WA/CSV/NCB0003.csv","NCB0003_CSV File 1m Bins")</f>
        <v>NCB0003_CSV File 1m Bins</v>
      </c>
      <c r="D528" t="s">
        <v>711</v>
      </c>
      <c r="E528" t="s">
        <v>1</v>
      </c>
      <c r="G528" t="s">
        <v>623</v>
      </c>
      <c r="H528" t="s">
        <v>712</v>
      </c>
      <c r="I528">
        <v>-30.096</v>
      </c>
      <c r="J528">
        <v>121.613</v>
      </c>
      <c r="K528" t="str">
        <f>HYPERLINK("http://geossdi.dmp.wa.gov.au/NVCLDataServices/mosaic.html?datasetid=c4c0bd7b-c374-498f-b468-821f9a5992c","NCB0003_Core Image")</f>
        <v>NCB0003_Core Image</v>
      </c>
    </row>
    <row r="529" spans="1:11" x14ac:dyDescent="0.25">
      <c r="A529" t="str">
        <f>HYPERLINK("http://www.corstruth.com.au/WA/NCB0003W1_cs.png","NCB0003W1_A4")</f>
        <v>NCB0003W1_A4</v>
      </c>
      <c r="B529" t="str">
        <f>HYPERLINK("http://www.corstruth.com.au/WA/PNG2/NCB0003W1_cs.png","NCB0003W1_0.25m Bins")</f>
        <v>NCB0003W1_0.25m Bins</v>
      </c>
      <c r="C529" t="str">
        <f>HYPERLINK("http://www.corstruth.com.au/WA/CSV/NCB0003W1.csv","NCB0003W1_CSV File 1m Bins")</f>
        <v>NCB0003W1_CSV File 1m Bins</v>
      </c>
      <c r="D529" t="s">
        <v>713</v>
      </c>
      <c r="E529" t="s">
        <v>1</v>
      </c>
      <c r="G529" t="s">
        <v>623</v>
      </c>
      <c r="H529" t="s">
        <v>712</v>
      </c>
      <c r="I529">
        <v>-30.096</v>
      </c>
      <c r="J529">
        <v>121.613</v>
      </c>
      <c r="K529" t="str">
        <f>HYPERLINK("http://geossdi.dmp.wa.gov.au/NVCLDataServices/mosaic.html?datasetid=31c82ab5-1ec8-42c5-ab51-f4ef388e513","NCB0003W1_Core Image")</f>
        <v>NCB0003W1_Core Image</v>
      </c>
    </row>
    <row r="530" spans="1:11" x14ac:dyDescent="0.25">
      <c r="A530" t="str">
        <f>HYPERLINK("http://www.corstruth.com.au/WA/DD97CB038A_cs.png","DD97CB038A_A4")</f>
        <v>DD97CB038A_A4</v>
      </c>
      <c r="B530" t="str">
        <f>HYPERLINK("http://www.corstruth.com.au/WA/PNG2/DD97CB038A_cs.png","DD97CB038A_0.25m Bins")</f>
        <v>DD97CB038A_0.25m Bins</v>
      </c>
      <c r="C530" t="str">
        <f>HYPERLINK("http://www.corstruth.com.au/WA/CSV/DD97CB038A.csv","DD97CB038A_CSV File 1m Bins")</f>
        <v>DD97CB038A_CSV File 1m Bins</v>
      </c>
      <c r="D530" t="s">
        <v>714</v>
      </c>
      <c r="E530" t="s">
        <v>1</v>
      </c>
      <c r="G530" t="s">
        <v>623</v>
      </c>
      <c r="H530" t="s">
        <v>715</v>
      </c>
      <c r="I530">
        <v>-30.069800000000001</v>
      </c>
      <c r="J530">
        <v>121.625</v>
      </c>
      <c r="K530" t="str">
        <f>HYPERLINK("http://geossdi.dmp.wa.gov.au/NVCLDataServices/mosaic.html?datasetid=4a2b2430-4cef-43c4-bd12-21519ae9dc8","DD97CB038A_Core Image")</f>
        <v>DD97CB038A_Core Image</v>
      </c>
    </row>
    <row r="531" spans="1:11" x14ac:dyDescent="0.25">
      <c r="A531" t="str">
        <f>HYPERLINK("http://www.corstruth.com.au/WA/CCUD001_cs.png","CCUD001_A4")</f>
        <v>CCUD001_A4</v>
      </c>
      <c r="B531" t="str">
        <f>HYPERLINK("http://www.corstruth.com.au/WA/PNG2/CCUD001_cs.png","CCUD001_0.25m Bins")</f>
        <v>CCUD001_0.25m Bins</v>
      </c>
      <c r="C531" t="str">
        <f>HYPERLINK("http://www.corstruth.com.au/WA/CSV/CCUD001.csv","CCUD001_CSV File 1m Bins")</f>
        <v>CCUD001_CSV File 1m Bins</v>
      </c>
      <c r="D531" t="s">
        <v>716</v>
      </c>
      <c r="E531" t="s">
        <v>1</v>
      </c>
      <c r="G531" t="s">
        <v>623</v>
      </c>
      <c r="H531" t="s">
        <v>717</v>
      </c>
      <c r="I531">
        <v>-30.753299999999999</v>
      </c>
      <c r="J531">
        <v>121.489</v>
      </c>
      <c r="K531" t="str">
        <f>HYPERLINK("http://geossdi.dmp.wa.gov.au/NVCLDataServices/mosaic.html?datasetid=5b1b632b-b94c-46d9-b2d2-bb1de5bab34","CCUD001_Core Image")</f>
        <v>CCUD001_Core Image</v>
      </c>
    </row>
    <row r="532" spans="1:11" x14ac:dyDescent="0.25">
      <c r="A532" t="str">
        <f>HYPERLINK("http://www.corstruth.com.au/WA/WMD118_cs.png","WMD118_A4")</f>
        <v>WMD118_A4</v>
      </c>
      <c r="B532" t="str">
        <f>HYPERLINK("http://www.corstruth.com.au/WA/PNG2/WMD118_cs.png","WMD118_0.25m Bins")</f>
        <v>WMD118_0.25m Bins</v>
      </c>
      <c r="C532" t="str">
        <f>HYPERLINK("http://www.corstruth.com.au/WA/CSV/WMD118.csv","WMD118_CSV File 1m Bins")</f>
        <v>WMD118_CSV File 1m Bins</v>
      </c>
      <c r="D532" t="s">
        <v>718</v>
      </c>
      <c r="E532" t="s">
        <v>1</v>
      </c>
      <c r="G532" t="s">
        <v>623</v>
      </c>
      <c r="H532" t="s">
        <v>719</v>
      </c>
      <c r="I532">
        <v>-31.8139</v>
      </c>
      <c r="J532">
        <v>121.511</v>
      </c>
      <c r="K532" t="str">
        <f>HYPERLINK("http://geossdi.dmp.wa.gov.au/NVCLDataServices/mosaic.html?datasetid=d1a15c7d-763e-4fdf-9347-a4ac4dab860","WMD118_Core Image")</f>
        <v>WMD118_Core Image</v>
      </c>
    </row>
    <row r="533" spans="1:11" x14ac:dyDescent="0.25">
      <c r="A533" t="str">
        <f>HYPERLINK("http://www.corstruth.com.au/WA/WMD28_cs.png","WMD28_A4")</f>
        <v>WMD28_A4</v>
      </c>
      <c r="B533" t="str">
        <f>HYPERLINK("http://www.corstruth.com.au/WA/PNG2/WMD28_cs.png","WMD28_0.25m Bins")</f>
        <v>WMD28_0.25m Bins</v>
      </c>
      <c r="C533" t="str">
        <f>HYPERLINK("http://www.corstruth.com.au/WA/CSV/WMD28.csv","WMD28_CSV File 1m Bins")</f>
        <v>WMD28_CSV File 1m Bins</v>
      </c>
      <c r="D533" t="s">
        <v>720</v>
      </c>
      <c r="E533" t="s">
        <v>1</v>
      </c>
      <c r="G533" t="s">
        <v>623</v>
      </c>
      <c r="H533" t="s">
        <v>719</v>
      </c>
      <c r="I533">
        <v>-31.816400000000002</v>
      </c>
      <c r="J533">
        <v>121.515</v>
      </c>
      <c r="K533" t="str">
        <f>HYPERLINK("http://geossdi.dmp.wa.gov.au/NVCLDataServices/mosaic.html?datasetid=3c5af0ce-cf97-4db7-8f21-56d3f7cd389","WMD28_Core Image")</f>
        <v>WMD28_Core Image</v>
      </c>
    </row>
    <row r="534" spans="1:11" x14ac:dyDescent="0.25">
      <c r="A534" t="str">
        <f>HYPERLINK("http://www.corstruth.com.au/WA/CXDD002_cs.png","CXDD002_A4")</f>
        <v>CXDD002_A4</v>
      </c>
      <c r="B534" t="str">
        <f>HYPERLINK("http://www.corstruth.com.au/WA/PNG2/CXDD002_cs.png","CXDD002_0.25m Bins")</f>
        <v>CXDD002_0.25m Bins</v>
      </c>
      <c r="C534" t="str">
        <f>HYPERLINK("http://www.corstruth.com.au/WA/CSV/CXDD002.csv","CXDD002_CSV File 1m Bins")</f>
        <v>CXDD002_CSV File 1m Bins</v>
      </c>
      <c r="D534" t="s">
        <v>721</v>
      </c>
      <c r="E534" t="s">
        <v>1</v>
      </c>
      <c r="G534" t="s">
        <v>623</v>
      </c>
      <c r="H534" t="s">
        <v>722</v>
      </c>
      <c r="I534">
        <v>-26.877400000000002</v>
      </c>
      <c r="J534">
        <v>122.214</v>
      </c>
      <c r="K534" t="str">
        <f>HYPERLINK("http://geossdi.dmp.wa.gov.au/NVCLDataServices/mosaic.html?datasetid=3300163e-7f11-475e-ad7f-8ebed505318","CXDD002_Core Image")</f>
        <v>CXDD002_Core Image</v>
      </c>
    </row>
    <row r="535" spans="1:11" x14ac:dyDescent="0.25">
      <c r="A535" t="str">
        <f>HYPERLINK("http://www.corstruth.com.au/WA/CXDD003_cs.png","CXDD003_A4")</f>
        <v>CXDD003_A4</v>
      </c>
      <c r="B535" t="str">
        <f>HYPERLINK("http://www.corstruth.com.au/WA/PNG2/CXDD003_cs.png","CXDD003_0.25m Bins")</f>
        <v>CXDD003_0.25m Bins</v>
      </c>
      <c r="C535" t="str">
        <f>HYPERLINK("http://www.corstruth.com.au/WA/CSV/CXDD003.csv","CXDD003_CSV File 1m Bins")</f>
        <v>CXDD003_CSV File 1m Bins</v>
      </c>
      <c r="D535" t="s">
        <v>723</v>
      </c>
      <c r="E535" t="s">
        <v>1</v>
      </c>
      <c r="G535" t="s">
        <v>623</v>
      </c>
      <c r="H535" t="s">
        <v>722</v>
      </c>
      <c r="I535">
        <v>-26.8764</v>
      </c>
      <c r="J535">
        <v>122.214</v>
      </c>
      <c r="K535" t="str">
        <f>HYPERLINK("http://geossdi.dmp.wa.gov.au/NVCLDataServices/mosaic.html?datasetid=a4e56ed0-4393-4521-ac16-2409d59627e","CXDD003_Core Image")</f>
        <v>CXDD003_Core Image</v>
      </c>
    </row>
    <row r="536" spans="1:11" x14ac:dyDescent="0.25">
      <c r="A536" t="str">
        <f>HYPERLINK("http://www.corstruth.com.au/WA/RRLCRDD002_cs.png","RRLCRDD002_A4")</f>
        <v>RRLCRDD002_A4</v>
      </c>
      <c r="B536" t="str">
        <f>HYPERLINK("http://www.corstruth.com.au/WA/PNG2/RRLCRDD002_cs.png","RRLCRDD002_0.25m Bins")</f>
        <v>RRLCRDD002_0.25m Bins</v>
      </c>
      <c r="C536" t="str">
        <f>HYPERLINK("http://www.corstruth.com.au/WA/CSV/RRLCRDD002.csv","RRLCRDD002_CSV File 1m Bins")</f>
        <v>RRLCRDD002_CSV File 1m Bins</v>
      </c>
      <c r="D536" t="s">
        <v>724</v>
      </c>
      <c r="E536" t="s">
        <v>1</v>
      </c>
      <c r="G536" t="s">
        <v>623</v>
      </c>
      <c r="H536" t="s">
        <v>722</v>
      </c>
      <c r="I536">
        <v>-27.115200000000002</v>
      </c>
      <c r="J536">
        <v>122.19199999999999</v>
      </c>
      <c r="K536" t="str">
        <f>HYPERLINK("http://geossdi.dmp.wa.gov.au/NVCLDataServices/mosaic.html?datasetid=b9dfd160-4e9d-4c6b-89eb-0caa7bea458","RRLCRDD002_Core Image")</f>
        <v>RRLCRDD002_Core Image</v>
      </c>
    </row>
    <row r="537" spans="1:11" x14ac:dyDescent="0.25">
      <c r="A537" t="str">
        <f>HYPERLINK("http://www.corstruth.com.au/WA/RRLCRDD003_cs.png","RRLCRDD003_A4")</f>
        <v>RRLCRDD003_A4</v>
      </c>
      <c r="B537" t="str">
        <f>HYPERLINK("http://www.corstruth.com.au/WA/PNG2/RRLCRDD003_cs.png","RRLCRDD003_0.25m Bins")</f>
        <v>RRLCRDD003_0.25m Bins</v>
      </c>
      <c r="C537" t="str">
        <f>HYPERLINK("http://www.corstruth.com.au/WA/CSV/RRLCRDD003.csv","RRLCRDD003_CSV File 1m Bins")</f>
        <v>RRLCRDD003_CSV File 1m Bins</v>
      </c>
      <c r="D537" t="s">
        <v>59</v>
      </c>
      <c r="E537" t="s">
        <v>1</v>
      </c>
      <c r="G537" t="s">
        <v>623</v>
      </c>
      <c r="H537" t="s">
        <v>722</v>
      </c>
      <c r="I537">
        <v>-27.170300000000001</v>
      </c>
      <c r="J537">
        <v>122.191</v>
      </c>
      <c r="K537" t="str">
        <f>HYPERLINK("http://geossdi.dmp.wa.gov.au/NVCLDataServices/mosaic.html?datasetid=4e6d9a44-d42d-449c-aaef-5beb2bc5464","RRLCRDD003_Core Image")</f>
        <v>RRLCRDD003_Core Image</v>
      </c>
    </row>
    <row r="538" spans="1:11" x14ac:dyDescent="0.25">
      <c r="A538" t="str">
        <f>HYPERLINK("http://www.corstruth.com.au/WA/RRLCRDD004_cs.png","RRLCRDD004_A4")</f>
        <v>RRLCRDD004_A4</v>
      </c>
      <c r="B538" t="str">
        <f>HYPERLINK("http://www.corstruth.com.au/WA/PNG2/RRLCRDD004_cs.png","RRLCRDD004_0.25m Bins")</f>
        <v>RRLCRDD004_0.25m Bins</v>
      </c>
      <c r="C538" t="str">
        <f>HYPERLINK("http://www.corstruth.com.au/WA/CSV/RRLCRDD004.csv","RRLCRDD004_CSV File 1m Bins")</f>
        <v>RRLCRDD004_CSV File 1m Bins</v>
      </c>
      <c r="D538" t="s">
        <v>725</v>
      </c>
      <c r="E538" t="s">
        <v>1</v>
      </c>
      <c r="G538" t="s">
        <v>623</v>
      </c>
      <c r="H538" t="s">
        <v>722</v>
      </c>
      <c r="I538">
        <v>-27.122199999999999</v>
      </c>
      <c r="J538">
        <v>122.18899999999999</v>
      </c>
      <c r="K538" t="str">
        <f>HYPERLINK("http://geossdi.dmp.wa.gov.au/NVCLDataServices/mosaic.html?datasetid=2e2737b5-1ed8-4ff9-bb69-1d14247b6d3","RRLCRDD004_Core Image")</f>
        <v>RRLCRDD004_Core Image</v>
      </c>
    </row>
    <row r="539" spans="1:11" x14ac:dyDescent="0.25">
      <c r="A539" t="str">
        <f>HYPERLINK("http://www.corstruth.com.au/WA/RRLCRDD005_cs.png","RRLCRDD005_A4")</f>
        <v>RRLCRDD005_A4</v>
      </c>
      <c r="B539" t="str">
        <f>HYPERLINK("http://www.corstruth.com.au/WA/PNG2/RRLCRDD005_cs.png","RRLCRDD005_0.25m Bins")</f>
        <v>RRLCRDD005_0.25m Bins</v>
      </c>
      <c r="C539" t="str">
        <f>HYPERLINK("http://www.corstruth.com.au/WA/CSV/RRLCRDD005.csv","RRLCRDD005_CSV File 1m Bins")</f>
        <v>RRLCRDD005_CSV File 1m Bins</v>
      </c>
      <c r="D539" t="s">
        <v>59</v>
      </c>
      <c r="E539" t="s">
        <v>1</v>
      </c>
      <c r="G539" t="s">
        <v>623</v>
      </c>
      <c r="H539" t="s">
        <v>722</v>
      </c>
      <c r="I539">
        <v>-27.037700000000001</v>
      </c>
      <c r="J539">
        <v>122.215</v>
      </c>
      <c r="K539" t="str">
        <f>HYPERLINK("http://geossdi.dmp.wa.gov.au/NVCLDataServices/mosaic.html?datasetid=108cd15d-baf9-460c-9cd3-97e7bba1994","RRLCRDD005_Core Image")</f>
        <v>RRLCRDD005_Core Image</v>
      </c>
    </row>
    <row r="540" spans="1:11" x14ac:dyDescent="0.25">
      <c r="A540" t="str">
        <f>HYPERLINK("http://www.corstruth.com.au/WA/RRLCRDD006_cs.png","RRLCRDD006_A4")</f>
        <v>RRLCRDD006_A4</v>
      </c>
      <c r="B540" t="str">
        <f>HYPERLINK("http://www.corstruth.com.au/WA/PNG2/RRLCRDD006_cs.png","RRLCRDD006_0.25m Bins")</f>
        <v>RRLCRDD006_0.25m Bins</v>
      </c>
      <c r="C540" t="str">
        <f>HYPERLINK("http://www.corstruth.com.au/WA/CSV/RRLCRDD006.csv","RRLCRDD006_CSV File 1m Bins")</f>
        <v>RRLCRDD006_CSV File 1m Bins</v>
      </c>
      <c r="D540" t="s">
        <v>59</v>
      </c>
      <c r="E540" t="s">
        <v>1</v>
      </c>
      <c r="G540" t="s">
        <v>623</v>
      </c>
      <c r="H540" t="s">
        <v>722</v>
      </c>
      <c r="I540">
        <v>-26.975999999999999</v>
      </c>
      <c r="J540">
        <v>122.23099999999999</v>
      </c>
      <c r="K540" t="str">
        <f>HYPERLINK("http://geossdi.dmp.wa.gov.au/NVCLDataServices/mosaic.html?datasetid=2696d8d1-c74c-4eac-a076-1d8c06d4535","RRLCRDD006_Core Image")</f>
        <v>RRLCRDD006_Core Image</v>
      </c>
    </row>
    <row r="541" spans="1:11" x14ac:dyDescent="0.25">
      <c r="A541" t="str">
        <f>HYPERLINK("http://www.corstruth.com.au/WA/RRLCRDD007_cs.png","RRLCRDD007_A4")</f>
        <v>RRLCRDD007_A4</v>
      </c>
      <c r="B541" t="str">
        <f>HYPERLINK("http://www.corstruth.com.au/WA/PNG2/RRLCRDD007_cs.png","RRLCRDD007_0.25m Bins")</f>
        <v>RRLCRDD007_0.25m Bins</v>
      </c>
      <c r="C541" t="str">
        <f>HYPERLINK("http://www.corstruth.com.au/WA/CSV/RRLCRDD007.csv","RRLCRDD007_CSV File 1m Bins")</f>
        <v>RRLCRDD007_CSV File 1m Bins</v>
      </c>
      <c r="D541" t="s">
        <v>59</v>
      </c>
      <c r="E541" t="s">
        <v>1</v>
      </c>
      <c r="G541" t="s">
        <v>623</v>
      </c>
      <c r="H541" t="s">
        <v>722</v>
      </c>
      <c r="I541">
        <v>-27.1782</v>
      </c>
      <c r="J541">
        <v>122.226</v>
      </c>
      <c r="K541" t="str">
        <f>HYPERLINK("http://geossdi.dmp.wa.gov.au/NVCLDataServices/mosaic.html?datasetid=0672cdd3-863c-4cbe-8bd8-ab623a318ef","RRLCRDD007_Core Image")</f>
        <v>RRLCRDD007_Core Image</v>
      </c>
    </row>
    <row r="542" spans="1:11" x14ac:dyDescent="0.25">
      <c r="A542" t="str">
        <f>HYPERLINK("http://www.corstruth.com.au/WA/CDD001_cs.png","CDD001_A4")</f>
        <v>CDD001_A4</v>
      </c>
      <c r="B542" t="str">
        <f>HYPERLINK("http://www.corstruth.com.au/WA/PNG2/CDD001_cs.png","CDD001_0.25m Bins")</f>
        <v>CDD001_0.25m Bins</v>
      </c>
      <c r="C542" t="str">
        <f>HYPERLINK("http://www.corstruth.com.au/WA/CSV/CDD001.csv","CDD001_CSV File 1m Bins")</f>
        <v>CDD001_CSV File 1m Bins</v>
      </c>
      <c r="D542" t="s">
        <v>726</v>
      </c>
      <c r="E542" t="s">
        <v>1</v>
      </c>
      <c r="G542" t="s">
        <v>623</v>
      </c>
      <c r="H542" t="s">
        <v>727</v>
      </c>
      <c r="I542">
        <v>-30.526800000000001</v>
      </c>
      <c r="J542">
        <v>123.28</v>
      </c>
      <c r="K542" t="str">
        <f>HYPERLINK("http://geossdi.dmp.wa.gov.au/NVCLDataServices/mosaic.html?datasetid=fc83d60a-82ab-42cd-8d87-4ef08748244","CDD001_Core Image")</f>
        <v>CDD001_Core Image</v>
      </c>
    </row>
    <row r="543" spans="1:11" x14ac:dyDescent="0.25">
      <c r="A543" t="str">
        <f>HYPERLINK("http://www.corstruth.com.au/WA/CDD002_cs.png","CDD002_A4")</f>
        <v>CDD002_A4</v>
      </c>
      <c r="B543" t="str">
        <f>HYPERLINK("http://www.corstruth.com.au/WA/PNG2/CDD002_cs.png","CDD002_0.25m Bins")</f>
        <v>CDD002_0.25m Bins</v>
      </c>
      <c r="C543" t="str">
        <f>HYPERLINK("http://www.corstruth.com.au/WA/CSV/CDD002.csv","CDD002_CSV File 1m Bins")</f>
        <v>CDD002_CSV File 1m Bins</v>
      </c>
      <c r="D543" t="s">
        <v>728</v>
      </c>
      <c r="E543" t="s">
        <v>1</v>
      </c>
      <c r="G543" t="s">
        <v>623</v>
      </c>
      <c r="H543" t="s">
        <v>727</v>
      </c>
      <c r="I543">
        <v>-30.557500000000001</v>
      </c>
      <c r="J543">
        <v>123.28</v>
      </c>
      <c r="K543" t="str">
        <f>HYPERLINK("http://geossdi.dmp.wa.gov.au/NVCLDataServices/mosaic.html?datasetid=24bbd8a9-ac9c-4318-a003-af6681c70a1","CDD002_Core Image")</f>
        <v>CDD002_Core Image</v>
      </c>
    </row>
    <row r="544" spans="1:11" x14ac:dyDescent="0.25">
      <c r="A544" t="str">
        <f>HYPERLINK("http://www.corstruth.com.au/WA/18EISD001_cs.png","18EISD001_A4")</f>
        <v>18EISD001_A4</v>
      </c>
      <c r="B544" t="str">
        <f>HYPERLINK("http://www.corstruth.com.au/WA/PNG2/18EISD001_cs.png","18EISD001_0.25m Bins")</f>
        <v>18EISD001_0.25m Bins</v>
      </c>
      <c r="C544" t="str">
        <f>HYPERLINK("http://www.corstruth.com.au/WA/CSV/18EISD001.csv","18EISD001_CSV File 1m Bins")</f>
        <v>18EISD001_CSV File 1m Bins</v>
      </c>
      <c r="D544" t="s">
        <v>729</v>
      </c>
      <c r="E544" t="s">
        <v>1</v>
      </c>
      <c r="G544" t="s">
        <v>623</v>
      </c>
      <c r="H544" t="s">
        <v>730</v>
      </c>
      <c r="I544">
        <v>-31.027799999999999</v>
      </c>
      <c r="J544">
        <v>121.92700000000001</v>
      </c>
    </row>
    <row r="545" spans="1:11" x14ac:dyDescent="0.25">
      <c r="A545" t="str">
        <f>HYPERLINK("http://www.corstruth.com.au/WA/DS09RMD001_cs.png","DS09RMD001_A4")</f>
        <v>DS09RMD001_A4</v>
      </c>
      <c r="B545" t="str">
        <f>HYPERLINK("http://www.corstruth.com.au/WA/PNG2/DS09RMD001_cs.png","DS09RMD001_0.25m Bins")</f>
        <v>DS09RMD001_0.25m Bins</v>
      </c>
      <c r="C545" t="str">
        <f>HYPERLINK("http://www.corstruth.com.au/WA/CSV/DS09RMD001.csv","DS09RMD001_CSV File 1m Bins")</f>
        <v>DS09RMD001_CSV File 1m Bins</v>
      </c>
      <c r="D545" t="s">
        <v>731</v>
      </c>
      <c r="E545" t="s">
        <v>1</v>
      </c>
      <c r="G545" t="s">
        <v>623</v>
      </c>
      <c r="H545" t="s">
        <v>732</v>
      </c>
      <c r="I545">
        <v>-29.096800000000002</v>
      </c>
      <c r="J545">
        <v>122.392</v>
      </c>
      <c r="K545" t="str">
        <f>HYPERLINK("http://geossdi.dmp.wa.gov.au/NVCLDataServices/mosaic.html?datasetid=c9d7ccf9-005a-4cee-9839-279e4f8a501","DS09RMD001_Core Image")</f>
        <v>DS09RMD001_Core Image</v>
      </c>
    </row>
    <row r="546" spans="1:11" x14ac:dyDescent="0.25">
      <c r="A546" t="str">
        <f>HYPERLINK("http://www.corstruth.com.au/WA/DS09RMD002_cs.png","DS09RMD002_A4")</f>
        <v>DS09RMD002_A4</v>
      </c>
      <c r="B546" t="str">
        <f>HYPERLINK("http://www.corstruth.com.au/WA/PNG2/DS09RMD002_cs.png","DS09RMD002_0.25m Bins")</f>
        <v>DS09RMD002_0.25m Bins</v>
      </c>
      <c r="C546" t="str">
        <f>HYPERLINK("http://www.corstruth.com.au/WA/CSV/DS09RMD002.csv","DS09RMD002_CSV File 1m Bins")</f>
        <v>DS09RMD002_CSV File 1m Bins</v>
      </c>
      <c r="D546" t="s">
        <v>733</v>
      </c>
      <c r="E546" t="s">
        <v>1</v>
      </c>
      <c r="G546" t="s">
        <v>623</v>
      </c>
      <c r="H546" t="s">
        <v>732</v>
      </c>
      <c r="I546">
        <v>-29.099799999999998</v>
      </c>
      <c r="J546">
        <v>122.392</v>
      </c>
      <c r="K546" t="str">
        <f>HYPERLINK("http://geossdi.dmp.wa.gov.au/NVCLDataServices/mosaic.html?datasetid=c8d7d6a6-85f4-4f6b-8bbb-6a651ca1843","DS09RMD002_Core Image")</f>
        <v>DS09RMD002_Core Image</v>
      </c>
    </row>
    <row r="547" spans="1:11" x14ac:dyDescent="0.25">
      <c r="A547" t="str">
        <f>HYPERLINK("http://www.corstruth.com.au/WA/20DSDD001_cs.png","20DSDD001_A4")</f>
        <v>20DSDD001_A4</v>
      </c>
      <c r="B547" t="str">
        <f>HYPERLINK("http://www.corstruth.com.au/WA/PNG2/20DSDD001_cs.png","20DSDD001_0.25m Bins")</f>
        <v>20DSDD001_0.25m Bins</v>
      </c>
      <c r="C547" t="str">
        <f>HYPERLINK("http://www.corstruth.com.au/WA/CSV/20DSDD001.csv","20DSDD001_CSV File 1m Bins")</f>
        <v>20DSDD001_CSV File 1m Bins</v>
      </c>
      <c r="D547" t="s">
        <v>734</v>
      </c>
      <c r="E547" t="s">
        <v>1</v>
      </c>
      <c r="G547" t="s">
        <v>623</v>
      </c>
      <c r="H547" t="s">
        <v>735</v>
      </c>
      <c r="I547">
        <v>-29.023399999999999</v>
      </c>
      <c r="J547">
        <v>121.34699999999999</v>
      </c>
    </row>
    <row r="548" spans="1:11" x14ac:dyDescent="0.25">
      <c r="A548" t="str">
        <f>HYPERLINK("http://www.corstruth.com.au/WA/20DSRC011D_cs.png","20DSRC011D_A4")</f>
        <v>20DSRC011D_A4</v>
      </c>
      <c r="B548" t="str">
        <f>HYPERLINK("http://www.corstruth.com.au/WA/PNG2/20DSRC011D_cs.png","20DSRC011D_0.25m Bins")</f>
        <v>20DSRC011D_0.25m Bins</v>
      </c>
      <c r="C548" t="str">
        <f>HYPERLINK("http://www.corstruth.com.au/WA/CSV/20DSRC011D.csv","20DSRC011D_CSV File 1m Bins")</f>
        <v>20DSRC011D_CSV File 1m Bins</v>
      </c>
      <c r="D548" t="s">
        <v>736</v>
      </c>
      <c r="E548" t="s">
        <v>1</v>
      </c>
      <c r="G548" t="s">
        <v>623</v>
      </c>
      <c r="H548" t="s">
        <v>735</v>
      </c>
      <c r="I548">
        <v>-29.014600000000002</v>
      </c>
      <c r="J548">
        <v>121.343</v>
      </c>
    </row>
    <row r="549" spans="1:11" x14ac:dyDescent="0.25">
      <c r="A549" t="str">
        <f>HYPERLINK("http://www.corstruth.com.au/WA/21DSDD003_cs.png","21DSDD003_A4")</f>
        <v>21DSDD003_A4</v>
      </c>
      <c r="B549" t="str">
        <f>HYPERLINK("http://www.corstruth.com.au/WA/PNG2/21DSDD003_cs.png","21DSDD003_0.25m Bins")</f>
        <v>21DSDD003_0.25m Bins</v>
      </c>
      <c r="C549" t="str">
        <f>HYPERLINK("http://www.corstruth.com.au/WA/CSV/21DSDD003.csv","21DSDD003_CSV File 1m Bins")</f>
        <v>21DSDD003_CSV File 1m Bins</v>
      </c>
      <c r="D549" t="s">
        <v>737</v>
      </c>
      <c r="E549" t="s">
        <v>1</v>
      </c>
      <c r="G549" t="s">
        <v>623</v>
      </c>
      <c r="H549" t="s">
        <v>735</v>
      </c>
      <c r="I549">
        <v>-29.009599999999999</v>
      </c>
      <c r="J549">
        <v>121.336</v>
      </c>
    </row>
    <row r="550" spans="1:11" x14ac:dyDescent="0.25">
      <c r="A550" t="str">
        <f>HYPERLINK("http://www.corstruth.com.au/WA/TBDD126_cs.png","TBDD126_A4")</f>
        <v>TBDD126_A4</v>
      </c>
      <c r="B550" t="str">
        <f>HYPERLINK("http://www.corstruth.com.au/WA/PNG2/TBDD126_cs.png","TBDD126_0.25m Bins")</f>
        <v>TBDD126_0.25m Bins</v>
      </c>
      <c r="C550" t="str">
        <f>HYPERLINK("http://www.corstruth.com.au/WA/CSV/TBDD126.csv","TBDD126_CSV File 1m Bins")</f>
        <v>TBDD126_CSV File 1m Bins</v>
      </c>
      <c r="D550" t="s">
        <v>738</v>
      </c>
      <c r="E550" t="s">
        <v>1</v>
      </c>
      <c r="G550" t="s">
        <v>623</v>
      </c>
      <c r="H550" t="s">
        <v>739</v>
      </c>
      <c r="I550">
        <v>-27.623899999999999</v>
      </c>
      <c r="J550">
        <v>122.006</v>
      </c>
      <c r="K550" t="str">
        <f>HYPERLINK("http://geossdi.dmp.wa.gov.au/NVCLDataServices/mosaic.html?datasetid=fd0542c8-8ae9-4b12-b9b1-96ad453f8ed","TBDD126_Core Image")</f>
        <v>TBDD126_Core Image</v>
      </c>
    </row>
    <row r="551" spans="1:11" x14ac:dyDescent="0.25">
      <c r="A551" t="str">
        <f>HYPERLINK("http://www.corstruth.com.au/WA/TBDD127_cs.png","TBDD127_A4")</f>
        <v>TBDD127_A4</v>
      </c>
      <c r="B551" t="str">
        <f>HYPERLINK("http://www.corstruth.com.au/WA/PNG2/TBDD127_cs.png","TBDD127_0.25m Bins")</f>
        <v>TBDD127_0.25m Bins</v>
      </c>
      <c r="C551" t="str">
        <f>HYPERLINK("http://www.corstruth.com.au/WA/CSV/TBDD127.csv","TBDD127_CSV File 1m Bins")</f>
        <v>TBDD127_CSV File 1m Bins</v>
      </c>
      <c r="D551" t="s">
        <v>740</v>
      </c>
      <c r="E551" t="s">
        <v>1</v>
      </c>
      <c r="G551" t="s">
        <v>623</v>
      </c>
      <c r="H551" t="s">
        <v>739</v>
      </c>
      <c r="I551">
        <v>-27.624300000000002</v>
      </c>
      <c r="J551">
        <v>122.00700000000001</v>
      </c>
      <c r="K551" t="str">
        <f>HYPERLINK("http://geossdi.dmp.wa.gov.au/NVCLDataServices/mosaic.html?datasetid=40ea3b4f-ba3e-4782-a749-389e1191b99","TBDD127_Core Image")</f>
        <v>TBDD127_Core Image</v>
      </c>
    </row>
    <row r="552" spans="1:11" x14ac:dyDescent="0.25">
      <c r="A552" t="str">
        <f>HYPERLINK("http://www.corstruth.com.au/WA/TBDD128_cs.png","TBDD128_A4")</f>
        <v>TBDD128_A4</v>
      </c>
      <c r="B552" t="str">
        <f>HYPERLINK("http://www.corstruth.com.au/WA/PNG2/TBDD128_cs.png","TBDD128_0.25m Bins")</f>
        <v>TBDD128_0.25m Bins</v>
      </c>
      <c r="C552" t="str">
        <f>HYPERLINK("http://www.corstruth.com.au/WA/CSV/TBDD128.csv","TBDD128_CSV File 1m Bins")</f>
        <v>TBDD128_CSV File 1m Bins</v>
      </c>
      <c r="D552" t="s">
        <v>741</v>
      </c>
      <c r="E552" t="s">
        <v>1</v>
      </c>
      <c r="G552" t="s">
        <v>623</v>
      </c>
      <c r="H552" t="s">
        <v>739</v>
      </c>
      <c r="I552">
        <v>-27.6234</v>
      </c>
      <c r="J552">
        <v>122.005</v>
      </c>
      <c r="K552" t="str">
        <f>HYPERLINK("http://geossdi.dmp.wa.gov.au/NVCLDataServices/mosaic.html?datasetid=8d846834-a241-4645-bc95-07fe5841df0","TBDD128_Core Image")</f>
        <v>TBDD128_Core Image</v>
      </c>
    </row>
    <row r="553" spans="1:11" x14ac:dyDescent="0.25">
      <c r="A553" t="str">
        <f>HYPERLINK("http://www.corstruth.com.au/WA/12BRDDH001_cs.png","12BRDDH001_A4")</f>
        <v>12BRDDH001_A4</v>
      </c>
      <c r="B553" t="str">
        <f>HYPERLINK("http://www.corstruth.com.au/WA/PNG2/12BRDDH001_cs.png","12BRDDH001_0.25m Bins")</f>
        <v>12BRDDH001_0.25m Bins</v>
      </c>
      <c r="C553" t="str">
        <f>HYPERLINK("http://www.corstruth.com.au/WA/CSV/12BRDDH001.csv","12BRDDH001_CSV File 1m Bins")</f>
        <v>12BRDDH001_CSV File 1m Bins</v>
      </c>
      <c r="D553" t="s">
        <v>742</v>
      </c>
      <c r="E553" t="s">
        <v>1</v>
      </c>
      <c r="G553" t="s">
        <v>623</v>
      </c>
      <c r="H553" t="s">
        <v>743</v>
      </c>
      <c r="I553">
        <v>-30.6525</v>
      </c>
      <c r="J553">
        <v>120.79900000000001</v>
      </c>
      <c r="K553" t="str">
        <f>HYPERLINK("http://geossdi.dmp.wa.gov.au/NVCLDataServices/mosaic.html?datasetid=f6d4c35b-ef55-45f3-8507-c9e09cd1e0f","12BRDDH001_Core Image")</f>
        <v>12BRDDH001_Core Image</v>
      </c>
    </row>
    <row r="554" spans="1:11" x14ac:dyDescent="0.25">
      <c r="A554" t="str">
        <f>HYPERLINK("http://www.corstruth.com.au/WA/12BRDDH002_cs.png","12BRDDH002_A4")</f>
        <v>12BRDDH002_A4</v>
      </c>
      <c r="B554" t="str">
        <f>HYPERLINK("http://www.corstruth.com.au/WA/PNG2/12BRDDH002_cs.png","12BRDDH002_0.25m Bins")</f>
        <v>12BRDDH002_0.25m Bins</v>
      </c>
      <c r="C554" t="str">
        <f>HYPERLINK("http://www.corstruth.com.au/WA/CSV/12BRDDH002.csv","12BRDDH002_CSV File 1m Bins")</f>
        <v>12BRDDH002_CSV File 1m Bins</v>
      </c>
      <c r="D554" t="s">
        <v>744</v>
      </c>
      <c r="E554" t="s">
        <v>1</v>
      </c>
      <c r="G554" t="s">
        <v>623</v>
      </c>
      <c r="H554" t="s">
        <v>743</v>
      </c>
      <c r="I554">
        <v>-30.652699999999999</v>
      </c>
      <c r="J554">
        <v>120.79900000000001</v>
      </c>
      <c r="K554" t="str">
        <f>HYPERLINK("http://geossdi.dmp.wa.gov.au/NVCLDataServices/mosaic.html?datasetid=5cb50b31-eef6-4ce7-bfc2-f7b23766002","12BRDDH002_Core Image")</f>
        <v>12BRDDH002_Core Image</v>
      </c>
    </row>
    <row r="555" spans="1:11" x14ac:dyDescent="0.25">
      <c r="A555" t="str">
        <f>HYPERLINK("http://www.corstruth.com.au/WA/12BRDDH003_cs.png","12BRDDH003_A4")</f>
        <v>12BRDDH003_A4</v>
      </c>
      <c r="B555" t="str">
        <f>HYPERLINK("http://www.corstruth.com.au/WA/PNG2/12BRDDH003_cs.png","12BRDDH003_0.25m Bins")</f>
        <v>12BRDDH003_0.25m Bins</v>
      </c>
      <c r="C555" t="str">
        <f>HYPERLINK("http://www.corstruth.com.au/WA/CSV/12BRDDH003.csv","12BRDDH003_CSV File 1m Bins")</f>
        <v>12BRDDH003_CSV File 1m Bins</v>
      </c>
      <c r="D555" t="s">
        <v>745</v>
      </c>
      <c r="E555" t="s">
        <v>1</v>
      </c>
      <c r="G555" t="s">
        <v>623</v>
      </c>
      <c r="H555" t="s">
        <v>743</v>
      </c>
      <c r="I555">
        <v>-30.6568</v>
      </c>
      <c r="J555">
        <v>120.801</v>
      </c>
      <c r="K555" t="str">
        <f>HYPERLINK("http://geossdi.dmp.wa.gov.au/NVCLDataServices/mosaic.html?datasetid=9e2646b6-c507-4f3c-a7c9-031f9241d37","12BRDDH003_Core Image")</f>
        <v>12BRDDH003_Core Image</v>
      </c>
    </row>
    <row r="556" spans="1:11" x14ac:dyDescent="0.25">
      <c r="A556" t="str">
        <f>HYPERLINK("http://www.corstruth.com.au/WA/12BRDDH004_cs.png","12BRDDH004_A4")</f>
        <v>12BRDDH004_A4</v>
      </c>
      <c r="B556" t="str">
        <f>HYPERLINK("http://www.corstruth.com.au/WA/PNG2/12BRDDH004_cs.png","12BRDDH004_0.25m Bins")</f>
        <v>12BRDDH004_0.25m Bins</v>
      </c>
      <c r="C556" t="str">
        <f>HYPERLINK("http://www.corstruth.com.au/WA/CSV/12BRDDH004.csv","12BRDDH004_CSV File 1m Bins")</f>
        <v>12BRDDH004_CSV File 1m Bins</v>
      </c>
      <c r="D556" t="s">
        <v>746</v>
      </c>
      <c r="E556" t="s">
        <v>1</v>
      </c>
      <c r="G556" t="s">
        <v>623</v>
      </c>
      <c r="H556" t="s">
        <v>743</v>
      </c>
      <c r="I556">
        <v>-30.6569</v>
      </c>
      <c r="J556">
        <v>120.801</v>
      </c>
      <c r="K556" t="str">
        <f>HYPERLINK("http://geossdi.dmp.wa.gov.au/NVCLDataServices/mosaic.html?datasetid=b1b86861-b3fe-4c20-a6b0-25a597e9af4","12BRDDH004_Core Image")</f>
        <v>12BRDDH004_Core Image</v>
      </c>
    </row>
    <row r="557" spans="1:11" x14ac:dyDescent="0.25">
      <c r="A557" t="str">
        <f>HYPERLINK("http://www.corstruth.com.au/WA/EY4001_cs.png","EY4001_A4")</f>
        <v>EY4001_A4</v>
      </c>
      <c r="B557" t="str">
        <f>HYPERLINK("http://www.corstruth.com.au/WA/PNG2/EY4001_cs.png","EY4001_0.25m Bins")</f>
        <v>EY4001_0.25m Bins</v>
      </c>
      <c r="C557" t="str">
        <f>HYPERLINK("http://www.corstruth.com.au/WA/CSV/EY4001.csv","EY4001_CSV File 1m Bins")</f>
        <v>EY4001_CSV File 1m Bins</v>
      </c>
      <c r="D557" t="s">
        <v>747</v>
      </c>
      <c r="E557" t="s">
        <v>1</v>
      </c>
      <c r="G557" t="s">
        <v>623</v>
      </c>
      <c r="H557" t="s">
        <v>748</v>
      </c>
      <c r="I557">
        <v>-26.576599999999999</v>
      </c>
      <c r="J557">
        <v>124.054</v>
      </c>
      <c r="K557" t="str">
        <f>HYPERLINK("http://geossdi.dmp.wa.gov.au/NVCLDataServices/mosaic.html?datasetid=64bc0c6c-7ad2-4b5d-9622-462038e4469","EY4001_Core Image")</f>
        <v>EY4001_Core Image</v>
      </c>
    </row>
    <row r="558" spans="1:11" x14ac:dyDescent="0.25">
      <c r="A558" t="str">
        <f>HYPERLINK("http://www.corstruth.com.au/WA/EY4003_cs.png","EY4003_A4")</f>
        <v>EY4003_A4</v>
      </c>
      <c r="B558" t="str">
        <f>HYPERLINK("http://www.corstruth.com.au/WA/PNG2/EY4003_cs.png","EY4003_0.25m Bins")</f>
        <v>EY4003_0.25m Bins</v>
      </c>
      <c r="C558" t="str">
        <f>HYPERLINK("http://www.corstruth.com.au/WA/CSV/EY4003.csv","EY4003_CSV File 1m Bins")</f>
        <v>EY4003_CSV File 1m Bins</v>
      </c>
      <c r="D558" t="s">
        <v>749</v>
      </c>
      <c r="E558" t="s">
        <v>1</v>
      </c>
      <c r="G558" t="s">
        <v>623</v>
      </c>
      <c r="H558" t="s">
        <v>748</v>
      </c>
      <c r="I558">
        <v>-26.642299999999999</v>
      </c>
      <c r="J558">
        <v>123.81100000000001</v>
      </c>
      <c r="K558" t="str">
        <f>HYPERLINK("http://geossdi.dmp.wa.gov.au/NVCLDataServices/mosaic.html?datasetid=8385c968-523f-4a7f-be5a-43b4e1873a7","EY4003_Core Image")</f>
        <v>EY4003_Core Image</v>
      </c>
    </row>
    <row r="559" spans="1:11" x14ac:dyDescent="0.25">
      <c r="A559" t="str">
        <f>HYPERLINK("http://www.corstruth.com.au/WA/PGDD15001_cs.png","PGDD15001_A4")</f>
        <v>PGDD15001_A4</v>
      </c>
      <c r="B559" t="str">
        <f>HYPERLINK("http://www.corstruth.com.au/WA/PNG2/PGDD15001_cs.png","PGDD15001_0.25m Bins")</f>
        <v>PGDD15001_0.25m Bins</v>
      </c>
      <c r="C559" t="str">
        <f>HYPERLINK("http://www.corstruth.com.au/WA/CSV/PGDD15001.csv","PGDD15001_CSV File 1m Bins")</f>
        <v>PGDD15001_CSV File 1m Bins</v>
      </c>
      <c r="D559" t="s">
        <v>750</v>
      </c>
      <c r="E559" t="s">
        <v>1</v>
      </c>
      <c r="G559" t="s">
        <v>623</v>
      </c>
      <c r="H559" t="s">
        <v>751</v>
      </c>
      <c r="I559">
        <v>-30.7362</v>
      </c>
      <c r="J559">
        <v>121.253</v>
      </c>
      <c r="K559" t="str">
        <f>HYPERLINK("http://geossdi.dmp.wa.gov.au/NVCLDataServices/mosaic.html?datasetid=7421d9a9-5798-4d6f-ae74-f0345f82df4","PGDD15001_Core Image")</f>
        <v>PGDD15001_Core Image</v>
      </c>
    </row>
    <row r="560" spans="1:11" x14ac:dyDescent="0.25">
      <c r="A560" t="str">
        <f>HYPERLINK("http://www.corstruth.com.au/WA/G-94-2_cs.png","G-94-2_A4")</f>
        <v>G-94-2_A4</v>
      </c>
      <c r="B560" t="str">
        <f>HYPERLINK("http://www.corstruth.com.au/WA/PNG2/G-94-2_cs.png","G-94-2_0.25m Bins")</f>
        <v>G-94-2_0.25m Bins</v>
      </c>
      <c r="C560" t="str">
        <f>HYPERLINK("http://www.corstruth.com.au/WA/CSV/G-94-2.csv","G-94-2_CSV File 1m Bins")</f>
        <v>G-94-2_CSV File 1m Bins</v>
      </c>
      <c r="D560" t="s">
        <v>752</v>
      </c>
      <c r="E560" t="s">
        <v>1</v>
      </c>
      <c r="G560" t="s">
        <v>623</v>
      </c>
      <c r="H560" t="s">
        <v>753</v>
      </c>
      <c r="I560">
        <v>-29.7804</v>
      </c>
      <c r="J560">
        <v>122.312</v>
      </c>
      <c r="K560" t="str">
        <f>HYPERLINK("http://geossdi.dmp.wa.gov.au/NVCLDataServices/mosaic.html?datasetid=94808b56-0954-496c-98c3-d91d9f5d518","G-94-2_Core Image")</f>
        <v>G-94-2_Core Image</v>
      </c>
    </row>
    <row r="561" spans="1:11" x14ac:dyDescent="0.25">
      <c r="A561" t="str">
        <f>HYPERLINK("http://www.corstruth.com.au/WA/ED116_cs.png","ED116_A4")</f>
        <v>ED116_A4</v>
      </c>
      <c r="B561" t="str">
        <f>HYPERLINK("http://www.corstruth.com.au/WA/PNG2/ED116_cs.png","ED116_0.25m Bins")</f>
        <v>ED116_0.25m Bins</v>
      </c>
      <c r="C561" t="str">
        <f>HYPERLINK("http://www.corstruth.com.au/WA/CSV/ED116.csv","ED116_CSV File 1m Bins")</f>
        <v>ED116_CSV File 1m Bins</v>
      </c>
      <c r="D561" t="s">
        <v>754</v>
      </c>
      <c r="E561" t="s">
        <v>1</v>
      </c>
      <c r="G561" t="s">
        <v>623</v>
      </c>
      <c r="H561" t="s">
        <v>755</v>
      </c>
      <c r="I561">
        <v>-31.2865</v>
      </c>
      <c r="J561">
        <v>122.84</v>
      </c>
      <c r="K561" t="str">
        <f>HYPERLINK("http://geossdi.dmp.wa.gov.au/NVCLDataServices/mosaic.html?datasetid=1db0e29c-6c19-4d6e-ba14-903c26be51c","ED116_Core Image")</f>
        <v>ED116_Core Image</v>
      </c>
    </row>
    <row r="562" spans="1:11" x14ac:dyDescent="0.25">
      <c r="A562" t="str">
        <f>HYPERLINK("http://www.corstruth.com.au/WA/EC154D_cs.png","EC154D_A4")</f>
        <v>EC154D_A4</v>
      </c>
      <c r="B562" t="str">
        <f>HYPERLINK("http://www.corstruth.com.au/WA/PNG2/EC154D_cs.png","EC154D_0.25m Bins")</f>
        <v>EC154D_0.25m Bins</v>
      </c>
      <c r="C562" t="str">
        <f>HYPERLINK("http://www.corstruth.com.au/WA/CSV/EC154D.csv","EC154D_CSV File 1m Bins")</f>
        <v>EC154D_CSV File 1m Bins</v>
      </c>
      <c r="D562" t="s">
        <v>756</v>
      </c>
      <c r="E562" t="s">
        <v>1</v>
      </c>
      <c r="G562" t="s">
        <v>623</v>
      </c>
      <c r="H562" t="s">
        <v>757</v>
      </c>
      <c r="I562">
        <v>-31.249300000000002</v>
      </c>
      <c r="J562">
        <v>122.83</v>
      </c>
      <c r="K562" t="str">
        <f>HYPERLINK("http://geossdi.dmp.wa.gov.au/NVCLDataServices/mosaic.html?datasetid=70f4456a-74ea-48dd-9edf-ec6331e033e","EC154D_Core Image")</f>
        <v>EC154D_Core Image</v>
      </c>
    </row>
    <row r="563" spans="1:11" x14ac:dyDescent="0.25">
      <c r="A563" t="str">
        <f>HYPERLINK("http://www.corstruth.com.au/WA/EC155D_cs.png","EC155D_A4")</f>
        <v>EC155D_A4</v>
      </c>
      <c r="B563" t="str">
        <f>HYPERLINK("http://www.corstruth.com.au/WA/PNG2/EC155D_cs.png","EC155D_0.25m Bins")</f>
        <v>EC155D_0.25m Bins</v>
      </c>
      <c r="C563" t="str">
        <f>HYPERLINK("http://www.corstruth.com.au/WA/CSV/EC155D.csv","EC155D_CSV File 1m Bins")</f>
        <v>EC155D_CSV File 1m Bins</v>
      </c>
      <c r="D563" t="s">
        <v>758</v>
      </c>
      <c r="E563" t="s">
        <v>1</v>
      </c>
      <c r="G563" t="s">
        <v>623</v>
      </c>
      <c r="H563" t="s">
        <v>757</v>
      </c>
      <c r="I563">
        <v>-31.2423</v>
      </c>
      <c r="J563">
        <v>122.82899999999999</v>
      </c>
      <c r="K563" t="str">
        <f>HYPERLINK("http://geossdi.dmp.wa.gov.au/NVCLDataServices/mosaic.html?datasetid=7862d811-7eae-4105-8c9c-2d006ac96ec","EC155D_Core Image")</f>
        <v>EC155D_Core Image</v>
      </c>
    </row>
    <row r="564" spans="1:11" x14ac:dyDescent="0.25">
      <c r="A564" t="str">
        <f>HYPERLINK("http://www.corstruth.com.au/WA/EC156D_cs.png","EC156D_A4")</f>
        <v>EC156D_A4</v>
      </c>
      <c r="B564" t="str">
        <f>HYPERLINK("http://www.corstruth.com.au/WA/PNG2/EC156D_cs.png","EC156D_0.25m Bins")</f>
        <v>EC156D_0.25m Bins</v>
      </c>
      <c r="C564" t="str">
        <f>HYPERLINK("http://www.corstruth.com.au/WA/CSV/EC156D.csv","EC156D_CSV File 1m Bins")</f>
        <v>EC156D_CSV File 1m Bins</v>
      </c>
      <c r="D564" t="s">
        <v>759</v>
      </c>
      <c r="E564" t="s">
        <v>1</v>
      </c>
      <c r="G564" t="s">
        <v>623</v>
      </c>
      <c r="H564" t="s">
        <v>757</v>
      </c>
      <c r="I564">
        <v>-31.229099999999999</v>
      </c>
      <c r="J564">
        <v>122.819</v>
      </c>
      <c r="K564" t="str">
        <f>HYPERLINK("http://geossdi.dmp.wa.gov.au/NVCLDataServices/mosaic.html?datasetid=eeae60f0-927f-4ec7-890b-309d6ebac8e","EC156D_Core Image")</f>
        <v>EC156D_Core Image</v>
      </c>
    </row>
    <row r="565" spans="1:11" x14ac:dyDescent="0.25">
      <c r="A565" t="str">
        <f>HYPERLINK("http://www.corstruth.com.au/WA/EC157D_cs.png","EC157D_A4")</f>
        <v>EC157D_A4</v>
      </c>
      <c r="B565" t="str">
        <f>HYPERLINK("http://www.corstruth.com.au/WA/PNG2/EC157D_cs.png","EC157D_0.25m Bins")</f>
        <v>EC157D_0.25m Bins</v>
      </c>
      <c r="C565" t="str">
        <f>HYPERLINK("http://www.corstruth.com.au/WA/CSV/EC157D.csv","EC157D_CSV File 1m Bins")</f>
        <v>EC157D_CSV File 1m Bins</v>
      </c>
      <c r="D565" t="s">
        <v>760</v>
      </c>
      <c r="E565" t="s">
        <v>1</v>
      </c>
      <c r="G565" t="s">
        <v>623</v>
      </c>
      <c r="H565" t="s">
        <v>757</v>
      </c>
      <c r="I565">
        <v>-31.252099999999999</v>
      </c>
      <c r="J565">
        <v>122.83</v>
      </c>
      <c r="K565" t="str">
        <f>HYPERLINK("http://geossdi.dmp.wa.gov.au/NVCLDataServices/mosaic.html?datasetid=1aa82d68-37b9-43b6-898f-a2a670ff90d","EC157D_Core Image")</f>
        <v>EC157D_Core Image</v>
      </c>
    </row>
    <row r="566" spans="1:11" x14ac:dyDescent="0.25">
      <c r="A566" t="str">
        <f>HYPERLINK("http://www.corstruth.com.au/WA/EC158D_cs.png","EC158D_A4")</f>
        <v>EC158D_A4</v>
      </c>
      <c r="B566" t="str">
        <f>HYPERLINK("http://www.corstruth.com.au/WA/PNG2/EC158D_cs.png","EC158D_0.25m Bins")</f>
        <v>EC158D_0.25m Bins</v>
      </c>
      <c r="C566" t="str">
        <f>HYPERLINK("http://www.corstruth.com.au/WA/CSV/EC158D.csv","EC158D_CSV File 1m Bins")</f>
        <v>EC158D_CSV File 1m Bins</v>
      </c>
      <c r="D566" t="s">
        <v>761</v>
      </c>
      <c r="E566" t="s">
        <v>1</v>
      </c>
      <c r="G566" t="s">
        <v>623</v>
      </c>
      <c r="H566" t="s">
        <v>757</v>
      </c>
      <c r="I566">
        <v>-31.254100000000001</v>
      </c>
      <c r="J566">
        <v>122.83199999999999</v>
      </c>
      <c r="K566" t="str">
        <f>HYPERLINK("http://geossdi.dmp.wa.gov.au/NVCLDataServices/mosaic.html?datasetid=3fe0e275-baf8-4fe6-ae90-b02e0a7bcee","EC158D_Core Image")</f>
        <v>EC158D_Core Image</v>
      </c>
    </row>
    <row r="567" spans="1:11" x14ac:dyDescent="0.25">
      <c r="A567" t="str">
        <f>HYPERLINK("http://www.corstruth.com.au/WA/EGD001_cs.png","EGD001_A4")</f>
        <v>EGD001_A4</v>
      </c>
      <c r="B567" t="str">
        <f>HYPERLINK("http://www.corstruth.com.au/WA/PNG2/EGD001_cs.png","EGD001_0.25m Bins")</f>
        <v>EGD001_0.25m Bins</v>
      </c>
      <c r="C567" t="str">
        <f>HYPERLINK("http://www.corstruth.com.au/WA/CSV/EGD001.csv","EGD001_CSV File 1m Bins")</f>
        <v>EGD001_CSV File 1m Bins</v>
      </c>
      <c r="D567" t="s">
        <v>762</v>
      </c>
      <c r="E567" t="s">
        <v>1</v>
      </c>
      <c r="G567" t="s">
        <v>623</v>
      </c>
      <c r="H567" t="s">
        <v>763</v>
      </c>
      <c r="I567">
        <v>-26.753900000000002</v>
      </c>
      <c r="J567">
        <v>123.84099999999999</v>
      </c>
      <c r="K567" t="str">
        <f>HYPERLINK("http://geossdi.dmp.wa.gov.au/NVCLDataServices/mosaic.html?datasetid=423a204b-d143-4f84-8d2f-8d6f0090a9c","EGD001_Core Image")</f>
        <v>EGD001_Core Image</v>
      </c>
    </row>
    <row r="568" spans="1:11" x14ac:dyDescent="0.25">
      <c r="A568" t="str">
        <f>HYPERLINK("http://www.corstruth.com.au/WA/EGD002_cs.png","EGD002_A4")</f>
        <v>EGD002_A4</v>
      </c>
      <c r="B568" t="str">
        <f>HYPERLINK("http://www.corstruth.com.au/WA/PNG2/EGD002_cs.png","EGD002_0.25m Bins")</f>
        <v>EGD002_0.25m Bins</v>
      </c>
      <c r="C568" t="str">
        <f>HYPERLINK("http://www.corstruth.com.au/WA/CSV/EGD002.csv","EGD002_CSV File 1m Bins")</f>
        <v>EGD002_CSV File 1m Bins</v>
      </c>
      <c r="D568" t="s">
        <v>764</v>
      </c>
      <c r="E568" t="s">
        <v>1</v>
      </c>
      <c r="G568" t="s">
        <v>623</v>
      </c>
      <c r="H568" t="s">
        <v>763</v>
      </c>
      <c r="I568">
        <v>-26.792100000000001</v>
      </c>
      <c r="J568">
        <v>123.85899999999999</v>
      </c>
      <c r="K568" t="str">
        <f>HYPERLINK("http://geossdi.dmp.wa.gov.au/NVCLDataServices/mosaic.html?datasetid=0a812fc1-383f-4e07-91c3-ce4d6414b2b","EGD002_Core Image")</f>
        <v>EGD002_Core Image</v>
      </c>
    </row>
    <row r="569" spans="1:11" x14ac:dyDescent="0.25">
      <c r="A569" t="str">
        <f>HYPERLINK("http://www.corstruth.com.au/WA/EGD003_cs.png","EGD003_A4")</f>
        <v>EGD003_A4</v>
      </c>
      <c r="B569" t="str">
        <f>HYPERLINK("http://www.corstruth.com.au/WA/PNG2/EGD003_cs.png","EGD003_0.25m Bins")</f>
        <v>EGD003_0.25m Bins</v>
      </c>
      <c r="C569" t="str">
        <f>HYPERLINK("http://www.corstruth.com.au/WA/CSV/EGD003.csv","EGD003_CSV File 1m Bins")</f>
        <v>EGD003_CSV File 1m Bins</v>
      </c>
      <c r="D569" t="s">
        <v>765</v>
      </c>
      <c r="E569" t="s">
        <v>1</v>
      </c>
      <c r="G569" t="s">
        <v>623</v>
      </c>
      <c r="H569" t="s">
        <v>763</v>
      </c>
      <c r="I569">
        <v>-26.991199999999999</v>
      </c>
      <c r="J569">
        <v>124.015</v>
      </c>
      <c r="K569" t="str">
        <f>HYPERLINK("http://geossdi.dmp.wa.gov.au/NVCLDataServices/mosaic.html?datasetid=ea0288e6-fd07-4ad2-b1cd-503b16ffe3e","EGD003_Core Image")</f>
        <v>EGD003_Core Image</v>
      </c>
    </row>
    <row r="570" spans="1:11" x14ac:dyDescent="0.25">
      <c r="A570" t="str">
        <f>HYPERLINK("http://www.corstruth.com.au/WA/EGD004_cs.png","EGD004_A4")</f>
        <v>EGD004_A4</v>
      </c>
      <c r="B570" t="str">
        <f>HYPERLINK("http://www.corstruth.com.au/WA/PNG2/EGD004_cs.png","EGD004_0.25m Bins")</f>
        <v>EGD004_0.25m Bins</v>
      </c>
      <c r="C570" t="str">
        <f>HYPERLINK("http://www.corstruth.com.au/WA/CSV/EGD004.csv","EGD004_CSV File 1m Bins")</f>
        <v>EGD004_CSV File 1m Bins</v>
      </c>
      <c r="D570" t="s">
        <v>766</v>
      </c>
      <c r="E570" t="s">
        <v>1</v>
      </c>
      <c r="G570" t="s">
        <v>623</v>
      </c>
      <c r="H570" t="s">
        <v>763</v>
      </c>
      <c r="I570">
        <v>-26.9634</v>
      </c>
      <c r="J570">
        <v>123.998</v>
      </c>
      <c r="K570" t="str">
        <f>HYPERLINK("http://geossdi.dmp.wa.gov.au/NVCLDataServices/mosaic.html?datasetid=e35f38c0-38c7-4cb5-bdee-f1141a33675","EGD004_Core Image")</f>
        <v>EGD004_Core Image</v>
      </c>
    </row>
    <row r="571" spans="1:11" x14ac:dyDescent="0.25">
      <c r="A571" t="str">
        <f>HYPERLINK("http://www.corstruth.com.au/WA/FDH001_cs.png","FDH001_A4")</f>
        <v>FDH001_A4</v>
      </c>
      <c r="B571" t="str">
        <f>HYPERLINK("http://www.corstruth.com.au/WA/PNG2/FDH001_cs.png","FDH001_0.25m Bins")</f>
        <v>FDH001_0.25m Bins</v>
      </c>
      <c r="C571" t="str">
        <f>HYPERLINK("http://www.corstruth.com.au/WA/CSV/FDH001.csv","FDH001_CSV File 1m Bins")</f>
        <v>FDH001_CSV File 1m Bins</v>
      </c>
      <c r="D571" t="s">
        <v>767</v>
      </c>
      <c r="E571" t="s">
        <v>1</v>
      </c>
      <c r="G571" t="s">
        <v>623</v>
      </c>
      <c r="H571" t="s">
        <v>768</v>
      </c>
      <c r="I571">
        <v>-30.942900000000002</v>
      </c>
      <c r="J571">
        <v>121.616</v>
      </c>
      <c r="K571" t="str">
        <f>HYPERLINK("http://geossdi.dmp.wa.gov.au/NVCLDataServices/mosaic.html?datasetid=7c9b5061-5173-4d45-9ed2-4c874007c04","FDH001_Core Image")</f>
        <v>FDH001_Core Image</v>
      </c>
    </row>
    <row r="572" spans="1:11" x14ac:dyDescent="0.25">
      <c r="A572" t="str">
        <f>HYPERLINK("http://www.corstruth.com.au/WA/FDH002_cs.png","FDH002_A4")</f>
        <v>FDH002_A4</v>
      </c>
      <c r="B572" t="str">
        <f>HYPERLINK("http://www.corstruth.com.au/WA/PNG2/FDH002_cs.png","FDH002_0.25m Bins")</f>
        <v>FDH002_0.25m Bins</v>
      </c>
      <c r="C572" t="str">
        <f>HYPERLINK("http://www.corstruth.com.au/WA/CSV/FDH002.csv","FDH002_CSV File 1m Bins")</f>
        <v>FDH002_CSV File 1m Bins</v>
      </c>
      <c r="D572" t="s">
        <v>769</v>
      </c>
      <c r="E572" t="s">
        <v>1</v>
      </c>
      <c r="G572" t="s">
        <v>623</v>
      </c>
      <c r="H572" t="s">
        <v>768</v>
      </c>
      <c r="I572">
        <v>-30.9405</v>
      </c>
      <c r="J572">
        <v>121.616</v>
      </c>
      <c r="K572" t="str">
        <f>HYPERLINK("http://geossdi.dmp.wa.gov.au/NVCLDataServices/mosaic.html?datasetid=4876d300-ce4a-418c-af16-100ed5b2e6c","FDH002_Core Image")</f>
        <v>FDH002_Core Image</v>
      </c>
    </row>
    <row r="573" spans="1:11" x14ac:dyDescent="0.25">
      <c r="A573" t="str">
        <f>HYPERLINK("http://www.corstruth.com.au/WA/FDH007_cs.png","FDH007_A4")</f>
        <v>FDH007_A4</v>
      </c>
      <c r="B573" t="str">
        <f>HYPERLINK("http://www.corstruth.com.au/WA/PNG2/FDH007_cs.png","FDH007_0.25m Bins")</f>
        <v>FDH007_0.25m Bins</v>
      </c>
      <c r="C573" t="str">
        <f>HYPERLINK("http://www.corstruth.com.au/WA/CSV/FDH007.csv","FDH007_CSV File 1m Bins")</f>
        <v>FDH007_CSV File 1m Bins</v>
      </c>
      <c r="D573" t="s">
        <v>770</v>
      </c>
      <c r="E573" t="s">
        <v>1</v>
      </c>
      <c r="G573" t="s">
        <v>623</v>
      </c>
      <c r="H573" t="s">
        <v>768</v>
      </c>
      <c r="I573">
        <v>-30.924800000000001</v>
      </c>
      <c r="J573">
        <v>121.608</v>
      </c>
      <c r="K573" t="str">
        <f>HYPERLINK("http://geossdi.dmp.wa.gov.au/NVCLDataServices/mosaic.html?datasetid=2598ebfe-b17f-4e8a-9a45-9c0460e5363","FDH007_Core Image")</f>
        <v>FDH007_Core Image</v>
      </c>
    </row>
    <row r="574" spans="1:11" x14ac:dyDescent="0.25">
      <c r="A574" t="str">
        <f>HYPERLINK("http://www.corstruth.com.au/WA/FRCD002_cs.png","FRCD002_A4")</f>
        <v>FRCD002_A4</v>
      </c>
      <c r="B574" t="str">
        <f>HYPERLINK("http://www.corstruth.com.au/WA/PNG2/FRCD002_cs.png","FRCD002_0.25m Bins")</f>
        <v>FRCD002_0.25m Bins</v>
      </c>
      <c r="C574" t="str">
        <f>HYPERLINK("http://www.corstruth.com.au/WA/CSV/FRCD002.csv","FRCD002_CSV File 1m Bins")</f>
        <v>FRCD002_CSV File 1m Bins</v>
      </c>
      <c r="D574" t="s">
        <v>771</v>
      </c>
      <c r="E574" t="s">
        <v>1</v>
      </c>
      <c r="G574" t="s">
        <v>623</v>
      </c>
      <c r="H574" t="s">
        <v>768</v>
      </c>
      <c r="I574">
        <v>-30.9421</v>
      </c>
      <c r="J574">
        <v>121.617</v>
      </c>
      <c r="K574" t="str">
        <f>HYPERLINK("http://geossdi.dmp.wa.gov.au/NVCLDataServices/mosaic.html?datasetid=925f9cc8-4989-49e6-b574-d653f702583","FRCD002_Core Image")</f>
        <v>FRCD002_Core Image</v>
      </c>
    </row>
    <row r="575" spans="1:11" x14ac:dyDescent="0.25">
      <c r="A575" t="str">
        <f>HYPERLINK("http://www.corstruth.com.au/WA/FRCD014_cs.png","FRCD014_A4")</f>
        <v>FRCD014_A4</v>
      </c>
      <c r="B575" t="str">
        <f>HYPERLINK("http://www.corstruth.com.au/WA/PNG2/FRCD014_cs.png","FRCD014_0.25m Bins")</f>
        <v>FRCD014_0.25m Bins</v>
      </c>
      <c r="C575" t="str">
        <f>HYPERLINK("http://www.corstruth.com.au/WA/CSV/FRCD014.csv","FRCD014_CSV File 1m Bins")</f>
        <v>FRCD014_CSV File 1m Bins</v>
      </c>
      <c r="D575" t="s">
        <v>772</v>
      </c>
      <c r="E575" t="s">
        <v>1</v>
      </c>
      <c r="G575" t="s">
        <v>623</v>
      </c>
      <c r="H575" t="s">
        <v>768</v>
      </c>
      <c r="I575">
        <v>-30.943000000000001</v>
      </c>
      <c r="J575">
        <v>121.61799999999999</v>
      </c>
      <c r="K575" t="str">
        <f>HYPERLINK("http://geossdi.dmp.wa.gov.au/NVCLDataServices/mosaic.html?datasetid=7701cb6d-f035-49a9-ad4c-a0635584b73","FRCD014_Core Image")</f>
        <v>FRCD014_Core Image</v>
      </c>
    </row>
    <row r="576" spans="1:11" x14ac:dyDescent="0.25">
      <c r="A576" t="str">
        <f>HYPERLINK("http://www.corstruth.com.au/WA/FRCD016_cs.png","FRCD016_A4")</f>
        <v>FRCD016_A4</v>
      </c>
      <c r="B576" t="str">
        <f>HYPERLINK("http://www.corstruth.com.au/WA/PNG2/FRCD016_cs.png","FRCD016_0.25m Bins")</f>
        <v>FRCD016_0.25m Bins</v>
      </c>
      <c r="C576" t="str">
        <f>HYPERLINK("http://www.corstruth.com.au/WA/CSV/FRCD016.csv","FRCD016_CSV File 1m Bins")</f>
        <v>FRCD016_CSV File 1m Bins</v>
      </c>
      <c r="D576" t="s">
        <v>773</v>
      </c>
      <c r="E576" t="s">
        <v>1</v>
      </c>
      <c r="G576" t="s">
        <v>623</v>
      </c>
      <c r="H576" t="s">
        <v>768</v>
      </c>
      <c r="I576">
        <v>-30.9422</v>
      </c>
      <c r="J576">
        <v>121.608</v>
      </c>
      <c r="K576" t="str">
        <f>HYPERLINK("http://geossdi.dmp.wa.gov.au/NVCLDataServices/mosaic.html?datasetid=83d3c3a2-8eb5-42e5-8e6c-448691d7803","FRCD016_Core Image")</f>
        <v>FRCD016_Core Image</v>
      </c>
    </row>
    <row r="577" spans="1:11" x14ac:dyDescent="0.25">
      <c r="A577" t="str">
        <f>HYPERLINK("http://www.corstruth.com.au/WA/PRD76_cs.png","PRD76_A4")</f>
        <v>PRD76_A4</v>
      </c>
      <c r="B577" t="str">
        <f>HYPERLINK("http://www.corstruth.com.au/WA/PNG2/PRD76_cs.png","PRD76_0.25m Bins")</f>
        <v>PRD76_0.25m Bins</v>
      </c>
      <c r="C577" t="str">
        <f>HYPERLINK("http://www.corstruth.com.au/WA/CSV/PRD76.csv","PRD76_CSV File 1m Bins")</f>
        <v>PRD76_CSV File 1m Bins</v>
      </c>
      <c r="D577" t="s">
        <v>774</v>
      </c>
      <c r="E577" t="s">
        <v>1</v>
      </c>
      <c r="G577" t="s">
        <v>623</v>
      </c>
      <c r="H577" t="s">
        <v>775</v>
      </c>
      <c r="I577">
        <v>-30.785599999999999</v>
      </c>
      <c r="J577">
        <v>121.51</v>
      </c>
      <c r="K577" t="str">
        <f>HYPERLINK("http://geossdi.dmp.wa.gov.au/NVCLDataServices/mosaic.html?datasetid=b57c9f00-622f-4f36-9e72-ded8d4a97ac","PRD76_Core Image")</f>
        <v>PRD76_Core Image</v>
      </c>
    </row>
    <row r="578" spans="1:11" x14ac:dyDescent="0.25">
      <c r="A578" t="str">
        <f>HYPERLINK("http://www.corstruth.com.au/WA/PAGDO_13_cs.png","PAGDO 13_A4")</f>
        <v>PAGDO 13_A4</v>
      </c>
      <c r="B578" t="str">
        <f>HYPERLINK("http://www.corstruth.com.au/WA/PNG2/PAGDO_13_cs.png","PAGDO 13_0.25m Bins")</f>
        <v>PAGDO 13_0.25m Bins</v>
      </c>
      <c r="C578" t="str">
        <f>HYPERLINK("http://www.corstruth.com.au/WA/CSV/PAGDO_13.csv","PAGDO 13_CSV File 1m Bins")</f>
        <v>PAGDO 13_CSV File 1m Bins</v>
      </c>
      <c r="D578" t="s">
        <v>776</v>
      </c>
      <c r="E578" t="s">
        <v>1</v>
      </c>
      <c r="G578" t="s">
        <v>623</v>
      </c>
      <c r="H578" t="s">
        <v>777</v>
      </c>
      <c r="I578">
        <v>-30.767800000000001</v>
      </c>
      <c r="J578">
        <v>121.455</v>
      </c>
      <c r="K578" t="str">
        <f>HYPERLINK("http://geossdi.dmp.wa.gov.au/NVCLDataServices/mosaic.html?datasetid=886673ce-177b-4c03-b0ae-925ca3a2f43","PAGDO 13_Core Image")</f>
        <v>PAGDO 13_Core Image</v>
      </c>
    </row>
    <row r="579" spans="1:11" x14ac:dyDescent="0.25">
      <c r="A579" t="str">
        <f>HYPERLINK("http://www.corstruth.com.au/WA/MAO4167_cs.png","MAO4167_A4")</f>
        <v>MAO4167_A4</v>
      </c>
      <c r="B579" t="str">
        <f>HYPERLINK("http://www.corstruth.com.au/WA/PNG2/MAO4167_cs.png","MAO4167_0.25m Bins")</f>
        <v>MAO4167_0.25m Bins</v>
      </c>
      <c r="C579" t="str">
        <f>HYPERLINK("http://www.corstruth.com.au/WA/CSV/MAO4167.csv","MAO4167_CSV File 1m Bins")</f>
        <v>MAO4167_CSV File 1m Bins</v>
      </c>
      <c r="D579" t="s">
        <v>778</v>
      </c>
      <c r="E579" t="s">
        <v>1</v>
      </c>
      <c r="G579" t="s">
        <v>623</v>
      </c>
      <c r="H579" t="s">
        <v>779</v>
      </c>
      <c r="I579">
        <v>-30.7776</v>
      </c>
      <c r="J579">
        <v>121.51</v>
      </c>
      <c r="K579" t="str">
        <f>HYPERLINK("http://geossdi.dmp.wa.gov.au/NVCLDataServices/mosaic.html?datasetid=51fadcd7-cff1-4495-8016-6b3c3d54995","MAO4167_Core Image")</f>
        <v>MAO4167_Core Image</v>
      </c>
    </row>
    <row r="580" spans="1:11" x14ac:dyDescent="0.25">
      <c r="A580" t="str">
        <f>HYPERLINK("http://www.corstruth.com.au/WA/CHUD022_cs.png","CHUD022_A4")</f>
        <v>CHUD022_A4</v>
      </c>
      <c r="B580" t="str">
        <f>HYPERLINK("http://www.corstruth.com.au/WA/PNG2/CHUD022_cs.png","CHUD022_0.25m Bins")</f>
        <v>CHUD022_0.25m Bins</v>
      </c>
      <c r="C580" t="str">
        <f>HYPERLINK("http://www.corstruth.com.au/WA/CSV/CHUD022.csv","CHUD022_CSV File 1m Bins")</f>
        <v>CHUD022_CSV File 1m Bins</v>
      </c>
      <c r="D580" t="s">
        <v>780</v>
      </c>
      <c r="E580" t="s">
        <v>1</v>
      </c>
      <c r="G580" t="s">
        <v>623</v>
      </c>
      <c r="H580" t="s">
        <v>781</v>
      </c>
      <c r="I580">
        <v>-30.767399999999999</v>
      </c>
      <c r="J580">
        <v>121.498</v>
      </c>
      <c r="K580" t="str">
        <f>HYPERLINK("http://geossdi.dmp.wa.gov.au/NVCLDataServices/mosaic.html?datasetid=6edbf54c-91fe-4346-98f8-e0a17f5099b","CHUD022_Core Image")</f>
        <v>CHUD022_Core Image</v>
      </c>
    </row>
    <row r="581" spans="1:11" x14ac:dyDescent="0.25">
      <c r="A581" t="str">
        <f>HYPERLINK("http://www.corstruth.com.au/WA/MFED016_cs.png","MFED016_A4")</f>
        <v>MFED016_A4</v>
      </c>
      <c r="B581" t="str">
        <f>HYPERLINK("http://www.corstruth.com.au/WA/PNG2/MFED016_cs.png","MFED016_0.25m Bins")</f>
        <v>MFED016_0.25m Bins</v>
      </c>
      <c r="C581" t="str">
        <f>HYPERLINK("http://www.corstruth.com.au/WA/CSV/MFED016.csv","MFED016_CSV File 1m Bins")</f>
        <v>MFED016_CSV File 1m Bins</v>
      </c>
      <c r="D581" t="s">
        <v>59</v>
      </c>
      <c r="E581" t="s">
        <v>1</v>
      </c>
      <c r="G581" t="s">
        <v>623</v>
      </c>
      <c r="H581" t="s">
        <v>782</v>
      </c>
      <c r="I581">
        <v>-26.787299999999998</v>
      </c>
      <c r="J581">
        <v>121.55</v>
      </c>
      <c r="K581" t="str">
        <f>HYPERLINK("http://geossdi.dmp.wa.gov.au/NVCLDataServices/mosaic.html?datasetid=b6a4d4a6-89bd-42b9-9f35-09b1cc9fddd","MFED016_Core Image")</f>
        <v>MFED016_Core Image</v>
      </c>
    </row>
    <row r="582" spans="1:11" x14ac:dyDescent="0.25">
      <c r="A582" t="str">
        <f>HYPERLINK("http://www.corstruth.com.au/WA/MFED018_cs.png","MFED018_A4")</f>
        <v>MFED018_A4</v>
      </c>
      <c r="B582" t="str">
        <f>HYPERLINK("http://www.corstruth.com.au/WA/PNG2/MFED018_cs.png","MFED018_0.25m Bins")</f>
        <v>MFED018_0.25m Bins</v>
      </c>
      <c r="C582" t="str">
        <f>HYPERLINK("http://www.corstruth.com.au/WA/CSV/MFED018.csv","MFED018_CSV File 1m Bins")</f>
        <v>MFED018_CSV File 1m Bins</v>
      </c>
      <c r="D582" t="s">
        <v>59</v>
      </c>
      <c r="E582" t="s">
        <v>1</v>
      </c>
      <c r="G582" t="s">
        <v>623</v>
      </c>
      <c r="H582" t="s">
        <v>782</v>
      </c>
      <c r="I582">
        <v>-26.79</v>
      </c>
      <c r="J582">
        <v>121.551</v>
      </c>
      <c r="K582" t="str">
        <f>HYPERLINK("http://geossdi.dmp.wa.gov.au/NVCLDataServices/mosaic.html?datasetid=6b353c52-864d-411d-b0e1-195b6b93706","MFED018_Core Image")</f>
        <v>MFED018_Core Image</v>
      </c>
    </row>
    <row r="583" spans="1:11" x14ac:dyDescent="0.25">
      <c r="A583" t="str">
        <f>HYPERLINK("http://www.corstruth.com.au/WA/MFED029_cs.png","MFED029_A4")</f>
        <v>MFED029_A4</v>
      </c>
      <c r="B583" t="str">
        <f>HYPERLINK("http://www.corstruth.com.au/WA/PNG2/MFED029_cs.png","MFED029_0.25m Bins")</f>
        <v>MFED029_0.25m Bins</v>
      </c>
      <c r="C583" t="str">
        <f>HYPERLINK("http://www.corstruth.com.au/WA/CSV/MFED029.csv","MFED029_CSV File 1m Bins")</f>
        <v>MFED029_CSV File 1m Bins</v>
      </c>
      <c r="D583" t="s">
        <v>59</v>
      </c>
      <c r="E583" t="s">
        <v>1</v>
      </c>
      <c r="G583" t="s">
        <v>623</v>
      </c>
      <c r="H583" t="s">
        <v>782</v>
      </c>
      <c r="I583">
        <v>-26.792300000000001</v>
      </c>
      <c r="J583">
        <v>121.553</v>
      </c>
      <c r="K583" t="str">
        <f>HYPERLINK("http://geossdi.dmp.wa.gov.au/NVCLDataServices/mosaic.html?datasetid=fe62ce19-123f-498c-9814-8aacac287c6","MFED029_Core Image")</f>
        <v>MFED029_Core Image</v>
      </c>
    </row>
    <row r="584" spans="1:11" x14ac:dyDescent="0.25">
      <c r="A584" t="str">
        <f>HYPERLINK("http://www.corstruth.com.au/WA/MFED075_cs.png","MFED075_A4")</f>
        <v>MFED075_A4</v>
      </c>
      <c r="B584" t="str">
        <f>HYPERLINK("http://www.corstruth.com.au/WA/PNG2/MFED075_cs.png","MFED075_0.25m Bins")</f>
        <v>MFED075_0.25m Bins</v>
      </c>
      <c r="C584" t="str">
        <f>HYPERLINK("http://www.corstruth.com.au/WA/CSV/MFED075.csv","MFED075_CSV File 1m Bins")</f>
        <v>MFED075_CSV File 1m Bins</v>
      </c>
      <c r="D584" t="s">
        <v>783</v>
      </c>
      <c r="E584" t="s">
        <v>1</v>
      </c>
      <c r="G584" t="s">
        <v>623</v>
      </c>
      <c r="H584" t="s">
        <v>782</v>
      </c>
      <c r="I584">
        <v>-26.861899999999999</v>
      </c>
      <c r="J584">
        <v>121.58499999999999</v>
      </c>
      <c r="K584" t="str">
        <f>HYPERLINK("http://geossdi.dmp.wa.gov.au/NVCLDataServices/mosaic.html?datasetid=c282dfe1-b0ea-4ad0-9b1b-6adfa85e77d","MFED075_Core Image")</f>
        <v>MFED075_Core Image</v>
      </c>
    </row>
    <row r="585" spans="1:11" x14ac:dyDescent="0.25">
      <c r="A585" t="str">
        <f>HYPERLINK("http://www.corstruth.com.au/WA/MFED076_[Tray_1-56]_cs.png","MFED076 [Tray 1-56]_A4")</f>
        <v>MFED076 [Tray 1-56]_A4</v>
      </c>
      <c r="B585" t="str">
        <f>HYPERLINK("http://www.corstruth.com.au/WA/PNG2/MFED076_[Tray_1-56]_cs.png","MFED076 [Tray 1-56]_0.25m Bins")</f>
        <v>MFED076 [Tray 1-56]_0.25m Bins</v>
      </c>
      <c r="C585" t="str">
        <f>HYPERLINK("http://www.corstruth.com.au/WA/CSV/MFED076_[Tray_1-56].csv","MFED076 [Tray 1-56]_CSV File 1m Bins")</f>
        <v>MFED076 [Tray 1-56]_CSV File 1m Bins</v>
      </c>
      <c r="D585" t="s">
        <v>784</v>
      </c>
      <c r="E585" t="s">
        <v>1</v>
      </c>
      <c r="G585" t="s">
        <v>623</v>
      </c>
      <c r="H585" t="s">
        <v>782</v>
      </c>
      <c r="I585">
        <v>-26.791499999999999</v>
      </c>
      <c r="J585">
        <v>121.556</v>
      </c>
      <c r="K585" t="str">
        <f>HYPERLINK("http://geossdi.dmp.wa.gov.au/NVCLDataServices/mosaic.html?datasetid=1e4d4944-c772-4e04-b82d-3e19575686c","MFED076 [Tray 1-56]_Core Image")</f>
        <v>MFED076 [Tray 1-56]_Core Image</v>
      </c>
    </row>
    <row r="586" spans="1:11" x14ac:dyDescent="0.25">
      <c r="A586" t="str">
        <f>HYPERLINK("http://www.corstruth.com.au/WA/MFED076_[wedge_Tray_57-161]_cs.png","MFED076 [wedge Tray 57-161]_A4")</f>
        <v>MFED076 [wedge Tray 57-161]_A4</v>
      </c>
      <c r="B586" t="str">
        <f>HYPERLINK("http://www.corstruth.com.au/WA/PNG2/MFED076_[wedge_Tray_57-161]_cs.png","MFED076 [wedge Tray 57-161]_0.25m Bins")</f>
        <v>MFED076 [wedge Tray 57-161]_0.25m Bins</v>
      </c>
      <c r="C586" t="str">
        <f>HYPERLINK("http://www.corstruth.com.au/WA/CSV/MFED076_[wedge_Tray_57-161].csv","MFED076 [wedge Tray 57-161]_CSV File 1m Bins")</f>
        <v>MFED076 [wedge Tray 57-161]_CSV File 1m Bins</v>
      </c>
      <c r="D586" t="s">
        <v>784</v>
      </c>
      <c r="E586" t="s">
        <v>1</v>
      </c>
      <c r="G586" t="s">
        <v>623</v>
      </c>
      <c r="H586" t="s">
        <v>782</v>
      </c>
      <c r="I586">
        <v>-26.791499999999999</v>
      </c>
      <c r="J586">
        <v>121.556</v>
      </c>
    </row>
    <row r="587" spans="1:11" x14ac:dyDescent="0.25">
      <c r="A587" t="str">
        <f>HYPERLINK("http://www.corstruth.com.au/WA/MFED077_cs.png","MFED077_A4")</f>
        <v>MFED077_A4</v>
      </c>
      <c r="B587" t="str">
        <f>HYPERLINK("http://www.corstruth.com.au/WA/PNG2/MFED077_cs.png","MFED077_0.25m Bins")</f>
        <v>MFED077_0.25m Bins</v>
      </c>
      <c r="C587" t="str">
        <f>HYPERLINK("http://www.corstruth.com.au/WA/CSV/MFED077.csv","MFED077_CSV File 1m Bins")</f>
        <v>MFED077_CSV File 1m Bins</v>
      </c>
      <c r="D587" t="s">
        <v>785</v>
      </c>
      <c r="E587" t="s">
        <v>1</v>
      </c>
      <c r="G587" t="s">
        <v>623</v>
      </c>
      <c r="H587" t="s">
        <v>782</v>
      </c>
      <c r="I587">
        <v>-26.860800000000001</v>
      </c>
      <c r="J587">
        <v>121.584</v>
      </c>
      <c r="K587" t="str">
        <f>HYPERLINK("http://geossdi.dmp.wa.gov.au/NVCLDataServices/mosaic.html?datasetid=ad7d6e96-dd1f-4c16-8a2e-3783b8ae34d","MFED077_Core Image")</f>
        <v>MFED077_Core Image</v>
      </c>
    </row>
    <row r="588" spans="1:11" x14ac:dyDescent="0.25">
      <c r="A588" t="str">
        <f>HYPERLINK("http://www.corstruth.com.au/WA/MFED078_cs.png","MFED078_A4")</f>
        <v>MFED078_A4</v>
      </c>
      <c r="B588" t="str">
        <f>HYPERLINK("http://www.corstruth.com.au/WA/PNG2/MFED078_cs.png","MFED078_0.25m Bins")</f>
        <v>MFED078_0.25m Bins</v>
      </c>
      <c r="C588" t="str">
        <f>HYPERLINK("http://www.corstruth.com.au/WA/CSV/MFED078.csv","MFED078_CSV File 1m Bins")</f>
        <v>MFED078_CSV File 1m Bins</v>
      </c>
      <c r="D588" t="s">
        <v>786</v>
      </c>
      <c r="E588" t="s">
        <v>1</v>
      </c>
      <c r="G588" t="s">
        <v>623</v>
      </c>
      <c r="H588" t="s">
        <v>782</v>
      </c>
      <c r="I588">
        <v>-26.8598</v>
      </c>
      <c r="J588">
        <v>121.583</v>
      </c>
      <c r="K588" t="str">
        <f>HYPERLINK("http://geossdi.dmp.wa.gov.au/NVCLDataServices/mosaic.html?datasetid=95e6cbb8-7cf3-448e-b382-dad542af56a","MFED078_Core Image")</f>
        <v>MFED078_Core Image</v>
      </c>
    </row>
    <row r="589" spans="1:11" x14ac:dyDescent="0.25">
      <c r="A589" t="str">
        <f>HYPERLINK("http://www.corstruth.com.au/WA/MFED060_cs.png","MFED060_A4")</f>
        <v>MFED060_A4</v>
      </c>
      <c r="B589" t="str">
        <f>HYPERLINK("http://www.corstruth.com.au/WA/PNG2/MFED060_cs.png","MFED060_0.25m Bins")</f>
        <v>MFED060_0.25m Bins</v>
      </c>
      <c r="C589" t="str">
        <f>HYPERLINK("http://www.corstruth.com.au/WA/CSV/MFED060.csv","MFED060_CSV File 1m Bins")</f>
        <v>MFED060_CSV File 1m Bins</v>
      </c>
      <c r="D589" t="s">
        <v>59</v>
      </c>
      <c r="E589" t="s">
        <v>1</v>
      </c>
      <c r="G589" t="s">
        <v>623</v>
      </c>
      <c r="H589" t="s">
        <v>787</v>
      </c>
      <c r="I589">
        <v>-26.8</v>
      </c>
      <c r="J589">
        <v>121.553</v>
      </c>
      <c r="K589" t="str">
        <f>HYPERLINK("http://geossdi.dmp.wa.gov.au/NVCLDataServices/mosaic.html?datasetid=014c6372-a68c-4a86-b70a-42214022844","MFED060_Core Image")</f>
        <v>MFED060_Core Image</v>
      </c>
    </row>
    <row r="590" spans="1:11" x14ac:dyDescent="0.25">
      <c r="A590" t="str">
        <f>HYPERLINK("http://www.corstruth.com.au/WA/MFED069_cs.png","MFED069_A4")</f>
        <v>MFED069_A4</v>
      </c>
      <c r="B590" t="str">
        <f>HYPERLINK("http://www.corstruth.com.au/WA/PNG2/MFED069_cs.png","MFED069_0.25m Bins")</f>
        <v>MFED069_0.25m Bins</v>
      </c>
      <c r="C590" t="str">
        <f>HYPERLINK("http://www.corstruth.com.au/WA/CSV/MFED069.csv","MFED069_CSV File 1m Bins")</f>
        <v>MFED069_CSV File 1m Bins</v>
      </c>
      <c r="D590" t="s">
        <v>59</v>
      </c>
      <c r="E590" t="s">
        <v>1</v>
      </c>
      <c r="G590" t="s">
        <v>623</v>
      </c>
      <c r="H590" t="s">
        <v>787</v>
      </c>
      <c r="I590">
        <v>-26.801400000000001</v>
      </c>
      <c r="J590">
        <v>121.554</v>
      </c>
      <c r="K590" t="str">
        <f>HYPERLINK("http://geossdi.dmp.wa.gov.au/NVCLDataServices/mosaic.html?datasetid=142f8395-df09-4d1f-93eb-51ae47caadc","MFED069_Core Image")</f>
        <v>MFED069_Core Image</v>
      </c>
    </row>
    <row r="591" spans="1:11" x14ac:dyDescent="0.25">
      <c r="A591" t="str">
        <f>HYPERLINK("http://www.corstruth.com.au/WA/MFED043_cs.png","MFED043_A4")</f>
        <v>MFED043_A4</v>
      </c>
      <c r="B591" t="str">
        <f>HYPERLINK("http://www.corstruth.com.au/WA/PNG2/MFED043_cs.png","MFED043_0.25m Bins")</f>
        <v>MFED043_0.25m Bins</v>
      </c>
      <c r="C591" t="str">
        <f>HYPERLINK("http://www.corstruth.com.au/WA/CSV/MFED043.csv","MFED043_CSV File 1m Bins")</f>
        <v>MFED043_CSV File 1m Bins</v>
      </c>
      <c r="D591" t="s">
        <v>59</v>
      </c>
      <c r="E591" t="s">
        <v>1</v>
      </c>
      <c r="G591" t="s">
        <v>623</v>
      </c>
      <c r="H591" t="s">
        <v>788</v>
      </c>
      <c r="I591">
        <v>-26.809200000000001</v>
      </c>
      <c r="J591">
        <v>121.557</v>
      </c>
      <c r="K591" t="str">
        <f>HYPERLINK("http://geossdi.dmp.wa.gov.au/NVCLDataServices/mosaic.html?datasetid=57fba1b7-2763-4ff7-bf7c-65bb8a7d914","MFED043_Core Image")</f>
        <v>MFED043_Core Image</v>
      </c>
    </row>
    <row r="592" spans="1:11" x14ac:dyDescent="0.25">
      <c r="A592" t="str">
        <f>HYPERLINK("http://www.corstruth.com.au/WA/MFED055_cs.png","MFED055_A4")</f>
        <v>MFED055_A4</v>
      </c>
      <c r="B592" t="str">
        <f>HYPERLINK("http://www.corstruth.com.au/WA/PNG2/MFED055_cs.png","MFED055_0.25m Bins")</f>
        <v>MFED055_0.25m Bins</v>
      </c>
      <c r="C592" t="str">
        <f>HYPERLINK("http://www.corstruth.com.au/WA/CSV/MFED055.csv","MFED055_CSV File 1m Bins")</f>
        <v>MFED055_CSV File 1m Bins</v>
      </c>
      <c r="D592" t="s">
        <v>59</v>
      </c>
      <c r="E592" t="s">
        <v>1</v>
      </c>
      <c r="G592" t="s">
        <v>623</v>
      </c>
      <c r="H592" t="s">
        <v>788</v>
      </c>
      <c r="I592">
        <v>-26.810300000000002</v>
      </c>
      <c r="J592">
        <v>121.55800000000001</v>
      </c>
      <c r="K592" t="str">
        <f>HYPERLINK("http://geossdi.dmp.wa.gov.au/NVCLDataServices/mosaic.html?datasetid=6cb1aa04-6e9c-41dd-aa4e-de261e96896","MFED055_Core Image")</f>
        <v>MFED055_Core Image</v>
      </c>
    </row>
    <row r="593" spans="1:11" x14ac:dyDescent="0.25">
      <c r="A593" t="str">
        <f>HYPERLINK("http://www.corstruth.com.au/WA/MFED064_cs.png","MFED064_A4")</f>
        <v>MFED064_A4</v>
      </c>
      <c r="B593" t="str">
        <f>HYPERLINK("http://www.corstruth.com.au/WA/PNG2/MFED064_cs.png","MFED064_0.25m Bins")</f>
        <v>MFED064_0.25m Bins</v>
      </c>
      <c r="C593" t="str">
        <f>HYPERLINK("http://www.corstruth.com.au/WA/CSV/MFED064.csv","MFED064_CSV File 1m Bins")</f>
        <v>MFED064_CSV File 1m Bins</v>
      </c>
      <c r="D593" t="s">
        <v>59</v>
      </c>
      <c r="E593" t="s">
        <v>1</v>
      </c>
      <c r="G593" t="s">
        <v>623</v>
      </c>
      <c r="H593" t="s">
        <v>788</v>
      </c>
      <c r="I593">
        <v>-26.8065</v>
      </c>
      <c r="J593">
        <v>121.559</v>
      </c>
      <c r="K593" t="str">
        <f>HYPERLINK("http://geossdi.dmp.wa.gov.au/NVCLDataServices/mosaic.html?datasetid=064f98b9-282c-4915-a3a4-47865deb43c","MFED064_Core Image")</f>
        <v>MFED064_Core Image</v>
      </c>
    </row>
    <row r="594" spans="1:11" x14ac:dyDescent="0.25">
      <c r="A594" t="str">
        <f>HYPERLINK("http://www.corstruth.com.au/WA/MFED071_cs.png","MFED071_A4")</f>
        <v>MFED071_A4</v>
      </c>
      <c r="B594" t="str">
        <f>HYPERLINK("http://www.corstruth.com.au/WA/PNG2/MFED071_cs.png","MFED071_0.25m Bins")</f>
        <v>MFED071_0.25m Bins</v>
      </c>
      <c r="C594" t="str">
        <f>HYPERLINK("http://www.corstruth.com.au/WA/CSV/MFED071.csv","MFED071_CSV File 1m Bins")</f>
        <v>MFED071_CSV File 1m Bins</v>
      </c>
      <c r="D594" t="s">
        <v>59</v>
      </c>
      <c r="E594" t="s">
        <v>1</v>
      </c>
      <c r="G594" t="s">
        <v>623</v>
      </c>
      <c r="H594" t="s">
        <v>789</v>
      </c>
      <c r="I594">
        <v>-26.8645</v>
      </c>
      <c r="J594">
        <v>121.587</v>
      </c>
      <c r="K594" t="str">
        <f>HYPERLINK("http://geossdi.dmp.wa.gov.au/NVCLDataServices/mosaic.html?datasetid=2d033176-8eaf-4f43-804c-9803273741d","MFED071_Core Image")</f>
        <v>MFED071_Core Image</v>
      </c>
    </row>
    <row r="595" spans="1:11" x14ac:dyDescent="0.25">
      <c r="A595" t="str">
        <f>HYPERLINK("http://www.corstruth.com.au/WA/MFED001_cs.png","MFED001_A4")</f>
        <v>MFED001_A4</v>
      </c>
      <c r="B595" t="str">
        <f>HYPERLINK("http://www.corstruth.com.au/WA/PNG2/MFED001_cs.png","MFED001_0.25m Bins")</f>
        <v>MFED001_0.25m Bins</v>
      </c>
      <c r="C595" t="str">
        <f>HYPERLINK("http://www.corstruth.com.au/WA/CSV/MFED001.csv","MFED001_CSV File 1m Bins")</f>
        <v>MFED001_CSV File 1m Bins</v>
      </c>
      <c r="D595" t="s">
        <v>790</v>
      </c>
      <c r="E595" t="s">
        <v>1</v>
      </c>
      <c r="G595" t="s">
        <v>623</v>
      </c>
      <c r="H595" t="s">
        <v>791</v>
      </c>
      <c r="I595">
        <v>-26.79</v>
      </c>
      <c r="J595">
        <v>121.55</v>
      </c>
      <c r="K595" t="str">
        <f>HYPERLINK("http://geossdi.dmp.wa.gov.au/NVCLDataServices/mosaic.html?datasetid=8355139c-3146-4c3f-8e07-2796b6d3524","MFED001_Core Image")</f>
        <v>MFED001_Core Image</v>
      </c>
    </row>
    <row r="596" spans="1:11" x14ac:dyDescent="0.25">
      <c r="A596" t="str">
        <f>HYPERLINK("http://www.corstruth.com.au/WA/MFED080_cs.png","MFED080_A4")</f>
        <v>MFED080_A4</v>
      </c>
      <c r="B596" t="str">
        <f>HYPERLINK("http://www.corstruth.com.au/WA/PNG2/MFED080_cs.png","MFED080_0.25m Bins")</f>
        <v>MFED080_0.25m Bins</v>
      </c>
      <c r="C596" t="str">
        <f>HYPERLINK("http://www.corstruth.com.au/WA/CSV/MFED080.csv","MFED080_CSV File 1m Bins")</f>
        <v>MFED080_CSV File 1m Bins</v>
      </c>
      <c r="D596" t="s">
        <v>792</v>
      </c>
      <c r="E596" t="s">
        <v>1</v>
      </c>
      <c r="G596" t="s">
        <v>623</v>
      </c>
      <c r="H596" t="s">
        <v>791</v>
      </c>
      <c r="I596">
        <v>-26.805900000000001</v>
      </c>
      <c r="J596">
        <v>121.56</v>
      </c>
      <c r="K596" t="str">
        <f>HYPERLINK("http://geossdi.dmp.wa.gov.au/NVCLDataServices/mosaic.html?datasetid=da421745-8ad4-4b26-8273-a4e70170c4b","MFED080_Core Image")</f>
        <v>MFED080_Core Image</v>
      </c>
    </row>
    <row r="597" spans="1:11" x14ac:dyDescent="0.25">
      <c r="A597" t="str">
        <f>HYPERLINK("http://www.corstruth.com.au/WA/WF14-98_cs.png","WF14-98_A4")</f>
        <v>WF14-98_A4</v>
      </c>
      <c r="B597" t="str">
        <f>HYPERLINK("http://www.corstruth.com.au/WA/PNG2/WF14-98_cs.png","WF14-98_0.25m Bins")</f>
        <v>WF14-98_0.25m Bins</v>
      </c>
      <c r="C597" t="str">
        <f>HYPERLINK("http://www.corstruth.com.au/WA/CSV/WF14-98.csv","WF14-98_CSV File 1m Bins")</f>
        <v>WF14-98_CSV File 1m Bins</v>
      </c>
      <c r="D597" t="s">
        <v>793</v>
      </c>
      <c r="E597" t="s">
        <v>1</v>
      </c>
      <c r="G597" t="s">
        <v>623</v>
      </c>
      <c r="H597" t="s">
        <v>794</v>
      </c>
      <c r="I597">
        <v>-31.2319</v>
      </c>
      <c r="J597">
        <v>121.68899999999999</v>
      </c>
      <c r="K597" t="str">
        <f>HYPERLINK("http://geossdi.dmp.wa.gov.au/NVCLDataServices/mosaic.html?datasetid=f7c8534f-b9a1-474f-91ca-4febd7abd47","WF14-98_Core Image")</f>
        <v>WF14-98_Core Image</v>
      </c>
    </row>
    <row r="598" spans="1:11" x14ac:dyDescent="0.25">
      <c r="A598" t="str">
        <f>HYPERLINK("http://www.corstruth.com.au/WA/CBD181_cs.png","CBD181_A4")</f>
        <v>CBD181_A4</v>
      </c>
      <c r="B598" t="str">
        <f>HYPERLINK("http://www.corstruth.com.au/WA/PNG2/CBD181_cs.png","CBD181_0.25m Bins")</f>
        <v>CBD181_0.25m Bins</v>
      </c>
      <c r="C598" t="str">
        <f>HYPERLINK("http://www.corstruth.com.au/WA/CSV/CBD181.csv","CBD181_CSV File 1m Bins")</f>
        <v>CBD181_CSV File 1m Bins</v>
      </c>
      <c r="D598" t="s">
        <v>795</v>
      </c>
      <c r="E598" t="s">
        <v>1</v>
      </c>
      <c r="G598" t="s">
        <v>623</v>
      </c>
      <c r="H598" t="s">
        <v>796</v>
      </c>
      <c r="I598">
        <v>-32.586199999999998</v>
      </c>
      <c r="J598">
        <v>119.741</v>
      </c>
      <c r="K598" t="str">
        <f>HYPERLINK("http://geossdi.dmp.wa.gov.au/NVCLDataServices/mosaic.html?datasetid=75df27eb-6d4c-4ded-a8af-34a21e5fcc3","CBD181_Core Image")</f>
        <v>CBD181_Core Image</v>
      </c>
    </row>
    <row r="599" spans="1:11" x14ac:dyDescent="0.25">
      <c r="A599" t="str">
        <f>HYPERLINK("http://www.corstruth.com.au/WA/SED185_cs.png","SED185_A4")</f>
        <v>SED185_A4</v>
      </c>
      <c r="B599" t="str">
        <f>HYPERLINK("http://www.corstruth.com.au/WA/PNG2/SED185_cs.png","SED185_0.25m Bins")</f>
        <v>SED185_0.25m Bins</v>
      </c>
      <c r="C599" t="str">
        <f>HYPERLINK("http://www.corstruth.com.au/WA/CSV/SED185.csv","SED185_CSV File 1m Bins")</f>
        <v>SED185_CSV File 1m Bins</v>
      </c>
      <c r="D599" t="s">
        <v>797</v>
      </c>
      <c r="E599" t="s">
        <v>1</v>
      </c>
      <c r="G599" t="s">
        <v>623</v>
      </c>
      <c r="H599" t="s">
        <v>798</v>
      </c>
      <c r="I599">
        <v>-32.718000000000004</v>
      </c>
      <c r="J599">
        <v>119.81100000000001</v>
      </c>
      <c r="K599" t="str">
        <f>HYPERLINK("http://geossdi.dmp.wa.gov.au/NVCLDataServices/mosaic.html?datasetid=8e85eaaf-8920-4412-b210-71484c54afc","SED185_Core Image")</f>
        <v>SED185_Core Image</v>
      </c>
    </row>
    <row r="600" spans="1:11" x14ac:dyDescent="0.25">
      <c r="A600" t="str">
        <f>HYPERLINK("http://www.corstruth.com.au/WA/CD14460_cs.png","CD14460_A4")</f>
        <v>CD14460_A4</v>
      </c>
      <c r="B600" t="str">
        <f>HYPERLINK("http://www.corstruth.com.au/WA/PNG2/CD14460_cs.png","CD14460_0.25m Bins")</f>
        <v>CD14460_0.25m Bins</v>
      </c>
      <c r="C600" t="str">
        <f>HYPERLINK("http://www.corstruth.com.au/WA/CSV/CD14460.csv","CD14460_CSV File 1m Bins")</f>
        <v>CD14460_CSV File 1m Bins</v>
      </c>
      <c r="D600" t="s">
        <v>799</v>
      </c>
      <c r="E600" t="s">
        <v>1</v>
      </c>
      <c r="G600" t="s">
        <v>623</v>
      </c>
      <c r="H600" t="s">
        <v>800</v>
      </c>
      <c r="I600">
        <v>-31.3489</v>
      </c>
      <c r="J600">
        <v>121.78700000000001</v>
      </c>
      <c r="K600" t="str">
        <f>HYPERLINK("http://geossdi.dmp.wa.gov.au/NVCLDataServices/mosaic.html?datasetid=d0d6e3f8-6aba-41c4-b42c-2011f4afb80","CD14460_Core Image")</f>
        <v>CD14460_Core Image</v>
      </c>
    </row>
    <row r="601" spans="1:11" x14ac:dyDescent="0.25">
      <c r="A601" t="str">
        <f>HYPERLINK("http://www.corstruth.com.au/WA/MEDD144_cs.png","MEDD144_A4")</f>
        <v>MEDD144_A4</v>
      </c>
      <c r="B601" t="str">
        <f>HYPERLINK("http://www.corstruth.com.au/WA/PNG2/MEDD144_cs.png","MEDD144_0.25m Bins")</f>
        <v>MEDD144_0.25m Bins</v>
      </c>
      <c r="C601" t="str">
        <f>HYPERLINK("http://www.corstruth.com.au/WA/CSV/MEDD144.csv","MEDD144_CSV File 1m Bins")</f>
        <v>MEDD144_CSV File 1m Bins</v>
      </c>
      <c r="D601" t="s">
        <v>801</v>
      </c>
      <c r="E601" t="s">
        <v>1</v>
      </c>
      <c r="G601" t="s">
        <v>623</v>
      </c>
      <c r="H601" t="s">
        <v>802</v>
      </c>
      <c r="I601">
        <v>-30.761399999999998</v>
      </c>
      <c r="J601">
        <v>121.277</v>
      </c>
      <c r="K601" t="str">
        <f>HYPERLINK("http://geossdi.dmp.wa.gov.au/NVCLDataServices/mosaic.html?datasetid=32c96c49-7d60-45aa-a72a-ba78c5ef9cb","MEDD144_Core Image")</f>
        <v>MEDD144_Core Image</v>
      </c>
    </row>
    <row r="602" spans="1:11" x14ac:dyDescent="0.25">
      <c r="A602" t="str">
        <f>HYPERLINK("http://www.corstruth.com.au/WA/RRLGDDD044_cs.png","RRLGDDD044_A4")</f>
        <v>RRLGDDD044_A4</v>
      </c>
      <c r="B602" t="str">
        <f>HYPERLINK("http://www.corstruth.com.au/WA/PNG2/RRLGDDD044_cs.png","RRLGDDD044_0.25m Bins")</f>
        <v>RRLGDDD044_0.25m Bins</v>
      </c>
      <c r="C602" t="str">
        <f>HYPERLINK("http://www.corstruth.com.au/WA/CSV/RRLGDDD044.csv","RRLGDDD044_CSV File 1m Bins")</f>
        <v>RRLGDDD044_CSV File 1m Bins</v>
      </c>
      <c r="D602" t="s">
        <v>59</v>
      </c>
      <c r="E602" t="s">
        <v>1</v>
      </c>
      <c r="G602" t="s">
        <v>623</v>
      </c>
      <c r="H602" t="s">
        <v>803</v>
      </c>
      <c r="I602">
        <v>-27.904599999999999</v>
      </c>
      <c r="J602">
        <v>122.361</v>
      </c>
      <c r="K602" t="str">
        <f>HYPERLINK("http://geossdi.dmp.wa.gov.au/NVCLDataServices/mosaic.html?datasetid=871979c9-8572-4b75-8c25-902b3359a38","RRLGDDD044_Core Image")</f>
        <v>RRLGDDD044_Core Image</v>
      </c>
    </row>
    <row r="603" spans="1:11" x14ac:dyDescent="0.25">
      <c r="A603" t="str">
        <f>HYPERLINK("http://www.corstruth.com.au/WA/RRLGDDD063_cs.png","RRLGDDD063_A4")</f>
        <v>RRLGDDD063_A4</v>
      </c>
      <c r="B603" t="str">
        <f>HYPERLINK("http://www.corstruth.com.au/WA/PNG2/RRLGDDD063_cs.png","RRLGDDD063_0.25m Bins")</f>
        <v>RRLGDDD063_0.25m Bins</v>
      </c>
      <c r="C603" t="str">
        <f>HYPERLINK("http://www.corstruth.com.au/WA/CSV/RRLGDDD063.csv","RRLGDDD063_CSV File 1m Bins")</f>
        <v>RRLGDDD063_CSV File 1m Bins</v>
      </c>
      <c r="D603" t="s">
        <v>59</v>
      </c>
      <c r="E603" t="s">
        <v>1</v>
      </c>
      <c r="G603" t="s">
        <v>623</v>
      </c>
      <c r="H603" t="s">
        <v>803</v>
      </c>
      <c r="I603">
        <v>-27.913499999999999</v>
      </c>
      <c r="J603">
        <v>122.36199999999999</v>
      </c>
      <c r="K603" t="str">
        <f>HYPERLINK("http://geossdi.dmp.wa.gov.au/NVCLDataServices/mosaic.html?datasetid=515b0615-16d0-4f7b-b7a1-30c6ba2898d","RRLGDDD063_Core Image")</f>
        <v>RRLGDDD063_Core Image</v>
      </c>
    </row>
    <row r="604" spans="1:11" x14ac:dyDescent="0.25">
      <c r="A604" t="str">
        <f>HYPERLINK("http://www.corstruth.com.au/WA/PDDD010_cs.png","PDDD010_A4")</f>
        <v>PDDD010_A4</v>
      </c>
      <c r="B604" t="str">
        <f>HYPERLINK("http://www.corstruth.com.au/WA/PNG2/PDDD010_cs.png","PDDD010_0.25m Bins")</f>
        <v>PDDD010_0.25m Bins</v>
      </c>
      <c r="C604" t="str">
        <f>HYPERLINK("http://www.corstruth.com.au/WA/CSV/PDDD010.csv","PDDD010_CSV File 1m Bins")</f>
        <v>PDDD010_CSV File 1m Bins</v>
      </c>
      <c r="D604" t="s">
        <v>804</v>
      </c>
      <c r="E604" t="s">
        <v>1</v>
      </c>
      <c r="G604" t="s">
        <v>623</v>
      </c>
      <c r="H604" t="s">
        <v>805</v>
      </c>
      <c r="I604">
        <v>-30.773499999999999</v>
      </c>
      <c r="J604">
        <v>121.291</v>
      </c>
      <c r="K604" t="str">
        <f>HYPERLINK("http://geossdi.dmp.wa.gov.au/NVCLDataServices/mosaic.html?datasetid=15c2b367-9945-45d4-af9e-8a467461ec2","PDDD010_Core Image")</f>
        <v>PDDD010_Core Image</v>
      </c>
    </row>
    <row r="605" spans="1:11" x14ac:dyDescent="0.25">
      <c r="A605" t="str">
        <f>HYPERLINK("http://www.corstruth.com.au/WA/ADH_001_cs.png","ADH 001_A4")</f>
        <v>ADH 001_A4</v>
      </c>
      <c r="B605" t="str">
        <f>HYPERLINK("http://www.corstruth.com.au/WA/PNG2/ADH_001_cs.png","ADH 001_0.25m Bins")</f>
        <v>ADH 001_0.25m Bins</v>
      </c>
      <c r="C605" t="str">
        <f>HYPERLINK("http://www.corstruth.com.au/WA/CSV/ADH_001.csv","ADH 001_CSV File 1m Bins")</f>
        <v>ADH 001_CSV File 1m Bins</v>
      </c>
      <c r="D605" t="s">
        <v>806</v>
      </c>
      <c r="E605" t="s">
        <v>1</v>
      </c>
      <c r="G605" t="s">
        <v>623</v>
      </c>
      <c r="H605" t="s">
        <v>807</v>
      </c>
      <c r="I605">
        <v>-30.7681</v>
      </c>
      <c r="J605">
        <v>121.86799999999999</v>
      </c>
      <c r="K605" t="str">
        <f>HYPERLINK("http://geossdi.dmp.wa.gov.au/NVCLDataServices/mosaic.html?datasetid=52749e69-8e62-46a4-a86e-2b3b2df78b0","ADH 001_Core Image")</f>
        <v>ADH 001_Core Image</v>
      </c>
    </row>
    <row r="606" spans="1:11" x14ac:dyDescent="0.25">
      <c r="A606" t="str">
        <f>HYPERLINK("http://www.corstruth.com.au/WA/12GMSD001_cs.png","12GMSD001_A4")</f>
        <v>12GMSD001_A4</v>
      </c>
      <c r="B606" t="str">
        <f>HYPERLINK("http://www.corstruth.com.au/WA/PNG2/12GMSD001_cs.png","12GMSD001_0.25m Bins")</f>
        <v>12GMSD001_0.25m Bins</v>
      </c>
      <c r="C606" t="str">
        <f>HYPERLINK("http://www.corstruth.com.au/WA/CSV/12GMSD001.csv","12GMSD001_CSV File 1m Bins")</f>
        <v>12GMSD001_CSV File 1m Bins</v>
      </c>
      <c r="D606" t="s">
        <v>808</v>
      </c>
      <c r="E606" t="s">
        <v>1</v>
      </c>
      <c r="G606" t="s">
        <v>623</v>
      </c>
      <c r="H606" t="s">
        <v>809</v>
      </c>
      <c r="I606">
        <v>-30.823599999999999</v>
      </c>
      <c r="J606">
        <v>121.55800000000001</v>
      </c>
      <c r="K606" t="str">
        <f>HYPERLINK("http://geossdi.dmp.wa.gov.au/NVCLDataServices/mosaic.html?datasetid=9e7e9e36-a11e-47eb-9cd3-c7d4ac573ee","12GMSD001_Core Image")</f>
        <v>12GMSD001_Core Image</v>
      </c>
    </row>
    <row r="607" spans="1:11" x14ac:dyDescent="0.25">
      <c r="A607" t="str">
        <f>HYPERLINK("http://www.corstruth.com.au/WA/GRRCD0001_cs.png","GRRCD0001_A4")</f>
        <v>GRRCD0001_A4</v>
      </c>
      <c r="B607" t="str">
        <f>HYPERLINK("http://www.corstruth.com.au/WA/PNG2/GRRCD0001_cs.png","GRRCD0001_0.25m Bins")</f>
        <v>GRRCD0001_0.25m Bins</v>
      </c>
      <c r="C607" t="str">
        <f>HYPERLINK("http://www.corstruth.com.au/WA/CSV/GRRCD0001.csv","GRRCD0001_CSV File 1m Bins")</f>
        <v>GRRCD0001_CSV File 1m Bins</v>
      </c>
      <c r="D607" t="s">
        <v>810</v>
      </c>
      <c r="E607" t="s">
        <v>1</v>
      </c>
      <c r="G607" t="s">
        <v>623</v>
      </c>
      <c r="H607" t="s">
        <v>811</v>
      </c>
      <c r="I607">
        <v>-30.958400000000001</v>
      </c>
      <c r="J607">
        <v>121.753</v>
      </c>
      <c r="K607" t="str">
        <f>HYPERLINK("http://geossdi.dmp.wa.gov.au/NVCLDataServices/mosaic.html?datasetid=bd456880-962c-4d1e-973d-c49cc63ebbb","GRRCD0001_Core Image")</f>
        <v>GRRCD0001_Core Image</v>
      </c>
    </row>
    <row r="608" spans="1:11" x14ac:dyDescent="0.25">
      <c r="A608" t="str">
        <f>HYPERLINK("http://www.corstruth.com.au/WA/GRRCD0004_cs.png","GRRCD0004_A4")</f>
        <v>GRRCD0004_A4</v>
      </c>
      <c r="B608" t="str">
        <f>HYPERLINK("http://www.corstruth.com.au/WA/PNG2/GRRCD0004_cs.png","GRRCD0004_0.25m Bins")</f>
        <v>GRRCD0004_0.25m Bins</v>
      </c>
      <c r="C608" t="str">
        <f>HYPERLINK("http://www.corstruth.com.au/WA/CSV/GRRCD0004.csv","GRRCD0004_CSV File 1m Bins")</f>
        <v>GRRCD0004_CSV File 1m Bins</v>
      </c>
      <c r="D608" t="s">
        <v>812</v>
      </c>
      <c r="E608" t="s">
        <v>1</v>
      </c>
      <c r="G608" t="s">
        <v>623</v>
      </c>
      <c r="H608" t="s">
        <v>811</v>
      </c>
      <c r="I608">
        <v>-30.9633</v>
      </c>
      <c r="J608">
        <v>121.711</v>
      </c>
      <c r="K608" t="str">
        <f>HYPERLINK("http://geossdi.dmp.wa.gov.au/NVCLDataServices/mosaic.html?datasetid=6cfcc6c7-d688-4d74-bea0-85a672df236","GRRCD0004_Core Image")</f>
        <v>GRRCD0004_Core Image</v>
      </c>
    </row>
    <row r="609" spans="1:11" x14ac:dyDescent="0.25">
      <c r="A609" t="str">
        <f>HYPERLINK("http://www.corstruth.com.au/WA/GUD175_cs.png","GUD175_A4")</f>
        <v>GUD175_A4</v>
      </c>
      <c r="B609" t="str">
        <f>HYPERLINK("http://www.corstruth.com.au/WA/PNG2/GUD175_cs.png","GUD175_0.25m Bins")</f>
        <v>GUD175_0.25m Bins</v>
      </c>
      <c r="C609" t="str">
        <f>HYPERLINK("http://www.corstruth.com.au/WA/CSV/GUD175.csv","GUD175_CSV File 1m Bins")</f>
        <v>GUD175_CSV File 1m Bins</v>
      </c>
      <c r="D609" t="s">
        <v>813</v>
      </c>
      <c r="E609" t="s">
        <v>1</v>
      </c>
      <c r="G609" t="s">
        <v>623</v>
      </c>
      <c r="H609" t="s">
        <v>814</v>
      </c>
      <c r="I609">
        <v>-30.392299999999999</v>
      </c>
      <c r="J609">
        <v>121.64</v>
      </c>
      <c r="K609" t="str">
        <f>HYPERLINK("http://geossdi.dmp.wa.gov.au/NVCLDataServices/mosaic.html?datasetid=0296ad44-b006-4bbc-95de-77805b2254b","GUD175_Core Image")</f>
        <v>GUD175_Core Image</v>
      </c>
    </row>
    <row r="610" spans="1:11" x14ac:dyDescent="0.25">
      <c r="A610" t="str">
        <f>HYPERLINK("http://www.corstruth.com.au/WA/GUD173_cs.png","GUD173_A4")</f>
        <v>GUD173_A4</v>
      </c>
      <c r="B610" t="str">
        <f>HYPERLINK("http://www.corstruth.com.au/WA/PNG2/GUD173_cs.png","GUD173_0.25m Bins")</f>
        <v>GUD173_0.25m Bins</v>
      </c>
      <c r="C610" t="str">
        <f>HYPERLINK("http://www.corstruth.com.au/WA/CSV/GUD173.csv","GUD173_CSV File 1m Bins")</f>
        <v>GUD173_CSV File 1m Bins</v>
      </c>
      <c r="D610" t="s">
        <v>815</v>
      </c>
      <c r="E610" t="s">
        <v>1</v>
      </c>
      <c r="G610" t="s">
        <v>623</v>
      </c>
      <c r="H610" t="s">
        <v>816</v>
      </c>
      <c r="I610">
        <v>-30.392299999999999</v>
      </c>
      <c r="J610">
        <v>121.64</v>
      </c>
      <c r="K610" t="str">
        <f>HYPERLINK("http://geossdi.dmp.wa.gov.au/NVCLDataServices/mosaic.html?datasetid=8b2615af-693b-4a01-bf84-01e36313fe2","GUD173_Core Image")</f>
        <v>GUD173_Core Image</v>
      </c>
    </row>
    <row r="611" spans="1:11" x14ac:dyDescent="0.25">
      <c r="A611" t="str">
        <f>HYPERLINK("http://www.corstruth.com.au/WA/GUD174_cs.png","GUD174_A4")</f>
        <v>GUD174_A4</v>
      </c>
      <c r="B611" t="str">
        <f>HYPERLINK("http://www.corstruth.com.au/WA/PNG2/GUD174_cs.png","GUD174_0.25m Bins")</f>
        <v>GUD174_0.25m Bins</v>
      </c>
      <c r="C611" t="str">
        <f>HYPERLINK("http://www.corstruth.com.au/WA/CSV/GUD174.csv","GUD174_CSV File 1m Bins")</f>
        <v>GUD174_CSV File 1m Bins</v>
      </c>
      <c r="D611" t="s">
        <v>817</v>
      </c>
      <c r="E611" t="s">
        <v>1</v>
      </c>
      <c r="G611" t="s">
        <v>623</v>
      </c>
      <c r="H611" t="s">
        <v>816</v>
      </c>
      <c r="I611">
        <v>-30.392299999999999</v>
      </c>
      <c r="J611">
        <v>121.64</v>
      </c>
      <c r="K611" t="str">
        <f>HYPERLINK("http://geossdi.dmp.wa.gov.au/NVCLDataServices/mosaic.html?datasetid=e0a87542-da2c-445c-9cec-a4e6b4fce41","GUD174_Core Image")</f>
        <v>GUD174_Core Image</v>
      </c>
    </row>
    <row r="612" spans="1:11" x14ac:dyDescent="0.25">
      <c r="A612" t="str">
        <f>HYPERLINK("http://www.corstruth.com.au/WA/SUD0821_cs.png","SUD0821_A4")</f>
        <v>SUD0821_A4</v>
      </c>
      <c r="B612" t="str">
        <f>HYPERLINK("http://www.corstruth.com.au/WA/PNG2/SUD0821_cs.png","SUD0821_0.25m Bins")</f>
        <v>SUD0821_0.25m Bins</v>
      </c>
      <c r="C612" t="str">
        <f>HYPERLINK("http://www.corstruth.com.au/WA/CSV/SUD0821.csv","SUD0821_CSV File 1m Bins")</f>
        <v>SUD0821_CSV File 1m Bins</v>
      </c>
      <c r="D612" t="s">
        <v>818</v>
      </c>
      <c r="E612" t="s">
        <v>1</v>
      </c>
      <c r="G612" t="s">
        <v>623</v>
      </c>
      <c r="H612" t="s">
        <v>816</v>
      </c>
      <c r="I612">
        <v>-30.389700000000001</v>
      </c>
      <c r="J612">
        <v>121.646</v>
      </c>
      <c r="K612" t="str">
        <f>HYPERLINK("http://geossdi.dmp.wa.gov.au/NVCLDataServices/mosaic.html?datasetid=067747a5-f43e-442f-a31f-035dcc8ab56","SUD0821_Core Image")</f>
        <v>SUD0821_Core Image</v>
      </c>
    </row>
    <row r="613" spans="1:11" x14ac:dyDescent="0.25">
      <c r="A613" t="str">
        <f>HYPERLINK("http://www.corstruth.com.au/WA/19GVDD0001_cs.png","19GVDD0001_A4")</f>
        <v>19GVDD0001_A4</v>
      </c>
      <c r="B613" t="str">
        <f>HYPERLINK("http://www.corstruth.com.au/WA/PNG2/19GVDD0001_cs.png","19GVDD0001_0.25m Bins")</f>
        <v>19GVDD0001_0.25m Bins</v>
      </c>
      <c r="C613" t="str">
        <f>HYPERLINK("http://www.corstruth.com.au/WA/CSV/19GVDD0001.csv","19GVDD0001_CSV File 1m Bins")</f>
        <v>19GVDD0001_CSV File 1m Bins</v>
      </c>
      <c r="D613" t="s">
        <v>819</v>
      </c>
      <c r="E613" t="s">
        <v>1</v>
      </c>
      <c r="G613" t="s">
        <v>623</v>
      </c>
      <c r="H613" t="s">
        <v>820</v>
      </c>
      <c r="I613">
        <v>-28.344999999999999</v>
      </c>
      <c r="J613">
        <v>124.02800000000001</v>
      </c>
      <c r="K613" t="str">
        <f>HYPERLINK("http://geossdi.dmp.wa.gov.au/NVCLDataServices/mosaic.html?datasetid=d7b83cc1-efb7-48fa-af97-6d8c3fba032","19GVDD0001_Core Image")</f>
        <v>19GVDD0001_Core Image</v>
      </c>
    </row>
    <row r="614" spans="1:11" x14ac:dyDescent="0.25">
      <c r="A614" t="str">
        <f>HYPERLINK("http://www.corstruth.com.au/WA/19GVDD0002_cs.png","19GVDD0002_A4")</f>
        <v>19GVDD0002_A4</v>
      </c>
      <c r="B614" t="str">
        <f>HYPERLINK("http://www.corstruth.com.au/WA/PNG2/19GVDD0002_cs.png","19GVDD0002_0.25m Bins")</f>
        <v>19GVDD0002_0.25m Bins</v>
      </c>
      <c r="C614" t="str">
        <f>HYPERLINK("http://www.corstruth.com.au/WA/CSV/19GVDD0002.csv","19GVDD0002_CSV File 1m Bins")</f>
        <v>19GVDD0002_CSV File 1m Bins</v>
      </c>
      <c r="D614" t="s">
        <v>821</v>
      </c>
      <c r="E614" t="s">
        <v>1</v>
      </c>
      <c r="G614" t="s">
        <v>623</v>
      </c>
      <c r="H614" t="s">
        <v>820</v>
      </c>
      <c r="I614">
        <v>-28.376799999999999</v>
      </c>
      <c r="J614">
        <v>123.958</v>
      </c>
      <c r="K614" t="str">
        <f>HYPERLINK("http://geossdi.dmp.wa.gov.au/NVCLDataServices/mosaic.html?datasetid=c4b68451-69be-4fd6-ab1c-fe9ad7a9d0f","19GVDD0002_Core Image")</f>
        <v>19GVDD0002_Core Image</v>
      </c>
    </row>
    <row r="615" spans="1:11" x14ac:dyDescent="0.25">
      <c r="A615" t="str">
        <f>HYPERLINK("http://www.corstruth.com.au/WA/19GVDD0003_cs.png","19GVDD0003_A4")</f>
        <v>19GVDD0003_A4</v>
      </c>
      <c r="B615" t="str">
        <f>HYPERLINK("http://www.corstruth.com.au/WA/PNG2/19GVDD0003_cs.png","19GVDD0003_0.25m Bins")</f>
        <v>19GVDD0003_0.25m Bins</v>
      </c>
      <c r="C615" t="str">
        <f>HYPERLINK("http://www.corstruth.com.au/WA/CSV/19GVDD0003.csv","19GVDD0003_CSV File 1m Bins")</f>
        <v>19GVDD0003_CSV File 1m Bins</v>
      </c>
      <c r="D615" t="s">
        <v>822</v>
      </c>
      <c r="E615" t="s">
        <v>1</v>
      </c>
      <c r="G615" t="s">
        <v>623</v>
      </c>
      <c r="H615" t="s">
        <v>820</v>
      </c>
      <c r="I615">
        <v>-28.347100000000001</v>
      </c>
      <c r="J615">
        <v>123.991</v>
      </c>
      <c r="K615" t="str">
        <f>HYPERLINK("http://geossdi.dmp.wa.gov.au/NVCLDataServices/mosaic.html?datasetid=da6dc8c3-6e62-4778-9120-29c218027fc","19GVDD0003_Core Image")</f>
        <v>19GVDD0003_Core Image</v>
      </c>
    </row>
    <row r="616" spans="1:11" x14ac:dyDescent="0.25">
      <c r="A616" t="str">
        <f>HYPERLINK("http://www.corstruth.com.au/WA/19MHDD0001_cs.png","19MHDD0001_A4")</f>
        <v>19MHDD0001_A4</v>
      </c>
      <c r="B616" t="str">
        <f>HYPERLINK("http://www.corstruth.com.au/WA/PNG2/19MHDD0001_cs.png","19MHDD0001_0.25m Bins")</f>
        <v>19MHDD0001_0.25m Bins</v>
      </c>
      <c r="C616" t="str">
        <f>HYPERLINK("http://www.corstruth.com.au/WA/CSV/19MHDD0001.csv","19MHDD0001_CSV File 1m Bins")</f>
        <v>19MHDD0001_CSV File 1m Bins</v>
      </c>
      <c r="D616" t="s">
        <v>823</v>
      </c>
      <c r="E616" t="s">
        <v>1</v>
      </c>
      <c r="G616" t="s">
        <v>623</v>
      </c>
      <c r="H616" t="s">
        <v>820</v>
      </c>
      <c r="I616">
        <v>-28.239599999999999</v>
      </c>
      <c r="J616">
        <v>124.023</v>
      </c>
      <c r="K616" t="str">
        <f>HYPERLINK("http://geossdi.dmp.wa.gov.au/NVCLDataServices/mosaic.html?datasetid=07a8f03c-8db9-4995-98e9-04eca065a8f","19MHDD0001_Core Image")</f>
        <v>19MHDD0001_Core Image</v>
      </c>
    </row>
    <row r="617" spans="1:11" x14ac:dyDescent="0.25">
      <c r="A617" t="str">
        <f>HYPERLINK("http://www.corstruth.com.au/WA/15EIS001_[Tray_1-86]_cs.png","15EIS001 [Tray 1-86]_A4")</f>
        <v>15EIS001 [Tray 1-86]_A4</v>
      </c>
      <c r="B617" t="str">
        <f>HYPERLINK("http://www.corstruth.com.au/WA/PNG2/15EIS001_[Tray_1-86]_cs.png","15EIS001 [Tray 1-86]_0.25m Bins")</f>
        <v>15EIS001 [Tray 1-86]_0.25m Bins</v>
      </c>
      <c r="C617" t="str">
        <f>HYPERLINK("http://www.corstruth.com.au/WA/CSV/15EIS001_[Tray_1-86].csv","15EIS001 [Tray 1-86]_CSV File 1m Bins")</f>
        <v>15EIS001 [Tray 1-86]_CSV File 1m Bins</v>
      </c>
      <c r="D617" t="s">
        <v>824</v>
      </c>
      <c r="E617" t="s">
        <v>1</v>
      </c>
      <c r="G617" t="s">
        <v>623</v>
      </c>
      <c r="H617" t="s">
        <v>825</v>
      </c>
      <c r="I617">
        <v>-27.977599999999999</v>
      </c>
      <c r="J617">
        <v>123.85899999999999</v>
      </c>
      <c r="K617" t="str">
        <f>HYPERLINK("http://geossdi.dmp.wa.gov.au/NVCLDataServices/mosaic.html?datasetid=443bd630-f6df-4f32-8e5c-0a756c9a56f","15EIS001 [Tray 1-86]_Core Image")</f>
        <v>15EIS001 [Tray 1-86]_Core Image</v>
      </c>
    </row>
    <row r="618" spans="1:11" x14ac:dyDescent="0.25">
      <c r="A618" t="str">
        <f>HYPERLINK("http://www.corstruth.com.au/WA/15EIS001_[wedge_Tray_200-225]_cs.png","15EIS001 [wedge Tray 200-225]_A4")</f>
        <v>15EIS001 [wedge Tray 200-225]_A4</v>
      </c>
      <c r="B618" t="str">
        <f>HYPERLINK("http://www.corstruth.com.au/WA/PNG2/15EIS001_[wedge_Tray_200-225]_cs.png","15EIS001 [wedge Tray 200-225]_0.25m Bins")</f>
        <v>15EIS001 [wedge Tray 200-225]_0.25m Bins</v>
      </c>
      <c r="C618" t="str">
        <f>HYPERLINK("http://www.corstruth.com.au/WA/CSV/15EIS001_[wedge_Tray_200-225].csv","15EIS001 [wedge Tray 200-225]_CSV File 1m Bins")</f>
        <v>15EIS001 [wedge Tray 200-225]_CSV File 1m Bins</v>
      </c>
      <c r="D618" t="s">
        <v>824</v>
      </c>
      <c r="E618" t="s">
        <v>1</v>
      </c>
      <c r="G618" t="s">
        <v>623</v>
      </c>
      <c r="H618" t="s">
        <v>825</v>
      </c>
      <c r="I618">
        <v>-27.977599999999999</v>
      </c>
      <c r="J618">
        <v>123.85899999999999</v>
      </c>
    </row>
    <row r="619" spans="1:11" x14ac:dyDescent="0.25">
      <c r="A619" t="str">
        <f>HYPERLINK("http://www.corstruth.com.au/WA/15EIS001_[wedge_Tray_226-516]_cs.png","15EIS001 [wedge Tray 226-516]_A4")</f>
        <v>15EIS001 [wedge Tray 226-516]_A4</v>
      </c>
      <c r="B619" t="str">
        <f>HYPERLINK("http://www.corstruth.com.au/WA/PNG2/15EIS001_[wedge_Tray_226-516]_cs.png","15EIS001 [wedge Tray 226-516]_0.25m Bins")</f>
        <v>15EIS001 [wedge Tray 226-516]_0.25m Bins</v>
      </c>
      <c r="C619" t="str">
        <f>HYPERLINK("http://www.corstruth.com.au/WA/CSV/15EIS001_[wedge_Tray_226-516].csv","15EIS001 [wedge Tray 226-516]_CSV File 1m Bins")</f>
        <v>15EIS001 [wedge Tray 226-516]_CSV File 1m Bins</v>
      </c>
      <c r="D619" t="s">
        <v>824</v>
      </c>
      <c r="E619" t="s">
        <v>1</v>
      </c>
      <c r="G619" t="s">
        <v>623</v>
      </c>
      <c r="H619" t="s">
        <v>825</v>
      </c>
      <c r="I619">
        <v>-27.977599999999999</v>
      </c>
      <c r="J619">
        <v>123.85899999999999</v>
      </c>
    </row>
    <row r="620" spans="1:11" x14ac:dyDescent="0.25">
      <c r="A620" t="str">
        <f>HYPERLINK("http://www.corstruth.com.au/WA/15EIS001_[wedge_Tray_87-199]_cs.png","15EIS001 [wedge Tray 87-199]_A4")</f>
        <v>15EIS001 [wedge Tray 87-199]_A4</v>
      </c>
      <c r="B620" t="str">
        <f>HYPERLINK("http://www.corstruth.com.au/WA/PNG2/15EIS001_[wedge_Tray_87-199]_cs.png","15EIS001 [wedge Tray 87-199]_0.25m Bins")</f>
        <v>15EIS001 [wedge Tray 87-199]_0.25m Bins</v>
      </c>
      <c r="C620" t="str">
        <f>HYPERLINK("http://www.corstruth.com.au/WA/CSV/15EIS001_[wedge_Tray_87-199].csv","15EIS001 [wedge Tray 87-199]_CSV File 1m Bins")</f>
        <v>15EIS001 [wedge Tray 87-199]_CSV File 1m Bins</v>
      </c>
      <c r="D620" t="s">
        <v>824</v>
      </c>
      <c r="E620" t="s">
        <v>1</v>
      </c>
      <c r="G620" t="s">
        <v>623</v>
      </c>
      <c r="H620" t="s">
        <v>825</v>
      </c>
      <c r="I620">
        <v>-27.977599999999999</v>
      </c>
      <c r="J620">
        <v>123.85899999999999</v>
      </c>
    </row>
    <row r="621" spans="1:11" x14ac:dyDescent="0.25">
      <c r="A621" t="str">
        <f>HYPERLINK("http://www.corstruth.com.au/WA/BM5969_cs.png","BM5969_A4")</f>
        <v>BM5969_A4</v>
      </c>
      <c r="B621" t="str">
        <f>HYPERLINK("http://www.corstruth.com.au/WA/PNG2/BM5969_cs.png","BM5969_0.25m Bins")</f>
        <v>BM5969_0.25m Bins</v>
      </c>
      <c r="C621" t="str">
        <f>HYPERLINK("http://www.corstruth.com.au/WA/CSV/BM5969.csv","BM5969_CSV File 1m Bins")</f>
        <v>BM5969_CSV File 1m Bins</v>
      </c>
      <c r="D621" t="s">
        <v>826</v>
      </c>
      <c r="E621" t="s">
        <v>1</v>
      </c>
      <c r="G621" t="s">
        <v>623</v>
      </c>
      <c r="H621" t="s">
        <v>827</v>
      </c>
      <c r="I621">
        <v>-30.773299999999999</v>
      </c>
      <c r="J621">
        <v>121.502</v>
      </c>
      <c r="K621" t="str">
        <f>HYPERLINK("http://geossdi.dmp.wa.gov.au/NVCLDataServices/mosaic.html?datasetid=bc7ea1a0-e332-4056-b296-efd9025f3cb","BM5969_Core Image")</f>
        <v>BM5969_Core Image</v>
      </c>
    </row>
    <row r="622" spans="1:11" x14ac:dyDescent="0.25">
      <c r="A622" t="str">
        <f>HYPERLINK("http://www.corstruth.com.au/WA/17SRDD0010_cs.png","17SRDD0010_A4")</f>
        <v>17SRDD0010_A4</v>
      </c>
      <c r="B622" t="str">
        <f>HYPERLINK("http://www.corstruth.com.au/WA/PNG2/17SRDD0010_cs.png","17SRDD0010_0.25m Bins")</f>
        <v>17SRDD0010_0.25m Bins</v>
      </c>
      <c r="C622" t="str">
        <f>HYPERLINK("http://www.corstruth.com.au/WA/CSV/17SRDD0010.csv","17SRDD0010_CSV File 1m Bins")</f>
        <v>17SRDD0010_CSV File 1m Bins</v>
      </c>
      <c r="D622" t="s">
        <v>828</v>
      </c>
      <c r="E622" t="s">
        <v>1</v>
      </c>
      <c r="G622" t="s">
        <v>623</v>
      </c>
      <c r="H622" t="s">
        <v>829</v>
      </c>
      <c r="I622">
        <v>-28.0932</v>
      </c>
      <c r="J622">
        <v>123.693</v>
      </c>
      <c r="K622" t="str">
        <f>HYPERLINK("http://geossdi.dmp.wa.gov.au/NVCLDataServices/mosaic.html?datasetid=0278c2d3-e465-420a-9b53-acfb627823c","17SRDD0010_Core Image")</f>
        <v>17SRDD0010_Core Image</v>
      </c>
    </row>
    <row r="623" spans="1:11" x14ac:dyDescent="0.25">
      <c r="A623" t="str">
        <f>HYPERLINK("http://www.corstruth.com.au/WA/17SRDD0011_cs.png","17SRDD0011_A4")</f>
        <v>17SRDD0011_A4</v>
      </c>
      <c r="B623" t="str">
        <f>HYPERLINK("http://www.corstruth.com.au/WA/PNG2/17SRDD0011_cs.png","17SRDD0011_0.25m Bins")</f>
        <v>17SRDD0011_0.25m Bins</v>
      </c>
      <c r="C623" t="str">
        <f>HYPERLINK("http://www.corstruth.com.au/WA/CSV/17SRDD0011.csv","17SRDD0011_CSV File 1m Bins")</f>
        <v>17SRDD0011_CSV File 1m Bins</v>
      </c>
      <c r="D623" t="s">
        <v>830</v>
      </c>
      <c r="E623" t="s">
        <v>1</v>
      </c>
      <c r="G623" t="s">
        <v>623</v>
      </c>
      <c r="H623" t="s">
        <v>829</v>
      </c>
      <c r="I623">
        <v>-28.083200000000001</v>
      </c>
      <c r="J623">
        <v>123.724</v>
      </c>
      <c r="K623" t="str">
        <f>HYPERLINK("http://geossdi.dmp.wa.gov.au/NVCLDataServices/mosaic.html?datasetid=63a981b7-23b4-4593-a3d2-3a5476986e3","17SRDD0011_Core Image")</f>
        <v>17SRDD0011_Core Image</v>
      </c>
    </row>
    <row r="624" spans="1:11" x14ac:dyDescent="0.25">
      <c r="A624" t="str">
        <f>HYPERLINK("http://www.corstruth.com.au/WA/17DTDD0001_cs.png","17DTDD0001_A4")</f>
        <v>17DTDD0001_A4</v>
      </c>
      <c r="B624" t="str">
        <f>HYPERLINK("http://www.corstruth.com.au/WA/PNG2/17DTDD0001_cs.png","17DTDD0001_0.25m Bins")</f>
        <v>17DTDD0001_0.25m Bins</v>
      </c>
      <c r="C624" t="str">
        <f>HYPERLINK("http://www.corstruth.com.au/WA/CSV/17DTDD0001.csv","17DTDD0001_CSV File 1m Bins")</f>
        <v>17DTDD0001_CSV File 1m Bins</v>
      </c>
      <c r="D624" t="s">
        <v>831</v>
      </c>
      <c r="E624" t="s">
        <v>1</v>
      </c>
      <c r="G624" t="s">
        <v>623</v>
      </c>
      <c r="H624" t="s">
        <v>832</v>
      </c>
      <c r="I624">
        <v>-28.115300000000001</v>
      </c>
      <c r="J624">
        <v>123.759</v>
      </c>
      <c r="K624" t="str">
        <f>HYPERLINK("http://geossdi.dmp.wa.gov.au/NVCLDataServices/mosaic.html?datasetid=484a7577-4a96-4325-98fe-51a87480e7e","17DTDD0001_Core Image")</f>
        <v>17DTDD0001_Core Image</v>
      </c>
    </row>
    <row r="625" spans="1:11" x14ac:dyDescent="0.25">
      <c r="A625" t="str">
        <f>HYPERLINK("http://www.corstruth.com.au/WA/HND0002_cs.png","HND0002_A4")</f>
        <v>HND0002_A4</v>
      </c>
      <c r="B625" t="str">
        <f>HYPERLINK("http://www.corstruth.com.au/WA/PNG2/HND0002_cs.png","HND0002_0.25m Bins")</f>
        <v>HND0002_0.25m Bins</v>
      </c>
      <c r="C625" t="str">
        <f>HYPERLINK("http://www.corstruth.com.au/WA/CSV/HND0002.csv","HND0002_CSV File 1m Bins")</f>
        <v>HND0002_CSV File 1m Bins</v>
      </c>
      <c r="D625" t="s">
        <v>833</v>
      </c>
      <c r="E625" t="s">
        <v>1</v>
      </c>
      <c r="G625" t="s">
        <v>623</v>
      </c>
      <c r="H625" t="s">
        <v>834</v>
      </c>
      <c r="I625">
        <v>-30.7332</v>
      </c>
      <c r="J625">
        <v>121.47499999999999</v>
      </c>
      <c r="K625" t="str">
        <f>HYPERLINK("http://geossdi.dmp.wa.gov.au/NVCLDataServices/mosaic.html?datasetid=a0f22d09-ff64-4215-ae4d-376c6e5e6fa","HND0002_Core Image")</f>
        <v>HND0002_Core Image</v>
      </c>
    </row>
    <row r="626" spans="1:11" x14ac:dyDescent="0.25">
      <c r="A626" t="str">
        <f>HYPERLINK("http://www.corstruth.com.au/WA/HND0006_cs.png","HND0006_A4")</f>
        <v>HND0006_A4</v>
      </c>
      <c r="B626" t="str">
        <f>HYPERLINK("http://www.corstruth.com.au/WA/PNG2/HND0006_cs.png","HND0006_0.25m Bins")</f>
        <v>HND0006_0.25m Bins</v>
      </c>
      <c r="C626" t="str">
        <f>HYPERLINK("http://www.corstruth.com.au/WA/CSV/HND0006.csv","HND0006_CSV File 1m Bins")</f>
        <v>HND0006_CSV File 1m Bins</v>
      </c>
      <c r="D626" t="s">
        <v>835</v>
      </c>
      <c r="E626" t="s">
        <v>1</v>
      </c>
      <c r="G626" t="s">
        <v>623</v>
      </c>
      <c r="H626" t="s">
        <v>834</v>
      </c>
      <c r="I626">
        <v>-30.7333</v>
      </c>
      <c r="J626">
        <v>121.47499999999999</v>
      </c>
      <c r="K626" t="str">
        <f>HYPERLINK("http://geossdi.dmp.wa.gov.au/NVCLDataServices/mosaic.html?datasetid=3728241c-c2a1-4508-ac49-1199f1e1b52","HND0006_Core Image")</f>
        <v>HND0006_Core Image</v>
      </c>
    </row>
    <row r="627" spans="1:11" x14ac:dyDescent="0.25">
      <c r="A627" t="str">
        <f>HYPERLINK("http://www.corstruth.com.au/WA/HWDD002_cs.png","HWDD002_A4")</f>
        <v>HWDD002_A4</v>
      </c>
      <c r="B627" t="str">
        <f>HYPERLINK("http://www.corstruth.com.au/WA/PNG2/HWDD002_cs.png","HWDD002_0.25m Bins")</f>
        <v>HWDD002_0.25m Bins</v>
      </c>
      <c r="C627" t="str">
        <f>HYPERLINK("http://www.corstruth.com.au/WA/CSV/HWDD002.csv","HWDD002_CSV File 1m Bins")</f>
        <v>HWDD002_CSV File 1m Bins</v>
      </c>
      <c r="D627" t="s">
        <v>836</v>
      </c>
      <c r="E627" t="s">
        <v>1</v>
      </c>
      <c r="G627" t="s">
        <v>623</v>
      </c>
      <c r="H627" t="s">
        <v>837</v>
      </c>
      <c r="I627">
        <v>-31.283300000000001</v>
      </c>
      <c r="J627">
        <v>121.471</v>
      </c>
      <c r="K627" t="str">
        <f>HYPERLINK("http://geossdi.dmp.wa.gov.au/NVCLDataServices/mosaic.html?datasetid=e3abbcd1-23d6-409d-bb08-909cc61cd83","HWDD002_Core Image")</f>
        <v>HWDD002_Core Image</v>
      </c>
    </row>
    <row r="628" spans="1:11" x14ac:dyDescent="0.25">
      <c r="A628" t="str">
        <f>HYPERLINK("http://www.corstruth.com.au/WA/HWDD003_cs.png","HWDD003_A4")</f>
        <v>HWDD003_A4</v>
      </c>
      <c r="B628" t="str">
        <f>HYPERLINK("http://www.corstruth.com.au/WA/PNG2/HWDD003_cs.png","HWDD003_0.25m Bins")</f>
        <v>HWDD003_0.25m Bins</v>
      </c>
      <c r="C628" t="str">
        <f>HYPERLINK("http://www.corstruth.com.au/WA/CSV/HWDD003.csv","HWDD003_CSV File 1m Bins")</f>
        <v>HWDD003_CSV File 1m Bins</v>
      </c>
      <c r="D628" t="s">
        <v>838</v>
      </c>
      <c r="E628" t="s">
        <v>1</v>
      </c>
      <c r="G628" t="s">
        <v>623</v>
      </c>
      <c r="H628" t="s">
        <v>837</v>
      </c>
      <c r="I628">
        <v>-31.278700000000001</v>
      </c>
      <c r="J628">
        <v>121.47</v>
      </c>
      <c r="K628" t="str">
        <f>HYPERLINK("http://geossdi.dmp.wa.gov.au/NVCLDataServices/mosaic.html?datasetid=b5d1de97-c08c-471e-9271-77eac743ddc","HWDD003_Core Image")</f>
        <v>HWDD003_Core Image</v>
      </c>
    </row>
    <row r="629" spans="1:11" x14ac:dyDescent="0.25">
      <c r="A629" t="str">
        <f>HYPERLINK("http://www.corstruth.com.au/WA/ACDD001_cs.png","ACDD001_A4")</f>
        <v>ACDD001_A4</v>
      </c>
      <c r="B629" t="str">
        <f>HYPERLINK("http://www.corstruth.com.au/WA/PNG2/ACDD001_cs.png","ACDD001_0.25m Bins")</f>
        <v>ACDD001_0.25m Bins</v>
      </c>
      <c r="C629" t="str">
        <f>HYPERLINK("http://www.corstruth.com.au/WA/CSV/ACDD001.csv","ACDD001_CSV File 1m Bins")</f>
        <v>ACDD001_CSV File 1m Bins</v>
      </c>
      <c r="D629" t="s">
        <v>839</v>
      </c>
      <c r="E629" t="s">
        <v>1</v>
      </c>
      <c r="G629" t="s">
        <v>623</v>
      </c>
      <c r="H629" t="s">
        <v>840</v>
      </c>
      <c r="I629">
        <v>-25.8004</v>
      </c>
      <c r="J629">
        <v>120.63800000000001</v>
      </c>
      <c r="K629" t="str">
        <f>HYPERLINK("http://geossdi.dmp.wa.gov.au/NVCLDataServices/mosaic.html?datasetid=a1198d19-c243-4665-9522-861f68a8253","ACDD001_Core Image")</f>
        <v>ACDD001_Core Image</v>
      </c>
    </row>
    <row r="630" spans="1:11" x14ac:dyDescent="0.25">
      <c r="A630" t="str">
        <f>HYPERLINK("http://www.corstruth.com.au/WA/19EISD002_cs.png","19EISD002_A4")</f>
        <v>19EISD002_A4</v>
      </c>
      <c r="B630" t="str">
        <f>HYPERLINK("http://www.corstruth.com.au/WA/PNG2/19EISD002_cs.png","19EISD002_0.25m Bins")</f>
        <v>19EISD002_0.25m Bins</v>
      </c>
      <c r="C630" t="str">
        <f>HYPERLINK("http://www.corstruth.com.au/WA/CSV/19EISD002.csv","19EISD002_CSV File 1m Bins")</f>
        <v>19EISD002_CSV File 1m Bins</v>
      </c>
      <c r="D630" t="s">
        <v>841</v>
      </c>
      <c r="E630" t="s">
        <v>1</v>
      </c>
      <c r="G630" t="s">
        <v>623</v>
      </c>
      <c r="H630" t="s">
        <v>842</v>
      </c>
      <c r="I630">
        <v>-30.998999999999999</v>
      </c>
      <c r="J630">
        <v>121.92100000000001</v>
      </c>
      <c r="K630" t="str">
        <f>HYPERLINK("http://geossdi.dmp.wa.gov.au/NVCLDataServices/mosaic.html?datasetid=bdf1ce55-af58-4403-a64e-38a54ebeca6","19EISD002_Core Image")</f>
        <v>19EISD002_Core Image</v>
      </c>
    </row>
    <row r="631" spans="1:11" x14ac:dyDescent="0.25">
      <c r="A631" t="str">
        <f>HYPERLINK("http://www.corstruth.com.au/WA/19EISD003_cs.png","19EISD003_A4")</f>
        <v>19EISD003_A4</v>
      </c>
      <c r="B631" t="str">
        <f>HYPERLINK("http://www.corstruth.com.au/WA/PNG2/19EISD003_cs.png","19EISD003_0.25m Bins")</f>
        <v>19EISD003_0.25m Bins</v>
      </c>
      <c r="C631" t="str">
        <f>HYPERLINK("http://www.corstruth.com.au/WA/CSV/19EISD003.csv","19EISD003_CSV File 1m Bins")</f>
        <v>19EISD003_CSV File 1m Bins</v>
      </c>
      <c r="D631" t="s">
        <v>843</v>
      </c>
      <c r="E631" t="s">
        <v>1</v>
      </c>
      <c r="G631" t="s">
        <v>623</v>
      </c>
      <c r="H631" t="s">
        <v>842</v>
      </c>
      <c r="I631">
        <v>-30.992799999999999</v>
      </c>
      <c r="J631">
        <v>121.92400000000001</v>
      </c>
      <c r="K631" t="str">
        <f>HYPERLINK("http://geossdi.dmp.wa.gov.au/NVCLDataServices/mosaic.html?datasetid=26f1d7e4-c5a8-4c5f-a585-601d1e45ff3","19EISD003_Core Image")</f>
        <v>19EISD003_Core Image</v>
      </c>
    </row>
    <row r="632" spans="1:11" x14ac:dyDescent="0.25">
      <c r="A632" t="str">
        <f>HYPERLINK("http://www.corstruth.com.au/WA/19EISD001_cs.png","19EISD001_A4")</f>
        <v>19EISD001_A4</v>
      </c>
      <c r="B632" t="str">
        <f>HYPERLINK("http://www.corstruth.com.au/WA/PNG2/19EISD001_cs.png","19EISD001_0.25m Bins")</f>
        <v>19EISD001_0.25m Bins</v>
      </c>
      <c r="C632" t="str">
        <f>HYPERLINK("http://www.corstruth.com.au/WA/CSV/19EISD001.csv","19EISD001_CSV File 1m Bins")</f>
        <v>19EISD001_CSV File 1m Bins</v>
      </c>
      <c r="D632" t="s">
        <v>844</v>
      </c>
      <c r="E632" t="s">
        <v>1</v>
      </c>
      <c r="G632" t="s">
        <v>623</v>
      </c>
      <c r="H632" t="s">
        <v>845</v>
      </c>
      <c r="I632">
        <v>-30.995000000000001</v>
      </c>
      <c r="J632">
        <v>121.91800000000001</v>
      </c>
      <c r="K632" t="str">
        <f>HYPERLINK("http://geossdi.dmp.wa.gov.au/NVCLDataServices/mosaic.html?datasetid=92e02c82-7b05-45f0-9f0f-40348e52243","19EISD001_Core Image")</f>
        <v>19EISD001_Core Image</v>
      </c>
    </row>
    <row r="633" spans="1:11" x14ac:dyDescent="0.25">
      <c r="A633" t="str">
        <f>HYPERLINK("http://www.corstruth.com.au/WA/19EISD004_cs.png","19EISD004_A4")</f>
        <v>19EISD004_A4</v>
      </c>
      <c r="B633" t="str">
        <f>HYPERLINK("http://www.corstruth.com.au/WA/PNG2/19EISD004_cs.png","19EISD004_0.25m Bins")</f>
        <v>19EISD004_0.25m Bins</v>
      </c>
      <c r="C633" t="str">
        <f>HYPERLINK("http://www.corstruth.com.au/WA/CSV/19EISD004.csv","19EISD004_CSV File 1m Bins")</f>
        <v>19EISD004_CSV File 1m Bins</v>
      </c>
      <c r="D633" t="s">
        <v>846</v>
      </c>
      <c r="E633" t="s">
        <v>1</v>
      </c>
      <c r="G633" t="s">
        <v>623</v>
      </c>
      <c r="H633" t="s">
        <v>845</v>
      </c>
      <c r="I633">
        <v>-30.993200000000002</v>
      </c>
      <c r="J633">
        <v>121.923</v>
      </c>
      <c r="K633" t="str">
        <f>HYPERLINK("http://geossdi.dmp.wa.gov.au/NVCLDataServices/mosaic.html?datasetid=d70ef732-0894-4a63-bf46-607d1f5f87e","19EISD004_Core Image")</f>
        <v>19EISD004_Core Image</v>
      </c>
    </row>
    <row r="634" spans="1:11" x14ac:dyDescent="0.25">
      <c r="A634" t="str">
        <f>HYPERLINK("http://www.corstruth.com.au/WA/13TRDD012_cs.png","13TRDD012_A4")</f>
        <v>13TRDD012_A4</v>
      </c>
      <c r="B634" t="str">
        <f>HYPERLINK("http://www.corstruth.com.au/WA/PNG2/13TRDD012_cs.png","13TRDD012_0.25m Bins")</f>
        <v>13TRDD012_0.25m Bins</v>
      </c>
      <c r="C634" t="str">
        <f>HYPERLINK("http://www.corstruth.com.au/WA/CSV/13TRDD012.csv","13TRDD012_CSV File 1m Bins")</f>
        <v>13TRDD012_CSV File 1m Bins</v>
      </c>
      <c r="D634" t="s">
        <v>847</v>
      </c>
      <c r="E634" t="s">
        <v>1</v>
      </c>
      <c r="G634" t="s">
        <v>623</v>
      </c>
      <c r="H634" t="s">
        <v>848</v>
      </c>
      <c r="I634">
        <v>-28.367599999999999</v>
      </c>
      <c r="J634">
        <v>121.113</v>
      </c>
      <c r="K634" t="str">
        <f>HYPERLINK("http://geossdi.dmp.wa.gov.au/NVCLDataServices/mosaic.html?datasetid=533fbd17-554b-4ec8-918c-467e13e9e64","13TRDD012_Core Image")</f>
        <v>13TRDD012_Core Image</v>
      </c>
    </row>
    <row r="635" spans="1:11" x14ac:dyDescent="0.25">
      <c r="A635" t="str">
        <f>HYPERLINK("http://www.corstruth.com.au/WA/13TRDD013_cs.png","13TRDD013_A4")</f>
        <v>13TRDD013_A4</v>
      </c>
      <c r="B635" t="str">
        <f>HYPERLINK("http://www.corstruth.com.au/WA/PNG2/13TRDD013_cs.png","13TRDD013_0.25m Bins")</f>
        <v>13TRDD013_0.25m Bins</v>
      </c>
      <c r="C635" t="str">
        <f>HYPERLINK("http://www.corstruth.com.au/WA/CSV/13TRDD013.csv","13TRDD013_CSV File 1m Bins")</f>
        <v>13TRDD013_CSV File 1m Bins</v>
      </c>
      <c r="D635" t="s">
        <v>849</v>
      </c>
      <c r="E635" t="s">
        <v>1</v>
      </c>
      <c r="G635" t="s">
        <v>623</v>
      </c>
      <c r="H635" t="s">
        <v>848</v>
      </c>
      <c r="I635">
        <v>-28.366</v>
      </c>
      <c r="J635">
        <v>121.117</v>
      </c>
      <c r="K635" t="str">
        <f>HYPERLINK("http://geossdi.dmp.wa.gov.au/NVCLDataServices/mosaic.html?datasetid=27c5b310-d509-44e0-9b8c-2e1603f55c7","13TRDD013_Core Image")</f>
        <v>13TRDD013_Core Image</v>
      </c>
    </row>
    <row r="636" spans="1:11" x14ac:dyDescent="0.25">
      <c r="A636" t="str">
        <f>HYPERLINK("http://www.corstruth.com.au/WA/13TRDD014_cs.png","13TRDD014_A4")</f>
        <v>13TRDD014_A4</v>
      </c>
      <c r="B636" t="str">
        <f>HYPERLINK("http://www.corstruth.com.au/WA/PNG2/13TRDD014_cs.png","13TRDD014_0.25m Bins")</f>
        <v>13TRDD014_0.25m Bins</v>
      </c>
      <c r="C636" t="str">
        <f>HYPERLINK("http://www.corstruth.com.au/WA/CSV/13TRDD014.csv","13TRDD014_CSV File 1m Bins")</f>
        <v>13TRDD014_CSV File 1m Bins</v>
      </c>
      <c r="D636" t="s">
        <v>850</v>
      </c>
      <c r="E636" t="s">
        <v>1</v>
      </c>
      <c r="G636" t="s">
        <v>623</v>
      </c>
      <c r="H636" t="s">
        <v>848</v>
      </c>
      <c r="I636">
        <v>-28.366499999999998</v>
      </c>
      <c r="J636">
        <v>121.111</v>
      </c>
      <c r="K636" t="str">
        <f>HYPERLINK("http://geossdi.dmp.wa.gov.au/NVCLDataServices/mosaic.html?datasetid=e5743239-d939-4c70-b546-208b7d2b9f2","13TRDD014_Core Image")</f>
        <v>13TRDD014_Core Image</v>
      </c>
    </row>
    <row r="637" spans="1:11" x14ac:dyDescent="0.25">
      <c r="A637" t="str">
        <f>HYPERLINK("http://www.corstruth.com.au/WA/PMLJH001_cs.png","PMLJH001_A4")</f>
        <v>PMLJH001_A4</v>
      </c>
      <c r="B637" t="str">
        <f>HYPERLINK("http://www.corstruth.com.au/WA/PNG2/PMLJH001_cs.png","PMLJH001_0.25m Bins")</f>
        <v>PMLJH001_0.25m Bins</v>
      </c>
      <c r="C637" t="str">
        <f>HYPERLINK("http://www.corstruth.com.au/WA/CSV/PMLJH001.csv","PMLJH001_CSV File 1m Bins")</f>
        <v>PMLJH001_CSV File 1m Bins</v>
      </c>
      <c r="D637" t="s">
        <v>851</v>
      </c>
      <c r="E637" t="s">
        <v>1</v>
      </c>
      <c r="G637" t="s">
        <v>623</v>
      </c>
      <c r="H637" t="s">
        <v>852</v>
      </c>
      <c r="I637">
        <v>-30.6403</v>
      </c>
      <c r="J637">
        <v>120.905</v>
      </c>
      <c r="K637" t="str">
        <f>HYPERLINK("http://geossdi.dmp.wa.gov.au/NVCLDataServices/mosaic.html?datasetid=5e376d52-9c05-4e0d-bba6-146ce3a3c2e","PMLJH001_Core Image")</f>
        <v>PMLJH001_Core Image</v>
      </c>
    </row>
    <row r="638" spans="1:11" x14ac:dyDescent="0.25">
      <c r="A638" t="str">
        <f>HYPERLINK("http://www.corstruth.com.au/WA/LD20590_cs.png","LD20590_A4")</f>
        <v>LD20590_A4</v>
      </c>
      <c r="B638" t="str">
        <f>HYPERLINK("http://www.corstruth.com.au/WA/PNG2/LD20590_cs.png","LD20590_0.25m Bins")</f>
        <v>LD20590_0.25m Bins</v>
      </c>
      <c r="C638" t="str">
        <f>HYPERLINK("http://www.corstruth.com.au/WA/CSV/LD20590.csv","LD20590_CSV File 1m Bins")</f>
        <v>LD20590_CSV File 1m Bins</v>
      </c>
      <c r="D638" t="s">
        <v>853</v>
      </c>
      <c r="E638" t="s">
        <v>1</v>
      </c>
      <c r="G638" t="s">
        <v>623</v>
      </c>
      <c r="H638" t="s">
        <v>854</v>
      </c>
      <c r="I638">
        <v>-31.270800000000001</v>
      </c>
      <c r="J638">
        <v>121.759</v>
      </c>
      <c r="K638" t="str">
        <f>HYPERLINK("http://geossdi.dmp.wa.gov.au/NVCLDataServices/mosaic.html?datasetid=c509b8f0-7c31-4a55-ab1d-f68434cd2ff","LD20590_Core Image")</f>
        <v>LD20590_Core Image</v>
      </c>
    </row>
    <row r="639" spans="1:11" x14ac:dyDescent="0.25">
      <c r="A639" t="str">
        <f>HYPERLINK("http://www.corstruth.com.au/WA/SE0018_cs.png","SE0018_A4")</f>
        <v>SE0018_A4</v>
      </c>
      <c r="B639" t="str">
        <f>HYPERLINK("http://www.corstruth.com.au/WA/PNG2/SE0018_cs.png","SE0018_0.25m Bins")</f>
        <v>SE0018_0.25m Bins</v>
      </c>
      <c r="C639" t="str">
        <f>HYPERLINK("http://www.corstruth.com.au/WA/CSV/SE0018.csv","SE0018_CSV File 1m Bins")</f>
        <v>SE0018_CSV File 1m Bins</v>
      </c>
      <c r="D639" t="s">
        <v>855</v>
      </c>
      <c r="E639" t="s">
        <v>1</v>
      </c>
      <c r="G639" t="s">
        <v>623</v>
      </c>
      <c r="H639" t="s">
        <v>856</v>
      </c>
      <c r="I639">
        <v>-30.8155</v>
      </c>
      <c r="J639">
        <v>121.536</v>
      </c>
      <c r="K639" t="str">
        <f>HYPERLINK("http://geossdi.dmp.wa.gov.au/NVCLDataServices/mosaic.html?datasetid=13ddd58c-c174-46d1-96b8-f82db606dd3","SE0018_Core Image")</f>
        <v>SE0018_Core Image</v>
      </c>
    </row>
    <row r="640" spans="1:11" x14ac:dyDescent="0.25">
      <c r="A640" t="str">
        <f>HYPERLINK("http://www.corstruth.com.au/WA/SE0018W1_cs.png","SE0018W1_A4")</f>
        <v>SE0018W1_A4</v>
      </c>
      <c r="B640" t="str">
        <f>HYPERLINK("http://www.corstruth.com.au/WA/PNG2/SE0018W1_cs.png","SE0018W1_0.25m Bins")</f>
        <v>SE0018W1_0.25m Bins</v>
      </c>
      <c r="C640" t="str">
        <f>HYPERLINK("http://www.corstruth.com.au/WA/CSV/SE0018W1.csv","SE0018W1_CSV File 1m Bins")</f>
        <v>SE0018W1_CSV File 1m Bins</v>
      </c>
      <c r="D640" t="s">
        <v>857</v>
      </c>
      <c r="E640" t="s">
        <v>1</v>
      </c>
      <c r="G640" t="s">
        <v>623</v>
      </c>
      <c r="H640" t="s">
        <v>856</v>
      </c>
      <c r="I640">
        <v>-30.8155</v>
      </c>
      <c r="J640">
        <v>121.536</v>
      </c>
      <c r="K640" t="str">
        <f>HYPERLINK("http://geossdi.dmp.wa.gov.au/NVCLDataServices/mosaic.html?datasetid=75ea3753-9d2d-4e55-8c1c-39ad8353bd5","SE0018W1_Core Image")</f>
        <v>SE0018W1_Core Image</v>
      </c>
    </row>
    <row r="641" spans="1:11" x14ac:dyDescent="0.25">
      <c r="A641" t="str">
        <f>HYPERLINK("http://www.corstruth.com.au/WA/SE0019_cs.png","SE0019_A4")</f>
        <v>SE0019_A4</v>
      </c>
      <c r="B641" t="str">
        <f>HYPERLINK("http://www.corstruth.com.au/WA/PNG2/SE0019_cs.png","SE0019_0.25m Bins")</f>
        <v>SE0019_0.25m Bins</v>
      </c>
      <c r="C641" t="str">
        <f>HYPERLINK("http://www.corstruth.com.au/WA/CSV/SE0019.csv","SE0019_CSV File 1m Bins")</f>
        <v>SE0019_CSV File 1m Bins</v>
      </c>
      <c r="D641" t="s">
        <v>858</v>
      </c>
      <c r="E641" t="s">
        <v>1</v>
      </c>
      <c r="G641" t="s">
        <v>623</v>
      </c>
      <c r="H641" t="s">
        <v>856</v>
      </c>
      <c r="I641">
        <v>-30.788699999999999</v>
      </c>
      <c r="J641">
        <v>121.526</v>
      </c>
      <c r="K641" t="str">
        <f>HYPERLINK("http://geossdi.dmp.wa.gov.au/NVCLDataServices/mosaic.html?datasetid=2cb6e197-53dc-425a-8d6b-36316c77f8c","SE0019_Core Image")</f>
        <v>SE0019_Core Image</v>
      </c>
    </row>
    <row r="642" spans="1:11" x14ac:dyDescent="0.25">
      <c r="A642" t="str">
        <f>HYPERLINK("http://www.corstruth.com.au/WA/SE0019W1_cs.png","SE0019W1_A4")</f>
        <v>SE0019W1_A4</v>
      </c>
      <c r="B642" t="str">
        <f>HYPERLINK("http://www.corstruth.com.au/WA/PNG2/SE0019W1_cs.png","SE0019W1_0.25m Bins")</f>
        <v>SE0019W1_0.25m Bins</v>
      </c>
      <c r="C642" t="str">
        <f>HYPERLINK("http://www.corstruth.com.au/WA/CSV/SE0019W1.csv","SE0019W1_CSV File 1m Bins")</f>
        <v>SE0019W1_CSV File 1m Bins</v>
      </c>
      <c r="D642" t="s">
        <v>859</v>
      </c>
      <c r="E642" t="s">
        <v>1</v>
      </c>
      <c r="G642" t="s">
        <v>623</v>
      </c>
      <c r="H642" t="s">
        <v>856</v>
      </c>
      <c r="I642">
        <v>-30.788699999999999</v>
      </c>
      <c r="J642">
        <v>121.526</v>
      </c>
      <c r="K642" t="str">
        <f>HYPERLINK("http://geossdi.dmp.wa.gov.au/NVCLDataServices/mosaic.html?datasetid=c4de93f5-7626-4afb-8aa3-5a57ba891fa","SE0019W1_Core Image")</f>
        <v>SE0019W1_Core Image</v>
      </c>
    </row>
    <row r="643" spans="1:11" x14ac:dyDescent="0.25">
      <c r="A643" t="str">
        <f>HYPERLINK("http://www.corstruth.com.au/WA/CD16056_cs.png","CD16056_A4")</f>
        <v>CD16056_A4</v>
      </c>
      <c r="B643" t="str">
        <f>HYPERLINK("http://www.corstruth.com.au/WA/PNG2/CD16056_cs.png","CD16056_0.25m Bins")</f>
        <v>CD16056_0.25m Bins</v>
      </c>
      <c r="C643" t="str">
        <f>HYPERLINK("http://www.corstruth.com.au/WA/CSV/CD16056.csv","CD16056_CSV File 1m Bins")</f>
        <v>CD16056_CSV File 1m Bins</v>
      </c>
      <c r="D643" t="s">
        <v>860</v>
      </c>
      <c r="E643" t="s">
        <v>1</v>
      </c>
      <c r="G643" t="s">
        <v>623</v>
      </c>
      <c r="H643" t="s">
        <v>861</v>
      </c>
      <c r="I643">
        <v>-31.3263</v>
      </c>
      <c r="J643">
        <v>121.79</v>
      </c>
      <c r="K643" t="str">
        <f>HYPERLINK("http://geossdi.dmp.wa.gov.au/NVCLDataServices/mosaic.html?datasetid=77f18794-c6d9-423c-8b97-4be2de41446","CD16056_Core Image")</f>
        <v>CD16056_Core Image</v>
      </c>
    </row>
    <row r="644" spans="1:11" x14ac:dyDescent="0.25">
      <c r="A644" t="str">
        <f>HYPERLINK("http://www.corstruth.com.au/WA/CD16056A_cs.png","CD16056A_A4")</f>
        <v>CD16056A_A4</v>
      </c>
      <c r="B644" t="str">
        <f>HYPERLINK("http://www.corstruth.com.au/WA/PNG2/CD16056A_cs.png","CD16056A_0.25m Bins")</f>
        <v>CD16056A_0.25m Bins</v>
      </c>
      <c r="C644" t="str">
        <f>HYPERLINK("http://www.corstruth.com.au/WA/CSV/CD16056A.csv","CD16056A_CSV File 1m Bins")</f>
        <v>CD16056A_CSV File 1m Bins</v>
      </c>
      <c r="D644" t="s">
        <v>862</v>
      </c>
      <c r="E644" t="s">
        <v>1</v>
      </c>
      <c r="G644" t="s">
        <v>623</v>
      </c>
      <c r="H644" t="s">
        <v>861</v>
      </c>
      <c r="I644">
        <v>-31.3263</v>
      </c>
      <c r="J644">
        <v>121.79</v>
      </c>
      <c r="K644" t="str">
        <f>HYPERLINK("http://geossdi.dmp.wa.gov.au/NVCLDataServices/mosaic.html?datasetid=29d16f92-bc4d-4bc6-95d4-6484cb4aad4","CD16056A_Core Image")</f>
        <v>CD16056A_Core Image</v>
      </c>
    </row>
    <row r="645" spans="1:11" x14ac:dyDescent="0.25">
      <c r="A645" t="str">
        <f>HYPERLINK("http://www.corstruth.com.au/WA/KPDDH001_cs.png","KPDDH001_A4")</f>
        <v>KPDDH001_A4</v>
      </c>
      <c r="B645" t="str">
        <f>HYPERLINK("http://www.corstruth.com.au/WA/PNG2/KPDDH001_cs.png","KPDDH001_0.25m Bins")</f>
        <v>KPDDH001_0.25m Bins</v>
      </c>
      <c r="C645" t="str">
        <f>HYPERLINK("http://www.corstruth.com.au/WA/CSV/KPDDH001.csv","KPDDH001_CSV File 1m Bins")</f>
        <v>KPDDH001_CSV File 1m Bins</v>
      </c>
      <c r="D645" t="s">
        <v>863</v>
      </c>
      <c r="E645" t="s">
        <v>1</v>
      </c>
      <c r="G645" t="s">
        <v>623</v>
      </c>
      <c r="H645" t="s">
        <v>861</v>
      </c>
      <c r="I645">
        <v>-30.767800000000001</v>
      </c>
      <c r="J645">
        <v>121.45</v>
      </c>
      <c r="K645" t="str">
        <f>HYPERLINK("http://geossdi.dmp.wa.gov.au/NVCLDataServices/mosaic.html?datasetid=040469ed-1b11-4cc4-ac57-a007a4130e7","KPDDH001_Core Image")</f>
        <v>KPDDH001_Core Image</v>
      </c>
    </row>
    <row r="646" spans="1:11" x14ac:dyDescent="0.25">
      <c r="A646" t="str">
        <f>HYPERLINK("http://www.corstruth.com.au/WA/KPDDH002_cs.png","KPDDH002_A4")</f>
        <v>KPDDH002_A4</v>
      </c>
      <c r="B646" t="str">
        <f>HYPERLINK("http://www.corstruth.com.au/WA/PNG2/KPDDH002_cs.png","KPDDH002_0.25m Bins")</f>
        <v>KPDDH002_0.25m Bins</v>
      </c>
      <c r="C646" t="str">
        <f>HYPERLINK("http://www.corstruth.com.au/WA/CSV/KPDDH002.csv","KPDDH002_CSV File 1m Bins")</f>
        <v>KPDDH002_CSV File 1m Bins</v>
      </c>
      <c r="D646" t="s">
        <v>864</v>
      </c>
      <c r="E646" t="s">
        <v>1</v>
      </c>
      <c r="G646" t="s">
        <v>623</v>
      </c>
      <c r="H646" t="s">
        <v>861</v>
      </c>
      <c r="I646">
        <v>-30.7638</v>
      </c>
      <c r="J646">
        <v>121.45</v>
      </c>
      <c r="K646" t="str">
        <f>HYPERLINK("http://geossdi.dmp.wa.gov.au/NVCLDataServices/mosaic.html?datasetid=a758bfa3-16fd-4fd8-9c39-f1d3c886c10","KPDDH002_Core Image")</f>
        <v>KPDDH002_Core Image</v>
      </c>
    </row>
    <row r="647" spans="1:11" x14ac:dyDescent="0.25">
      <c r="A647" t="str">
        <f>HYPERLINK("http://www.corstruth.com.au/WA/KPDDH003_cs.png","KPDDH003_A4")</f>
        <v>KPDDH003_A4</v>
      </c>
      <c r="B647" t="str">
        <f>HYPERLINK("http://www.corstruth.com.au/WA/PNG2/KPDDH003_cs.png","KPDDH003_0.25m Bins")</f>
        <v>KPDDH003_0.25m Bins</v>
      </c>
      <c r="C647" t="str">
        <f>HYPERLINK("http://www.corstruth.com.au/WA/CSV/KPDDH003.csv","KPDDH003_CSV File 1m Bins")</f>
        <v>KPDDH003_CSV File 1m Bins</v>
      </c>
      <c r="D647" t="s">
        <v>865</v>
      </c>
      <c r="E647" t="s">
        <v>1</v>
      </c>
      <c r="G647" t="s">
        <v>623</v>
      </c>
      <c r="H647" t="s">
        <v>861</v>
      </c>
      <c r="I647">
        <v>-30.776700000000002</v>
      </c>
      <c r="J647">
        <v>121.45099999999999</v>
      </c>
      <c r="K647" t="str">
        <f>HYPERLINK("http://geossdi.dmp.wa.gov.au/NVCLDataServices/mosaic.html?datasetid=35cb74e9-8074-4422-90d2-5faaa6a9914","KPDDH003_Core Image")</f>
        <v>KPDDH003_Core Image</v>
      </c>
    </row>
    <row r="648" spans="1:11" x14ac:dyDescent="0.25">
      <c r="A648" t="str">
        <f>HYPERLINK("http://www.corstruth.com.au/WA/KPDDH004_cs.png","KPDDH004_A4")</f>
        <v>KPDDH004_A4</v>
      </c>
      <c r="B648" t="str">
        <f>HYPERLINK("http://www.corstruth.com.au/WA/PNG2/KPDDH004_cs.png","KPDDH004_0.25m Bins")</f>
        <v>KPDDH004_0.25m Bins</v>
      </c>
      <c r="C648" t="str">
        <f>HYPERLINK("http://www.corstruth.com.au/WA/CSV/KPDDH004.csv","KPDDH004_CSV File 1m Bins")</f>
        <v>KPDDH004_CSV File 1m Bins</v>
      </c>
      <c r="D648" t="s">
        <v>866</v>
      </c>
      <c r="E648" t="s">
        <v>1</v>
      </c>
      <c r="G648" t="s">
        <v>623</v>
      </c>
      <c r="H648" t="s">
        <v>861</v>
      </c>
      <c r="I648">
        <v>-30.771699999999999</v>
      </c>
      <c r="J648">
        <v>121.44499999999999</v>
      </c>
      <c r="K648" t="str">
        <f>HYPERLINK("http://geossdi.dmp.wa.gov.au/NVCLDataServices/mosaic.html?datasetid=24448f7a-008d-41cd-8678-727679a21f8","KPDDH004_Core Image")</f>
        <v>KPDDH004_Core Image</v>
      </c>
    </row>
    <row r="649" spans="1:11" x14ac:dyDescent="0.25">
      <c r="A649" t="str">
        <f>HYPERLINK("http://www.corstruth.com.au/WA/KPDDH006_cs.png","KPDDH006_A4")</f>
        <v>KPDDH006_A4</v>
      </c>
      <c r="B649" t="str">
        <f>HYPERLINK("http://www.corstruth.com.au/WA/PNG2/KPDDH006_cs.png","KPDDH006_0.25m Bins")</f>
        <v>KPDDH006_0.25m Bins</v>
      </c>
      <c r="C649" t="str">
        <f>HYPERLINK("http://www.corstruth.com.au/WA/CSV/KPDDH006.csv","KPDDH006_CSV File 1m Bins")</f>
        <v>KPDDH006_CSV File 1m Bins</v>
      </c>
      <c r="D649" t="s">
        <v>867</v>
      </c>
      <c r="E649" t="s">
        <v>1</v>
      </c>
      <c r="G649" t="s">
        <v>623</v>
      </c>
      <c r="H649" t="s">
        <v>861</v>
      </c>
      <c r="I649">
        <v>-30.789200000000001</v>
      </c>
      <c r="J649">
        <v>121.467</v>
      </c>
      <c r="K649" t="str">
        <f>HYPERLINK("http://geossdi.dmp.wa.gov.au/NVCLDataServices/mosaic.html?datasetid=f279b8a2-3195-47f6-8555-c8c2d90ed04","KPDDH006_Core Image")</f>
        <v>KPDDH006_Core Image</v>
      </c>
    </row>
    <row r="650" spans="1:11" x14ac:dyDescent="0.25">
      <c r="A650" t="str">
        <f>HYPERLINK("http://www.corstruth.com.au/WA/KPDDH007_cs.png","KPDDH007_A4")</f>
        <v>KPDDH007_A4</v>
      </c>
      <c r="B650" t="str">
        <f>HYPERLINK("http://www.corstruth.com.au/WA/PNG2/KPDDH007_cs.png","KPDDH007_0.25m Bins")</f>
        <v>KPDDH007_0.25m Bins</v>
      </c>
      <c r="C650" t="str">
        <f>HYPERLINK("http://www.corstruth.com.au/WA/CSV/KPDDH007.csv","KPDDH007_CSV File 1m Bins")</f>
        <v>KPDDH007_CSV File 1m Bins</v>
      </c>
      <c r="D650" t="s">
        <v>868</v>
      </c>
      <c r="E650" t="s">
        <v>1</v>
      </c>
      <c r="G650" t="s">
        <v>623</v>
      </c>
      <c r="H650" t="s">
        <v>861</v>
      </c>
      <c r="I650">
        <v>-30.7818</v>
      </c>
      <c r="J650">
        <v>121.45699999999999</v>
      </c>
      <c r="K650" t="str">
        <f>HYPERLINK("http://geossdi.dmp.wa.gov.au/NVCLDataServices/mosaic.html?datasetid=5cef8f4c-8fac-44cb-894b-c8570c86292","KPDDH007_Core Image")</f>
        <v>KPDDH007_Core Image</v>
      </c>
    </row>
    <row r="651" spans="1:11" x14ac:dyDescent="0.25">
      <c r="A651" t="str">
        <f>HYPERLINK("http://www.corstruth.com.au/WA/KPDDH008_cs.png","KPDDH008_A4")</f>
        <v>KPDDH008_A4</v>
      </c>
      <c r="B651" t="str">
        <f>HYPERLINK("http://www.corstruth.com.au/WA/PNG2/KPDDH008_cs.png","KPDDH008_0.25m Bins")</f>
        <v>KPDDH008_0.25m Bins</v>
      </c>
      <c r="C651" t="str">
        <f>HYPERLINK("http://www.corstruth.com.au/WA/CSV/KPDDH008.csv","KPDDH008_CSV File 1m Bins")</f>
        <v>KPDDH008_CSV File 1m Bins</v>
      </c>
      <c r="D651" t="s">
        <v>869</v>
      </c>
      <c r="E651" t="s">
        <v>1</v>
      </c>
      <c r="G651" t="s">
        <v>623</v>
      </c>
      <c r="H651" t="s">
        <v>861</v>
      </c>
      <c r="I651">
        <v>-30.744499999999999</v>
      </c>
      <c r="J651">
        <v>121.46899999999999</v>
      </c>
      <c r="K651" t="str">
        <f>HYPERLINK("http://geossdi.dmp.wa.gov.au/NVCLDataServices/mosaic.html?datasetid=ed2b420c-90a2-443c-8d1b-0c37ef792bb","KPDDH008_Core Image")</f>
        <v>KPDDH008_Core Image</v>
      </c>
    </row>
    <row r="652" spans="1:11" x14ac:dyDescent="0.25">
      <c r="A652" t="str">
        <f>HYPERLINK("http://www.corstruth.com.au/WA/KPDDH009_cs.png","KPDDH009_A4")</f>
        <v>KPDDH009_A4</v>
      </c>
      <c r="B652" t="str">
        <f>HYPERLINK("http://www.corstruth.com.au/WA/PNG2/KPDDH009_cs.png","KPDDH009_0.25m Bins")</f>
        <v>KPDDH009_0.25m Bins</v>
      </c>
      <c r="C652" t="str">
        <f>HYPERLINK("http://www.corstruth.com.au/WA/CSV/KPDDH009.csv","KPDDH009_CSV File 1m Bins")</f>
        <v>KPDDH009_CSV File 1m Bins</v>
      </c>
      <c r="D652" t="s">
        <v>870</v>
      </c>
      <c r="E652" t="s">
        <v>1</v>
      </c>
      <c r="G652" t="s">
        <v>623</v>
      </c>
      <c r="H652" t="s">
        <v>861</v>
      </c>
      <c r="I652">
        <v>-30.747499999999999</v>
      </c>
      <c r="J652">
        <v>121.46899999999999</v>
      </c>
      <c r="K652" t="str">
        <f>HYPERLINK("http://geossdi.dmp.wa.gov.au/NVCLDataServices/mosaic.html?datasetid=847f9fb7-db73-4678-a6df-c3f2bb85185","KPDDH009_Core Image")</f>
        <v>KPDDH009_Core Image</v>
      </c>
    </row>
    <row r="653" spans="1:11" x14ac:dyDescent="0.25">
      <c r="A653" t="str">
        <f>HYPERLINK("http://www.corstruth.com.au/WA/KPDDH009W1_cs.png","KPDDH009W1_A4")</f>
        <v>KPDDH009W1_A4</v>
      </c>
      <c r="B653" t="str">
        <f>HYPERLINK("http://www.corstruth.com.au/WA/PNG2/KPDDH009W1_cs.png","KPDDH009W1_0.25m Bins")</f>
        <v>KPDDH009W1_0.25m Bins</v>
      </c>
      <c r="C653" t="str">
        <f>HYPERLINK("http://www.corstruth.com.au/WA/CSV/KPDDH009W1.csv","KPDDH009W1_CSV File 1m Bins")</f>
        <v>KPDDH009W1_CSV File 1m Bins</v>
      </c>
      <c r="D653" t="s">
        <v>871</v>
      </c>
      <c r="E653" t="s">
        <v>1</v>
      </c>
      <c r="G653" t="s">
        <v>623</v>
      </c>
      <c r="H653" t="s">
        <v>861</v>
      </c>
      <c r="I653">
        <v>-30.747499999999999</v>
      </c>
      <c r="J653">
        <v>121.46899999999999</v>
      </c>
      <c r="K653" t="str">
        <f>HYPERLINK("http://geossdi.dmp.wa.gov.au/NVCLDataServices/mosaic.html?datasetid=9e0b3160-266c-40dd-b473-7bf2bb96039","KPDDH009W1_Core Image")</f>
        <v>KPDDH009W1_Core Image</v>
      </c>
    </row>
    <row r="654" spans="1:11" x14ac:dyDescent="0.25">
      <c r="A654" t="str">
        <f>HYPERLINK("http://www.corstruth.com.au/WA/KD1_cs.png","KD1_A4")</f>
        <v>KD1_A4</v>
      </c>
      <c r="B654" t="str">
        <f>HYPERLINK("http://www.corstruth.com.au/WA/PNG2/KD1_cs.png","KD1_0.25m Bins")</f>
        <v>KD1_0.25m Bins</v>
      </c>
      <c r="C654" t="str">
        <f>HYPERLINK("http://www.corstruth.com.au/WA/CSV/KD1.csv","KD1_CSV File 1m Bins")</f>
        <v>KD1_CSV File 1m Bins</v>
      </c>
      <c r="D654" t="s">
        <v>872</v>
      </c>
      <c r="E654" t="s">
        <v>1</v>
      </c>
      <c r="G654" t="s">
        <v>623</v>
      </c>
      <c r="H654" t="s">
        <v>873</v>
      </c>
      <c r="I654">
        <v>-31.209199999999999</v>
      </c>
      <c r="J654">
        <v>121.682</v>
      </c>
      <c r="K654" t="str">
        <f>HYPERLINK("http://geossdi.dmp.wa.gov.au/NVCLDataServices/mosaic.html?datasetid=123cc0a2-2c25-4d8d-89b2-e7ac05ba098","KD1_Core Image")</f>
        <v>KD1_Core Image</v>
      </c>
    </row>
    <row r="655" spans="1:11" x14ac:dyDescent="0.25">
      <c r="A655" t="str">
        <f>HYPERLINK("http://www.corstruth.com.au/WA/KDU(058)_cs.png","KDU(058)_A4")</f>
        <v>KDU(058)_A4</v>
      </c>
      <c r="B655" t="str">
        <f>HYPERLINK("http://www.corstruth.com.au/WA/PNG2/KDU(058)_cs.png","KDU(058)_0.25m Bins")</f>
        <v>KDU(058)_0.25m Bins</v>
      </c>
      <c r="C655" t="str">
        <f>HYPERLINK("http://www.corstruth.com.au/WA/CSV/KDU(058).csv","KDU(058)_CSV File 1m Bins")</f>
        <v>KDU(058)_CSV File 1m Bins</v>
      </c>
      <c r="D655" t="s">
        <v>874</v>
      </c>
      <c r="E655" t="s">
        <v>1</v>
      </c>
      <c r="G655" t="s">
        <v>623</v>
      </c>
      <c r="H655" t="s">
        <v>875</v>
      </c>
      <c r="I655">
        <v>-30.609000000000002</v>
      </c>
      <c r="J655">
        <v>121.57899999999999</v>
      </c>
      <c r="K655" t="str">
        <f>HYPERLINK("http://geossdi.dmp.wa.gov.au/NVCLDataServices/mosaic.html?datasetid=9602d31d-b52f-4fec-93d6-29a39d6cf7d","KDU(058)_Core Image")</f>
        <v>KDU(058)_Core Image</v>
      </c>
    </row>
    <row r="656" spans="1:11" x14ac:dyDescent="0.25">
      <c r="A656" t="str">
        <f>HYPERLINK("http://www.corstruth.com.au/WA/GTRCD001_cs.png","GTRCD001_A4")</f>
        <v>GTRCD001_A4</v>
      </c>
      <c r="B656" t="str">
        <f>HYPERLINK("http://www.corstruth.com.au/WA/PNG2/GTRCD001_cs.png","GTRCD001_0.25m Bins")</f>
        <v>GTRCD001_0.25m Bins</v>
      </c>
      <c r="C656" t="str">
        <f>HYPERLINK("http://www.corstruth.com.au/WA/CSV/GTRCD001.csv","GTRCD001_CSV File 1m Bins")</f>
        <v>GTRCD001_CSV File 1m Bins</v>
      </c>
      <c r="D656" t="s">
        <v>876</v>
      </c>
      <c r="E656" t="s">
        <v>1</v>
      </c>
      <c r="G656" t="s">
        <v>623</v>
      </c>
      <c r="H656" t="s">
        <v>877</v>
      </c>
      <c r="I656">
        <v>-28.538</v>
      </c>
      <c r="J656">
        <v>121.55</v>
      </c>
      <c r="K656" t="str">
        <f>HYPERLINK("http://geossdi.dmp.wa.gov.au/NVCLDataServices/mosaic.html?datasetid=e7a9b9a2-129e-4d31-b6ea-f3465ac77a5","GTRCD001_Core Image")</f>
        <v>GTRCD001_Core Image</v>
      </c>
    </row>
    <row r="657" spans="1:11" x14ac:dyDescent="0.25">
      <c r="A657" t="str">
        <f>HYPERLINK("http://www.corstruth.com.au/WA/LFDD001_cs.png","LFDD001_A4")</f>
        <v>LFDD001_A4</v>
      </c>
      <c r="B657" t="str">
        <f>HYPERLINK("http://www.corstruth.com.au/WA/PNG2/LFDD001_cs.png","LFDD001_0.25m Bins")</f>
        <v>LFDD001_0.25m Bins</v>
      </c>
      <c r="C657" t="str">
        <f>HYPERLINK("http://www.corstruth.com.au/WA/CSV/LFDD001.csv","LFDD001_CSV File 1m Bins")</f>
        <v>LFDD001_CSV File 1m Bins</v>
      </c>
      <c r="D657" t="s">
        <v>878</v>
      </c>
      <c r="E657" t="s">
        <v>1</v>
      </c>
      <c r="G657" t="s">
        <v>623</v>
      </c>
      <c r="H657" t="s">
        <v>879</v>
      </c>
      <c r="I657">
        <v>-31.180399999999999</v>
      </c>
      <c r="J657">
        <v>121.81399999999999</v>
      </c>
      <c r="K657" t="str">
        <f>HYPERLINK("http://geossdi.dmp.wa.gov.au/NVCLDataServices/mosaic.html?datasetid=34b7b5ac-ab71-46f3-91b4-fb131a7e23a","LFDD001_Core Image")</f>
        <v>LFDD001_Core Image</v>
      </c>
    </row>
    <row r="658" spans="1:11" x14ac:dyDescent="0.25">
      <c r="A658" t="str">
        <f>HYPERLINK("http://www.corstruth.com.au/WA/BBDD0001_cs.png","BBDD0001_A4")</f>
        <v>BBDD0001_A4</v>
      </c>
      <c r="B658" t="str">
        <f>HYPERLINK("http://www.corstruth.com.au/WA/PNG2/BBDD0001_cs.png","BBDD0001_0.25m Bins")</f>
        <v>BBDD0001_0.25m Bins</v>
      </c>
      <c r="C658" t="str">
        <f>HYPERLINK("http://www.corstruth.com.au/WA/CSV/BBDD0001.csv","BBDD0001_CSV File 1m Bins")</f>
        <v>BBDD0001_CSV File 1m Bins</v>
      </c>
      <c r="D658" t="s">
        <v>880</v>
      </c>
      <c r="E658" t="s">
        <v>1</v>
      </c>
      <c r="G658" t="s">
        <v>623</v>
      </c>
      <c r="H658" t="s">
        <v>881</v>
      </c>
      <c r="I658">
        <v>-30.715900000000001</v>
      </c>
      <c r="J658">
        <v>122.568</v>
      </c>
      <c r="K658" t="str">
        <f>HYPERLINK("http://geossdi.dmp.wa.gov.au/NVCLDataServices/mosaic.html?datasetid=ef0b0e13-cc0c-44b0-b481-93ba606b965","BBDD0001_Core Image")</f>
        <v>BBDD0001_Core Image</v>
      </c>
    </row>
    <row r="659" spans="1:11" x14ac:dyDescent="0.25">
      <c r="A659" t="str">
        <f>HYPERLINK("http://www.corstruth.com.au/WA/BBDD0002_cs.png","BBDD0002_A4")</f>
        <v>BBDD0002_A4</v>
      </c>
      <c r="B659" t="str">
        <f>HYPERLINK("http://www.corstruth.com.au/WA/PNG2/BBDD0002_cs.png","BBDD0002_0.25m Bins")</f>
        <v>BBDD0002_0.25m Bins</v>
      </c>
      <c r="C659" t="str">
        <f>HYPERLINK("http://www.corstruth.com.au/WA/CSV/BBDD0002.csv","BBDD0002_CSV File 1m Bins")</f>
        <v>BBDD0002_CSV File 1m Bins</v>
      </c>
      <c r="D659" t="s">
        <v>882</v>
      </c>
      <c r="E659" t="s">
        <v>1</v>
      </c>
      <c r="G659" t="s">
        <v>623</v>
      </c>
      <c r="H659" t="s">
        <v>881</v>
      </c>
      <c r="I659">
        <v>-30.712299999999999</v>
      </c>
      <c r="J659">
        <v>122.568</v>
      </c>
      <c r="K659" t="str">
        <f>HYPERLINK("http://geossdi.dmp.wa.gov.au/NVCLDataServices/mosaic.html?datasetid=3b62926a-bf76-4c53-ad7c-38b7b498f94","BBDD0002_Core Image")</f>
        <v>BBDD0002_Core Image</v>
      </c>
    </row>
    <row r="660" spans="1:11" x14ac:dyDescent="0.25">
      <c r="A660" t="str">
        <f>HYPERLINK("http://www.corstruth.com.au/WA/BBDD0003_cs.png","BBDD0003_A4")</f>
        <v>BBDD0003_A4</v>
      </c>
      <c r="B660" t="str">
        <f>HYPERLINK("http://www.corstruth.com.au/WA/PNG2/BBDD0003_cs.png","BBDD0003_0.25m Bins")</f>
        <v>BBDD0003_0.25m Bins</v>
      </c>
      <c r="C660" t="str">
        <f>HYPERLINK("http://www.corstruth.com.au/WA/CSV/BBDD0003.csv","BBDD0003_CSV File 1m Bins")</f>
        <v>BBDD0003_CSV File 1m Bins</v>
      </c>
      <c r="D660" t="s">
        <v>883</v>
      </c>
      <c r="E660" t="s">
        <v>1</v>
      </c>
      <c r="G660" t="s">
        <v>623</v>
      </c>
      <c r="H660" t="s">
        <v>881</v>
      </c>
      <c r="I660">
        <v>-30.7394</v>
      </c>
      <c r="J660">
        <v>122.58199999999999</v>
      </c>
      <c r="K660" t="str">
        <f>HYPERLINK("http://geossdi.dmp.wa.gov.au/NVCLDataServices/mosaic.html?datasetid=9dbbf130-84e9-4c12-8925-35faa4e462c","BBDD0003_Core Image")</f>
        <v>BBDD0003_Core Image</v>
      </c>
    </row>
    <row r="661" spans="1:11" x14ac:dyDescent="0.25">
      <c r="A661" t="str">
        <f>HYPERLINK("http://www.corstruth.com.au/WA/BBDD0004_cs.png","BBDD0004_A4")</f>
        <v>BBDD0004_A4</v>
      </c>
      <c r="B661" t="str">
        <f>HYPERLINK("http://www.corstruth.com.au/WA/PNG2/BBDD0004_cs.png","BBDD0004_0.25m Bins")</f>
        <v>BBDD0004_0.25m Bins</v>
      </c>
      <c r="C661" t="str">
        <f>HYPERLINK("http://www.corstruth.com.au/WA/CSV/BBDD0004.csv","BBDD0004_CSV File 1m Bins")</f>
        <v>BBDD0004_CSV File 1m Bins</v>
      </c>
      <c r="D661" t="s">
        <v>884</v>
      </c>
      <c r="E661" t="s">
        <v>1</v>
      </c>
      <c r="G661" t="s">
        <v>623</v>
      </c>
      <c r="H661" t="s">
        <v>881</v>
      </c>
      <c r="I661">
        <v>-30.726700000000001</v>
      </c>
      <c r="J661">
        <v>122.568</v>
      </c>
      <c r="K661" t="str">
        <f>HYPERLINK("http://geossdi.dmp.wa.gov.au/NVCLDataServices/mosaic.html?datasetid=4d1f763f-6851-49c4-8a4d-a67d2de3585","BBDD0004_Core Image")</f>
        <v>BBDD0004_Core Image</v>
      </c>
    </row>
    <row r="662" spans="1:11" x14ac:dyDescent="0.25">
      <c r="A662" t="str">
        <f>HYPERLINK("http://www.corstruth.com.au/WA/BBDD0005_cs.png","BBDD0005_A4")</f>
        <v>BBDD0005_A4</v>
      </c>
      <c r="B662" t="str">
        <f>HYPERLINK("http://www.corstruth.com.au/WA/PNG2/BBDD0005_cs.png","BBDD0005_0.25m Bins")</f>
        <v>BBDD0005_0.25m Bins</v>
      </c>
      <c r="C662" t="str">
        <f>HYPERLINK("http://www.corstruth.com.au/WA/CSV/BBDD0005.csv","BBDD0005_CSV File 1m Bins")</f>
        <v>BBDD0005_CSV File 1m Bins</v>
      </c>
      <c r="D662" t="s">
        <v>885</v>
      </c>
      <c r="E662" t="s">
        <v>1</v>
      </c>
      <c r="G662" t="s">
        <v>623</v>
      </c>
      <c r="H662" t="s">
        <v>881</v>
      </c>
      <c r="I662">
        <v>-30.7286</v>
      </c>
      <c r="J662">
        <v>122.57</v>
      </c>
      <c r="K662" t="str">
        <f>HYPERLINK("http://geossdi.dmp.wa.gov.au/NVCLDataServices/mosaic.html?datasetid=2cf817c7-f9e5-4308-8353-62d9ad5d044","BBDD0005_Core Image")</f>
        <v>BBDD0005_Core Image</v>
      </c>
    </row>
    <row r="663" spans="1:11" x14ac:dyDescent="0.25">
      <c r="A663" t="str">
        <f>HYPERLINK("http://www.corstruth.com.au/WA/BBDD0006_cs.png","BBDD0006_A4")</f>
        <v>BBDD0006_A4</v>
      </c>
      <c r="B663" t="str">
        <f>HYPERLINK("http://www.corstruth.com.au/WA/PNG2/BBDD0006_cs.png","BBDD0006_0.25m Bins")</f>
        <v>BBDD0006_0.25m Bins</v>
      </c>
      <c r="C663" t="str">
        <f>HYPERLINK("http://www.corstruth.com.au/WA/CSV/BBDD0006.csv","BBDD0006_CSV File 1m Bins")</f>
        <v>BBDD0006_CSV File 1m Bins</v>
      </c>
      <c r="D663" t="s">
        <v>886</v>
      </c>
      <c r="E663" t="s">
        <v>1</v>
      </c>
      <c r="G663" t="s">
        <v>623</v>
      </c>
      <c r="H663" t="s">
        <v>881</v>
      </c>
      <c r="I663">
        <v>-30.716799999999999</v>
      </c>
      <c r="J663">
        <v>122.568</v>
      </c>
      <c r="K663" t="str">
        <f>HYPERLINK("http://geossdi.dmp.wa.gov.au/NVCLDataServices/mosaic.html?datasetid=bf768d7a-eca2-4283-894d-d3da78c32ed","BBDD0006_Core Image")</f>
        <v>BBDD0006_Core Image</v>
      </c>
    </row>
    <row r="664" spans="1:11" x14ac:dyDescent="0.25">
      <c r="A664" t="str">
        <f>HYPERLINK("http://www.corstruth.com.au/WA/BBDD0007_cs.png","BBDD0007_A4")</f>
        <v>BBDD0007_A4</v>
      </c>
      <c r="B664" t="str">
        <f>HYPERLINK("http://www.corstruth.com.au/WA/PNG2/BBDD0007_cs.png","BBDD0007_0.25m Bins")</f>
        <v>BBDD0007_0.25m Bins</v>
      </c>
      <c r="C664" t="str">
        <f>HYPERLINK("http://www.corstruth.com.au/WA/CSV/BBDD0007.csv","BBDD0007_CSV File 1m Bins")</f>
        <v>BBDD0007_CSV File 1m Bins</v>
      </c>
      <c r="D664" t="s">
        <v>887</v>
      </c>
      <c r="E664" t="s">
        <v>1</v>
      </c>
      <c r="G664" t="s">
        <v>623</v>
      </c>
      <c r="H664" t="s">
        <v>881</v>
      </c>
      <c r="I664">
        <v>-30.7195</v>
      </c>
      <c r="J664">
        <v>122.571</v>
      </c>
      <c r="K664" t="str">
        <f>HYPERLINK("http://geossdi.dmp.wa.gov.au/NVCLDataServices/mosaic.html?datasetid=15587dce-f756-4f94-bd27-90dd9edd7b9","BBDD0007_Core Image")</f>
        <v>BBDD0007_Core Image</v>
      </c>
    </row>
    <row r="665" spans="1:11" x14ac:dyDescent="0.25">
      <c r="A665" t="str">
        <f>HYPERLINK("http://www.corstruth.com.au/WA/BBDD0008_cs.png","BBDD0008_A4")</f>
        <v>BBDD0008_A4</v>
      </c>
      <c r="B665" t="str">
        <f>HYPERLINK("http://www.corstruth.com.au/WA/PNG2/BBDD0008_cs.png","BBDD0008_0.25m Bins")</f>
        <v>BBDD0008_0.25m Bins</v>
      </c>
      <c r="C665" t="str">
        <f>HYPERLINK("http://www.corstruth.com.au/WA/CSV/BBDD0008.csv","BBDD0008_CSV File 1m Bins")</f>
        <v>BBDD0008_CSV File 1m Bins</v>
      </c>
      <c r="D665" t="s">
        <v>888</v>
      </c>
      <c r="E665" t="s">
        <v>1</v>
      </c>
      <c r="G665" t="s">
        <v>623</v>
      </c>
      <c r="H665" t="s">
        <v>881</v>
      </c>
      <c r="I665">
        <v>-30.722200000000001</v>
      </c>
      <c r="J665">
        <v>122.569</v>
      </c>
      <c r="K665" t="str">
        <f>HYPERLINK("http://geossdi.dmp.wa.gov.au/NVCLDataServices/mosaic.html?datasetid=c17e7d35-20bd-4e57-9fc4-60f17ccec70","BBDD0008_Core Image")</f>
        <v>BBDD0008_Core Image</v>
      </c>
    </row>
    <row r="666" spans="1:11" x14ac:dyDescent="0.25">
      <c r="A666" t="str">
        <f>HYPERLINK("http://www.corstruth.com.au/WA/BBDD0009_cs.png","BBDD0009_A4")</f>
        <v>BBDD0009_A4</v>
      </c>
      <c r="B666" t="str">
        <f>HYPERLINK("http://www.corstruth.com.au/WA/PNG2/BBDD0009_cs.png","BBDD0009_0.25m Bins")</f>
        <v>BBDD0009_0.25m Bins</v>
      </c>
      <c r="C666" t="str">
        <f>HYPERLINK("http://www.corstruth.com.au/WA/CSV/BBDD0009.csv","BBDD0009_CSV File 1m Bins")</f>
        <v>BBDD0009_CSV File 1m Bins</v>
      </c>
      <c r="D666" t="s">
        <v>889</v>
      </c>
      <c r="E666" t="s">
        <v>1</v>
      </c>
      <c r="G666" t="s">
        <v>623</v>
      </c>
      <c r="H666" t="s">
        <v>881</v>
      </c>
      <c r="I666">
        <v>-30.705100000000002</v>
      </c>
      <c r="J666">
        <v>122.56699999999999</v>
      </c>
      <c r="K666" t="str">
        <f>HYPERLINK("http://geossdi.dmp.wa.gov.au/NVCLDataServices/mosaic.html?datasetid=12df4168-c8d1-4341-876a-9c1f9496b60","BBDD0009_Core Image")</f>
        <v>BBDD0009_Core Image</v>
      </c>
    </row>
    <row r="667" spans="1:11" x14ac:dyDescent="0.25">
      <c r="A667" t="str">
        <f>HYPERLINK("http://www.corstruth.com.au/WA/BBDD0010_cs.png","BBDD0010_A4")</f>
        <v>BBDD0010_A4</v>
      </c>
      <c r="B667" t="str">
        <f>HYPERLINK("http://www.corstruth.com.au/WA/PNG2/BBDD0010_cs.png","BBDD0010_0.25m Bins")</f>
        <v>BBDD0010_0.25m Bins</v>
      </c>
      <c r="C667" t="str">
        <f>HYPERLINK("http://www.corstruth.com.au/WA/CSV/BBDD0010.csv","BBDD0010_CSV File 1m Bins")</f>
        <v>BBDD0010_CSV File 1m Bins</v>
      </c>
      <c r="D667" t="s">
        <v>890</v>
      </c>
      <c r="E667" t="s">
        <v>1</v>
      </c>
      <c r="G667" t="s">
        <v>623</v>
      </c>
      <c r="H667" t="s">
        <v>881</v>
      </c>
      <c r="I667">
        <v>-30.721299999999999</v>
      </c>
      <c r="J667">
        <v>122.568</v>
      </c>
      <c r="K667" t="str">
        <f>HYPERLINK("http://geossdi.dmp.wa.gov.au/NVCLDataServices/mosaic.html?datasetid=caa4b27d-8508-42ec-bebb-b4fa703f64c","BBDD0010_Core Image")</f>
        <v>BBDD0010_Core Image</v>
      </c>
    </row>
    <row r="668" spans="1:11" x14ac:dyDescent="0.25">
      <c r="A668" t="str">
        <f>HYPERLINK("http://www.corstruth.com.au/WA/BBDD0011_cs.png","BBDD0011_A4")</f>
        <v>BBDD0011_A4</v>
      </c>
      <c r="B668" t="str">
        <f>HYPERLINK("http://www.corstruth.com.au/WA/PNG2/BBDD0011_cs.png","BBDD0011_0.25m Bins")</f>
        <v>BBDD0011_0.25m Bins</v>
      </c>
      <c r="C668" t="str">
        <f>HYPERLINK("http://www.corstruth.com.au/WA/CSV/BBDD0011.csv","BBDD0011_CSV File 1m Bins")</f>
        <v>BBDD0011_CSV File 1m Bins</v>
      </c>
      <c r="D668" t="s">
        <v>891</v>
      </c>
      <c r="E668" t="s">
        <v>1</v>
      </c>
      <c r="G668" t="s">
        <v>623</v>
      </c>
      <c r="H668" t="s">
        <v>881</v>
      </c>
      <c r="I668">
        <v>-30.718599999999999</v>
      </c>
      <c r="J668">
        <v>122.57</v>
      </c>
      <c r="K668" t="str">
        <f>HYPERLINK("http://geossdi.dmp.wa.gov.au/NVCLDataServices/mosaic.html?datasetid=9629edcf-b3b1-40a3-8db6-369ad8d906e","BBDD0011_Core Image")</f>
        <v>BBDD0011_Core Image</v>
      </c>
    </row>
    <row r="669" spans="1:11" x14ac:dyDescent="0.25">
      <c r="A669" t="str">
        <f>HYPERLINK("http://www.corstruth.com.au/WA/BBRD0056_cs.png","BBRD0056_A4")</f>
        <v>BBRD0056_A4</v>
      </c>
      <c r="B669" t="str">
        <f>HYPERLINK("http://www.corstruth.com.au/WA/PNG2/BBRD0056_cs.png","BBRD0056_0.25m Bins")</f>
        <v>BBRD0056_0.25m Bins</v>
      </c>
      <c r="C669" t="str">
        <f>HYPERLINK("http://www.corstruth.com.au/WA/CSV/BBRD0056.csv","BBRD0056_CSV File 1m Bins")</f>
        <v>BBRD0056_CSV File 1m Bins</v>
      </c>
      <c r="D669" t="s">
        <v>892</v>
      </c>
      <c r="E669" t="s">
        <v>1</v>
      </c>
      <c r="G669" t="s">
        <v>623</v>
      </c>
      <c r="H669" t="s">
        <v>881</v>
      </c>
      <c r="I669">
        <v>-30.716000000000001</v>
      </c>
      <c r="J669">
        <v>122.568</v>
      </c>
      <c r="K669" t="str">
        <f>HYPERLINK("http://geossdi.dmp.wa.gov.au/NVCLDataServices/mosaic.html?datasetid=694c6629-c094-41e6-b707-f4fedc70800","BBRD0056_Core Image")</f>
        <v>BBRD0056_Core Image</v>
      </c>
    </row>
    <row r="670" spans="1:11" x14ac:dyDescent="0.25">
      <c r="A670" t="str">
        <f>HYPERLINK("http://www.corstruth.com.au/WA/BM5346_cs.png","BM5346_A4")</f>
        <v>BM5346_A4</v>
      </c>
      <c r="B670" t="str">
        <f>HYPERLINK("http://www.corstruth.com.au/WA/PNG2/BM5346_cs.png","BM5346_0.25m Bins")</f>
        <v>BM5346_0.25m Bins</v>
      </c>
      <c r="C670" t="str">
        <f>HYPERLINK("http://www.corstruth.com.au/WA/CSV/BM5346.csv","BM5346_CSV File 1m Bins")</f>
        <v>BM5346_CSV File 1m Bins</v>
      </c>
      <c r="D670" t="s">
        <v>893</v>
      </c>
      <c r="E670" t="s">
        <v>1</v>
      </c>
      <c r="G670" t="s">
        <v>623</v>
      </c>
      <c r="H670" t="s">
        <v>894</v>
      </c>
      <c r="I670">
        <v>-30.779599999999999</v>
      </c>
      <c r="J670">
        <v>121.51</v>
      </c>
      <c r="K670" t="str">
        <f>HYPERLINK("http://geossdi.dmp.wa.gov.au/NVCLDataServices/mosaic.html?datasetid=7be5705b-315c-4a0a-acdf-a6b9af6ccee","BM5346_Core Image")</f>
        <v>BM5346_Core Image</v>
      </c>
    </row>
    <row r="671" spans="1:11" x14ac:dyDescent="0.25">
      <c r="A671" t="str">
        <f>HYPERLINK("http://www.corstruth.com.au/WA/PLWDD001_cs.png","PLWDD001_A4")</f>
        <v>PLWDD001_A4</v>
      </c>
      <c r="B671" t="str">
        <f>HYPERLINK("http://www.corstruth.com.au/WA/PNG2/PLWDD001_cs.png","PLWDD001_0.25m Bins")</f>
        <v>PLWDD001_0.25m Bins</v>
      </c>
      <c r="C671" t="str">
        <f>HYPERLINK("http://www.corstruth.com.au/WA/CSV/PLWDD001.csv","PLWDD001_CSV File 1m Bins")</f>
        <v>PLWDD001_CSV File 1m Bins</v>
      </c>
      <c r="D671" t="s">
        <v>895</v>
      </c>
      <c r="E671" t="s">
        <v>1</v>
      </c>
      <c r="G671" t="s">
        <v>623</v>
      </c>
      <c r="H671" t="s">
        <v>896</v>
      </c>
      <c r="I671">
        <v>-27.254300000000001</v>
      </c>
      <c r="J671">
        <v>123.01300000000001</v>
      </c>
      <c r="K671" t="str">
        <f>HYPERLINK("http://geossdi.dmp.wa.gov.au/NVCLDataServices/mosaic.html?datasetid=ef8bcaca-498d-45f3-8d52-e12161ba226","PLWDD001_Core Image")</f>
        <v>PLWDD001_Core Image</v>
      </c>
    </row>
    <row r="672" spans="1:11" x14ac:dyDescent="0.25">
      <c r="A672" t="str">
        <f>HYPERLINK("http://www.corstruth.com.au/WA/PLWDD005_cs.png","PLWDD005_A4")</f>
        <v>PLWDD005_A4</v>
      </c>
      <c r="B672" t="str">
        <f>HYPERLINK("http://www.corstruth.com.au/WA/PNG2/PLWDD005_cs.png","PLWDD005_0.25m Bins")</f>
        <v>PLWDD005_0.25m Bins</v>
      </c>
      <c r="C672" t="str">
        <f>HYPERLINK("http://www.corstruth.com.au/WA/CSV/PLWDD005.csv","PLWDD005_CSV File 1m Bins")</f>
        <v>PLWDD005_CSV File 1m Bins</v>
      </c>
      <c r="D672" t="s">
        <v>897</v>
      </c>
      <c r="E672" t="s">
        <v>1</v>
      </c>
      <c r="G672" t="s">
        <v>623</v>
      </c>
      <c r="H672" t="s">
        <v>896</v>
      </c>
      <c r="I672">
        <v>-27.242999999999999</v>
      </c>
      <c r="J672">
        <v>122.97499999999999</v>
      </c>
      <c r="K672" t="str">
        <f>HYPERLINK("http://geossdi.dmp.wa.gov.au/NVCLDataServices/mosaic.html?datasetid=d6aa96f9-cd39-4eda-9392-f1c1b3b8735","PLWDD005_Core Image")</f>
        <v>PLWDD005_Core Image</v>
      </c>
    </row>
    <row r="673" spans="1:11" x14ac:dyDescent="0.25">
      <c r="A673" t="str">
        <f>HYPERLINK("http://www.corstruth.com.au/WA/LEFD001_cs.png","LEFD001_A4")</f>
        <v>LEFD001_A4</v>
      </c>
      <c r="B673" t="str">
        <f>HYPERLINK("http://www.corstruth.com.au/WA/PNG2/LEFD001_cs.png","LEFD001_0.25m Bins")</f>
        <v>LEFD001_0.25m Bins</v>
      </c>
      <c r="C673" t="str">
        <f>HYPERLINK("http://www.corstruth.com.au/WA/CSV/LEFD001.csv","LEFD001_CSV File 1m Bins")</f>
        <v>LEFD001_CSV File 1m Bins</v>
      </c>
      <c r="D673" t="s">
        <v>898</v>
      </c>
      <c r="E673" t="s">
        <v>1</v>
      </c>
      <c r="G673" t="s">
        <v>623</v>
      </c>
      <c r="H673" t="s">
        <v>899</v>
      </c>
      <c r="I673">
        <v>-31.161100000000001</v>
      </c>
      <c r="J673">
        <v>121.79300000000001</v>
      </c>
      <c r="K673" t="str">
        <f>HYPERLINK("http://geossdi.dmp.wa.gov.au/NVCLDataServices/mosaic.html?datasetid=85f38730-1e91-4998-91ba-238f71ad0de","LEFD001_Core Image")</f>
        <v>LEFD001_Core Image</v>
      </c>
    </row>
    <row r="674" spans="1:11" x14ac:dyDescent="0.25">
      <c r="A674" t="str">
        <f>HYPERLINK("http://www.corstruth.com.au/WA/LEFD003_cs.png","LEFD003_A4")</f>
        <v>LEFD003_A4</v>
      </c>
      <c r="B674" t="str">
        <f>HYPERLINK("http://www.corstruth.com.au/WA/PNG2/LEFD003_cs.png","LEFD003_0.25m Bins")</f>
        <v>LEFD003_0.25m Bins</v>
      </c>
      <c r="C674" t="str">
        <f>HYPERLINK("http://www.corstruth.com.au/WA/CSV/LEFD003.csv","LEFD003_CSV File 1m Bins")</f>
        <v>LEFD003_CSV File 1m Bins</v>
      </c>
      <c r="D674" t="s">
        <v>900</v>
      </c>
      <c r="E674" t="s">
        <v>1</v>
      </c>
      <c r="G674" t="s">
        <v>623</v>
      </c>
      <c r="H674" t="s">
        <v>899</v>
      </c>
      <c r="I674">
        <v>-31.16</v>
      </c>
      <c r="J674">
        <v>121.792</v>
      </c>
      <c r="K674" t="str">
        <f>HYPERLINK("http://geossdi.dmp.wa.gov.au/NVCLDataServices/mosaic.html?datasetid=e7ddc181-c614-4a3d-9710-6f4bc74c961","LEFD003_Core Image")</f>
        <v>LEFD003_Core Image</v>
      </c>
    </row>
    <row r="675" spans="1:11" x14ac:dyDescent="0.25">
      <c r="A675" t="str">
        <f>HYPERLINK("http://www.corstruth.com.au/WA/LDRC003_cs.png","LDRC003_A4")</f>
        <v>LDRC003_A4</v>
      </c>
      <c r="B675" t="str">
        <f>HYPERLINK("http://www.corstruth.com.au/WA/PNG2/LDRC003_cs.png","LDRC003_0.25m Bins")</f>
        <v>LDRC003_0.25m Bins</v>
      </c>
      <c r="C675" t="str">
        <f>HYPERLINK("http://www.corstruth.com.au/WA/CSV/LDRC003.csv","LDRC003_CSV File 1m Bins")</f>
        <v>LDRC003_CSV File 1m Bins</v>
      </c>
      <c r="D675" t="s">
        <v>901</v>
      </c>
      <c r="E675" t="s">
        <v>1</v>
      </c>
      <c r="G675" t="s">
        <v>623</v>
      </c>
      <c r="H675" t="s">
        <v>902</v>
      </c>
      <c r="I675">
        <v>-28.7378</v>
      </c>
      <c r="J675">
        <v>121.301</v>
      </c>
      <c r="K675" t="str">
        <f>HYPERLINK("http://geossdi.dmp.wa.gov.au/NVCLDataServices/mosaic.html?datasetid=3a44d7df-35d8-4293-bc79-295c39f9d31","LDRC003_Core Image")</f>
        <v>LDRC003_Core Image</v>
      </c>
    </row>
    <row r="676" spans="1:11" x14ac:dyDescent="0.25">
      <c r="A676" t="str">
        <f>HYPERLINK("http://www.corstruth.com.au/WA/LDRC004_cs.png","LDRC004_A4")</f>
        <v>LDRC004_A4</v>
      </c>
      <c r="B676" t="str">
        <f>HYPERLINK("http://www.corstruth.com.au/WA/PNG2/LDRC004_cs.png","LDRC004_0.25m Bins")</f>
        <v>LDRC004_0.25m Bins</v>
      </c>
      <c r="C676" t="str">
        <f>HYPERLINK("http://www.corstruth.com.au/WA/CSV/LDRC004.csv","LDRC004_CSV File 1m Bins")</f>
        <v>LDRC004_CSV File 1m Bins</v>
      </c>
      <c r="D676" t="s">
        <v>903</v>
      </c>
      <c r="E676" t="s">
        <v>1</v>
      </c>
      <c r="G676" t="s">
        <v>623</v>
      </c>
      <c r="H676" t="s">
        <v>902</v>
      </c>
      <c r="I676">
        <v>-28.735099999999999</v>
      </c>
      <c r="J676">
        <v>121.29900000000001</v>
      </c>
      <c r="K676" t="str">
        <f>HYPERLINK("http://geossdi.dmp.wa.gov.au/NVCLDataServices/mosaic.html?datasetid=9316c13d-bcbf-45ba-baab-3a897871bb8","LDRC004_Core Image")</f>
        <v>LDRC004_Core Image</v>
      </c>
    </row>
    <row r="677" spans="1:11" x14ac:dyDescent="0.25">
      <c r="A677" t="str">
        <f>HYPERLINK("http://www.corstruth.com.au/WA/LHD19_cs.png","LHD19_A4")</f>
        <v>LHD19_A4</v>
      </c>
      <c r="B677" t="str">
        <f>HYPERLINK("http://www.corstruth.com.au/WA/PNG2/LHD19_cs.png","LHD19_0.25m Bins")</f>
        <v>LHD19_0.25m Bins</v>
      </c>
      <c r="C677" t="str">
        <f>HYPERLINK("http://www.corstruth.com.au/WA/CSV/LHD19.csv","LHD19_CSV File 1m Bins")</f>
        <v>LHD19_CSV File 1m Bins</v>
      </c>
      <c r="D677" t="s">
        <v>904</v>
      </c>
      <c r="E677" t="s">
        <v>1</v>
      </c>
      <c r="G677" t="s">
        <v>623</v>
      </c>
      <c r="H677" t="s">
        <v>905</v>
      </c>
      <c r="I677">
        <v>-31.0898</v>
      </c>
      <c r="J677">
        <v>121.077</v>
      </c>
      <c r="K677" t="str">
        <f>HYPERLINK("http://geossdi.dmp.wa.gov.au/NVCLDataServices/mosaic.html?datasetid=e66513c2-4ba7-4545-9713-46756cb0830","LHD19_Core Image")</f>
        <v>LHD19_Core Image</v>
      </c>
    </row>
    <row r="678" spans="1:11" x14ac:dyDescent="0.25">
      <c r="A678" t="str">
        <f>HYPERLINK("http://www.corstruth.com.au/WA/LHD23_cs.png","LHD23_A4")</f>
        <v>LHD23_A4</v>
      </c>
      <c r="B678" t="str">
        <f>HYPERLINK("http://www.corstruth.com.au/WA/PNG2/LHD23_cs.png","LHD23_0.25m Bins")</f>
        <v>LHD23_0.25m Bins</v>
      </c>
      <c r="C678" t="str">
        <f>HYPERLINK("http://www.corstruth.com.au/WA/CSV/LHD23.csv","LHD23_CSV File 1m Bins")</f>
        <v>LHD23_CSV File 1m Bins</v>
      </c>
      <c r="D678" t="s">
        <v>906</v>
      </c>
      <c r="E678" t="s">
        <v>1</v>
      </c>
      <c r="G678" t="s">
        <v>623</v>
      </c>
      <c r="H678" t="s">
        <v>905</v>
      </c>
      <c r="I678">
        <v>-31.067799999999998</v>
      </c>
      <c r="J678">
        <v>121.10899999999999</v>
      </c>
      <c r="K678" t="str">
        <f>HYPERLINK("http://geossdi.dmp.wa.gov.au/NVCLDataServices/mosaic.html?datasetid=37dbfa4c-7604-4d7f-a8d7-fe59104b79e","LHD23_Core Image")</f>
        <v>LHD23_Core Image</v>
      </c>
    </row>
    <row r="679" spans="1:11" x14ac:dyDescent="0.25">
      <c r="A679" t="str">
        <f>HYPERLINK("http://www.corstruth.com.au/WA/LHD26_cs.png","LHD26_A4")</f>
        <v>LHD26_A4</v>
      </c>
      <c r="B679" t="str">
        <f>HYPERLINK("http://www.corstruth.com.au/WA/PNG2/LHD26_cs.png","LHD26_0.25m Bins")</f>
        <v>LHD26_0.25m Bins</v>
      </c>
      <c r="C679" t="str">
        <f>HYPERLINK("http://www.corstruth.com.au/WA/CSV/LHD26.csv","LHD26_CSV File 1m Bins")</f>
        <v>LHD26_CSV File 1m Bins</v>
      </c>
      <c r="D679" t="s">
        <v>907</v>
      </c>
      <c r="E679" t="s">
        <v>1</v>
      </c>
      <c r="G679" t="s">
        <v>623</v>
      </c>
      <c r="H679" t="s">
        <v>905</v>
      </c>
      <c r="I679">
        <v>-31.067799999999998</v>
      </c>
      <c r="J679">
        <v>121.10899999999999</v>
      </c>
      <c r="K679" t="str">
        <f>HYPERLINK("http://geossdi.dmp.wa.gov.au/NVCLDataServices/mosaic.html?datasetid=d5744649-e199-408c-ad05-f3312374c27","LHD26_Core Image")</f>
        <v>LHD26_Core Image</v>
      </c>
    </row>
    <row r="680" spans="1:11" x14ac:dyDescent="0.25">
      <c r="A680" t="str">
        <f>HYPERLINK("http://www.corstruth.com.au/WA/LHD29_cs.png","LHD29_A4")</f>
        <v>LHD29_A4</v>
      </c>
      <c r="B680" t="str">
        <f>HYPERLINK("http://www.corstruth.com.au/WA/PNG2/LHD29_cs.png","LHD29_0.25m Bins")</f>
        <v>LHD29_0.25m Bins</v>
      </c>
      <c r="C680" t="str">
        <f>HYPERLINK("http://www.corstruth.com.au/WA/CSV/LHD29.csv","LHD29_CSV File 1m Bins")</f>
        <v>LHD29_CSV File 1m Bins</v>
      </c>
      <c r="D680" t="s">
        <v>908</v>
      </c>
      <c r="E680" t="s">
        <v>1</v>
      </c>
      <c r="G680" t="s">
        <v>623</v>
      </c>
      <c r="H680" t="s">
        <v>905</v>
      </c>
      <c r="I680">
        <v>-31.067799999999998</v>
      </c>
      <c r="J680">
        <v>121.10899999999999</v>
      </c>
      <c r="K680" t="str">
        <f>HYPERLINK("http://geossdi.dmp.wa.gov.au/NVCLDataServices/mosaic.html?datasetid=9a98e39f-2be6-49c9-aab0-859aff38a30","LHD29_Core Image")</f>
        <v>LHD29_Core Image</v>
      </c>
    </row>
    <row r="681" spans="1:11" x14ac:dyDescent="0.25">
      <c r="A681" t="str">
        <f>HYPERLINK("http://www.corstruth.com.au/WA/LHD7_cs.png","LHD7_A4")</f>
        <v>LHD7_A4</v>
      </c>
      <c r="B681" t="str">
        <f>HYPERLINK("http://www.corstruth.com.au/WA/PNG2/LHD7_cs.png","LHD7_0.25m Bins")</f>
        <v>LHD7_0.25m Bins</v>
      </c>
      <c r="C681" t="str">
        <f>HYPERLINK("http://www.corstruth.com.au/WA/CSV/LHD7.csv","LHD7_CSV File 1m Bins")</f>
        <v>LHD7_CSV File 1m Bins</v>
      </c>
      <c r="D681" t="s">
        <v>909</v>
      </c>
      <c r="E681" t="s">
        <v>1</v>
      </c>
      <c r="G681" t="s">
        <v>623</v>
      </c>
      <c r="H681" t="s">
        <v>905</v>
      </c>
      <c r="I681">
        <v>-31.412500000000001</v>
      </c>
      <c r="J681">
        <v>120.504</v>
      </c>
      <c r="K681" t="str">
        <f>HYPERLINK("http://geossdi.dmp.wa.gov.au/NVCLDataServices/mosaic.html?datasetid=dfa1317b-023d-4f80-983e-a6e53dbc80f","LHD7_Core Image")</f>
        <v>LHD7_Core Image</v>
      </c>
    </row>
    <row r="682" spans="1:11" x14ac:dyDescent="0.25">
      <c r="A682" t="str">
        <f>HYPERLINK("http://www.corstruth.com.au/WA/LONDDH1-94_cs.png","LONDDH1-94_A4")</f>
        <v>LONDDH1-94_A4</v>
      </c>
      <c r="B682" t="str">
        <f>HYPERLINK("http://www.corstruth.com.au/WA/PNG2/LONDDH1-94_cs.png","LONDDH1-94_0.25m Bins")</f>
        <v>LONDDH1-94_0.25m Bins</v>
      </c>
      <c r="C682" t="str">
        <f>HYPERLINK("http://www.corstruth.com.au/WA/CSV/LONDDH1-94.csv","LONDDH1-94_CSV File 1m Bins")</f>
        <v>LONDDH1-94_CSV File 1m Bins</v>
      </c>
      <c r="D682" t="s">
        <v>910</v>
      </c>
      <c r="E682" t="s">
        <v>1</v>
      </c>
      <c r="G682" t="s">
        <v>623</v>
      </c>
      <c r="H682" t="s">
        <v>905</v>
      </c>
      <c r="I682">
        <v>-31.111599999999999</v>
      </c>
      <c r="J682">
        <v>121.07899999999999</v>
      </c>
      <c r="K682" t="str">
        <f>HYPERLINK("http://geossdi.dmp.wa.gov.au/NVCLDataServices/mosaic.html?datasetid=8d72e804-604a-4f44-a920-2bd23e6fa78","LONDDH1-94_Core Image")</f>
        <v>LONDDH1-94_Core Image</v>
      </c>
    </row>
    <row r="683" spans="1:11" x14ac:dyDescent="0.25">
      <c r="A683" t="str">
        <f>HYPERLINK("http://www.corstruth.com.au/WA/LONDDH10-94_cs.png","LONDDH10-94_A4")</f>
        <v>LONDDH10-94_A4</v>
      </c>
      <c r="B683" t="str">
        <f>HYPERLINK("http://www.corstruth.com.au/WA/PNG2/LONDDH10-94_cs.png","LONDDH10-94_0.25m Bins")</f>
        <v>LONDDH10-94_0.25m Bins</v>
      </c>
      <c r="C683" t="str">
        <f>HYPERLINK("http://www.corstruth.com.au/WA/CSV/LONDDH10-94.csv","LONDDH10-94_CSV File 1m Bins")</f>
        <v>LONDDH10-94_CSV File 1m Bins</v>
      </c>
      <c r="D683" t="s">
        <v>911</v>
      </c>
      <c r="E683" t="s">
        <v>1</v>
      </c>
      <c r="G683" t="s">
        <v>623</v>
      </c>
      <c r="H683" t="s">
        <v>905</v>
      </c>
      <c r="I683">
        <v>-31.111499999999999</v>
      </c>
      <c r="J683">
        <v>121.078</v>
      </c>
      <c r="K683" t="str">
        <f>HYPERLINK("http://geossdi.dmp.wa.gov.au/NVCLDataServices/mosaic.html?datasetid=e37aab31-dc63-4370-aff2-c82b4a22b39","LONDDH10-94_Core Image")</f>
        <v>LONDDH10-94_Core Image</v>
      </c>
    </row>
    <row r="684" spans="1:11" x14ac:dyDescent="0.25">
      <c r="A684" t="str">
        <f>HYPERLINK("http://www.corstruth.com.au/WA/LONDDH3-94_cs.png","LONDDH3-94_A4")</f>
        <v>LONDDH3-94_A4</v>
      </c>
      <c r="B684" t="str">
        <f>HYPERLINK("http://www.corstruth.com.au/WA/PNG2/LONDDH3-94_cs.png","LONDDH3-94_0.25m Bins")</f>
        <v>LONDDH3-94_0.25m Bins</v>
      </c>
      <c r="C684" t="str">
        <f>HYPERLINK("http://www.corstruth.com.au/WA/CSV/LONDDH3-94.csv","LONDDH3-94_CSV File 1m Bins")</f>
        <v>LONDDH3-94_CSV File 1m Bins</v>
      </c>
      <c r="D684" t="s">
        <v>912</v>
      </c>
      <c r="E684" t="s">
        <v>1</v>
      </c>
      <c r="G684" t="s">
        <v>623</v>
      </c>
      <c r="H684" t="s">
        <v>905</v>
      </c>
      <c r="I684">
        <v>-31.111799999999999</v>
      </c>
      <c r="J684">
        <v>121.07899999999999</v>
      </c>
      <c r="K684" t="str">
        <f>HYPERLINK("http://geossdi.dmp.wa.gov.au/NVCLDataServices/mosaic.html?datasetid=47db4eb1-e54c-438b-a333-fe7a92ae883","LONDDH3-94_Core Image")</f>
        <v>LONDDH3-94_Core Image</v>
      </c>
    </row>
    <row r="685" spans="1:11" x14ac:dyDescent="0.25">
      <c r="A685" t="str">
        <f>HYPERLINK("http://www.corstruth.com.au/WA/LONDDH4-94_cs.png","LONDDH4-94_A4")</f>
        <v>LONDDH4-94_A4</v>
      </c>
      <c r="B685" t="str">
        <f>HYPERLINK("http://www.corstruth.com.au/WA/PNG2/LONDDH4-94_cs.png","LONDDH4-94_0.25m Bins")</f>
        <v>LONDDH4-94_0.25m Bins</v>
      </c>
      <c r="C685" t="str">
        <f>HYPERLINK("http://www.corstruth.com.au/WA/CSV/LONDDH4-94.csv","LONDDH4-94_CSV File 1m Bins")</f>
        <v>LONDDH4-94_CSV File 1m Bins</v>
      </c>
      <c r="D685" t="s">
        <v>913</v>
      </c>
      <c r="E685" t="s">
        <v>1</v>
      </c>
      <c r="G685" t="s">
        <v>623</v>
      </c>
      <c r="H685" t="s">
        <v>905</v>
      </c>
      <c r="I685">
        <v>-31.111899999999999</v>
      </c>
      <c r="J685">
        <v>121.07899999999999</v>
      </c>
      <c r="K685" t="str">
        <f>HYPERLINK("http://geossdi.dmp.wa.gov.au/NVCLDataServices/mosaic.html?datasetid=1fbb314f-6a65-4e18-b0e6-f75bf8cb480","LONDDH4-94_Core Image")</f>
        <v>LONDDH4-94_Core Image</v>
      </c>
    </row>
    <row r="686" spans="1:11" x14ac:dyDescent="0.25">
      <c r="A686" t="str">
        <f>HYPERLINK("http://www.corstruth.com.au/WA/LONDDH7-94_cs.png","LONDDH7-94_A4")</f>
        <v>LONDDH7-94_A4</v>
      </c>
      <c r="B686" t="str">
        <f>HYPERLINK("http://www.corstruth.com.au/WA/PNG2/LONDDH7-94_cs.png","LONDDH7-94_0.25m Bins")</f>
        <v>LONDDH7-94_0.25m Bins</v>
      </c>
      <c r="C686" t="str">
        <f>HYPERLINK("http://www.corstruth.com.au/WA/CSV/LONDDH7-94.csv","LONDDH7-94_CSV File 1m Bins")</f>
        <v>LONDDH7-94_CSV File 1m Bins</v>
      </c>
      <c r="D686" t="s">
        <v>914</v>
      </c>
      <c r="E686" t="s">
        <v>1</v>
      </c>
      <c r="G686" t="s">
        <v>623</v>
      </c>
      <c r="H686" t="s">
        <v>905</v>
      </c>
      <c r="I686">
        <v>-31.1114</v>
      </c>
      <c r="J686">
        <v>121.07899999999999</v>
      </c>
      <c r="K686" t="str">
        <f>HYPERLINK("http://geossdi.dmp.wa.gov.au/NVCLDataServices/mosaic.html?datasetid=17b3b8bd-80ec-46be-92b7-99c9e1a2156","LONDDH7-94_Core Image")</f>
        <v>LONDDH7-94_Core Image</v>
      </c>
    </row>
    <row r="687" spans="1:11" x14ac:dyDescent="0.25">
      <c r="A687" t="str">
        <f>HYPERLINK("http://www.corstruth.com.au/WA/LONDDH8-94_cs.png","LONDDH8-94_A4")</f>
        <v>LONDDH8-94_A4</v>
      </c>
      <c r="B687" t="str">
        <f>HYPERLINK("http://www.corstruth.com.au/WA/PNG2/LONDDH8-94_cs.png","LONDDH8-94_0.25m Bins")</f>
        <v>LONDDH8-94_0.25m Bins</v>
      </c>
      <c r="C687" t="str">
        <f>HYPERLINK("http://www.corstruth.com.au/WA/CSV/LONDDH8-94.csv","LONDDH8-94_CSV File 1m Bins")</f>
        <v>LONDDH8-94_CSV File 1m Bins</v>
      </c>
      <c r="D687" t="s">
        <v>915</v>
      </c>
      <c r="E687" t="s">
        <v>1</v>
      </c>
      <c r="G687" t="s">
        <v>623</v>
      </c>
      <c r="H687" t="s">
        <v>905</v>
      </c>
      <c r="I687">
        <v>-31.1113</v>
      </c>
      <c r="J687">
        <v>121.07899999999999</v>
      </c>
      <c r="K687" t="str">
        <f>HYPERLINK("http://geossdi.dmp.wa.gov.au/NVCLDataServices/mosaic.html?datasetid=51901a63-5ec4-490a-9f09-680bf99de52","LONDDH8-94_Core Image")</f>
        <v>LONDDH8-94_Core Image</v>
      </c>
    </row>
    <row r="688" spans="1:11" x14ac:dyDescent="0.25">
      <c r="A688" t="str">
        <f>HYPERLINK("http://www.corstruth.com.au/WA/LONDDH9-94_cs.png","LONDDH9-94_A4")</f>
        <v>LONDDH9-94_A4</v>
      </c>
      <c r="B688" t="str">
        <f>HYPERLINK("http://www.corstruth.com.au/WA/PNG2/LONDDH9-94_cs.png","LONDDH9-94_0.25m Bins")</f>
        <v>LONDDH9-94_0.25m Bins</v>
      </c>
      <c r="C688" t="str">
        <f>HYPERLINK("http://www.corstruth.com.au/WA/CSV/LONDDH9-94.csv","LONDDH9-94_CSV File 1m Bins")</f>
        <v>LONDDH9-94_CSV File 1m Bins</v>
      </c>
      <c r="D688" t="s">
        <v>916</v>
      </c>
      <c r="E688" t="s">
        <v>1</v>
      </c>
      <c r="G688" t="s">
        <v>623</v>
      </c>
      <c r="H688" t="s">
        <v>905</v>
      </c>
      <c r="I688">
        <v>-31.1114</v>
      </c>
      <c r="J688">
        <v>121.078</v>
      </c>
      <c r="K688" t="str">
        <f>HYPERLINK("http://geossdi.dmp.wa.gov.au/NVCLDataServices/mosaic.html?datasetid=1eae3b3e-500d-47f1-bb9e-08fc29410f2","LONDDH9-94_Core Image")</f>
        <v>LONDDH9-94_Core Image</v>
      </c>
    </row>
    <row r="689" spans="1:11" x14ac:dyDescent="0.25">
      <c r="A689" t="str">
        <f>HYPERLINK("http://www.corstruth.com.au/WA/LG15-226_cs.png","LG15-226_A4")</f>
        <v>LG15-226_A4</v>
      </c>
      <c r="B689" t="str">
        <f>HYPERLINK("http://www.corstruth.com.au/WA/PNG2/LG15-226_cs.png","LG15-226_0.25m Bins")</f>
        <v>LG15-226_0.25m Bins</v>
      </c>
      <c r="C689" t="str">
        <f>HYPERLINK("http://www.corstruth.com.au/WA/CSV/LG15-226.csv","LG15-226_CSV File 1m Bins")</f>
        <v>LG15-226_CSV File 1m Bins</v>
      </c>
      <c r="D689" t="s">
        <v>917</v>
      </c>
      <c r="E689" t="s">
        <v>1</v>
      </c>
      <c r="G689" t="s">
        <v>623</v>
      </c>
      <c r="H689" t="s">
        <v>918</v>
      </c>
      <c r="I689">
        <v>-31.177499999999998</v>
      </c>
      <c r="J689">
        <v>121.678</v>
      </c>
      <c r="K689" t="str">
        <f>HYPERLINK("http://geossdi.dmp.wa.gov.au/NVCLDataServices/mosaic.html?datasetid=74d0756c-fc07-440f-8279-e221e368a8f","LG15-226_Core Image")</f>
        <v>LG15-226_Core Image</v>
      </c>
    </row>
    <row r="690" spans="1:11" x14ac:dyDescent="0.25">
      <c r="A690" t="str">
        <f>HYPERLINK("http://www.corstruth.com.au/WA/LEFR132_cs.png","LEFR132_A4")</f>
        <v>LEFR132_A4</v>
      </c>
      <c r="B690" t="str">
        <f>HYPERLINK("http://www.corstruth.com.au/WA/PNG2/LEFR132_cs.png","LEFR132_0.25m Bins")</f>
        <v>LEFR132_0.25m Bins</v>
      </c>
      <c r="C690" t="str">
        <f>HYPERLINK("http://www.corstruth.com.au/WA/CSV/LEFR132.csv","LEFR132_CSV File 1m Bins")</f>
        <v>LEFR132_CSV File 1m Bins</v>
      </c>
      <c r="D690" t="s">
        <v>919</v>
      </c>
      <c r="E690" t="s">
        <v>1</v>
      </c>
      <c r="G690" t="s">
        <v>623</v>
      </c>
      <c r="H690" t="s">
        <v>920</v>
      </c>
      <c r="I690">
        <v>-31.130299999999998</v>
      </c>
      <c r="J690">
        <v>121.99299999999999</v>
      </c>
      <c r="K690" t="str">
        <f>HYPERLINK("http://geossdi.dmp.wa.gov.au/NVCLDataServices/mosaic.html?datasetid=f4a916eb-e0e9-4897-9fb0-644f3d86697","LEFR132_Core Image")</f>
        <v>LEFR132_Core Image</v>
      </c>
    </row>
    <row r="691" spans="1:11" x14ac:dyDescent="0.25">
      <c r="A691" t="str">
        <f>HYPERLINK("http://www.corstruth.com.au/WA/LSRD010_cs.png","LSRD010_A4")</f>
        <v>LSRD010_A4</v>
      </c>
      <c r="B691" t="str">
        <f>HYPERLINK("http://www.corstruth.com.au/WA/PNG2/LSRD010_cs.png","LSRD010_0.25m Bins")</f>
        <v>LSRD010_0.25m Bins</v>
      </c>
      <c r="C691" t="str">
        <f>HYPERLINK("http://www.corstruth.com.au/WA/CSV/LSRD010.csv","LSRD010_CSV File 1m Bins")</f>
        <v>LSRD010_CSV File 1m Bins</v>
      </c>
      <c r="D691" t="s">
        <v>921</v>
      </c>
      <c r="E691" t="s">
        <v>1</v>
      </c>
      <c r="G691" t="s">
        <v>623</v>
      </c>
      <c r="H691" t="s">
        <v>920</v>
      </c>
      <c r="I691">
        <v>-31.1297</v>
      </c>
      <c r="J691">
        <v>121.991</v>
      </c>
      <c r="K691" t="str">
        <f>HYPERLINK("http://geossdi.dmp.wa.gov.au/NVCLDataServices/mosaic.html?datasetid=2c298dcc-e7ee-4ee6-ace7-4a212a627dc","LSRD010_Core Image")</f>
        <v>LSRD010_Core Image</v>
      </c>
    </row>
    <row r="692" spans="1:11" x14ac:dyDescent="0.25">
      <c r="A692" t="str">
        <f>HYPERLINK("http://www.corstruth.com.au/WA/LSRD012_cs.png","LSRD012_A4")</f>
        <v>LSRD012_A4</v>
      </c>
      <c r="B692" t="str">
        <f>HYPERLINK("http://www.corstruth.com.au/WA/PNG2/LSRD012_cs.png","LSRD012_0.25m Bins")</f>
        <v>LSRD012_0.25m Bins</v>
      </c>
      <c r="C692" t="str">
        <f>HYPERLINK("http://www.corstruth.com.au/WA/CSV/LSRD012.csv","LSRD012_CSV File 1m Bins")</f>
        <v>LSRD012_CSV File 1m Bins</v>
      </c>
      <c r="D692" t="s">
        <v>922</v>
      </c>
      <c r="E692" t="s">
        <v>1</v>
      </c>
      <c r="G692" t="s">
        <v>623</v>
      </c>
      <c r="H692" t="s">
        <v>920</v>
      </c>
      <c r="I692">
        <v>-31.130199999999999</v>
      </c>
      <c r="J692">
        <v>121.992</v>
      </c>
      <c r="K692" t="str">
        <f>HYPERLINK("http://geossdi.dmp.wa.gov.au/NVCLDataServices/mosaic.html?datasetid=276a0899-b126-4675-80ee-74ce71dd023","LSRD012_Core Image")</f>
        <v>LSRD012_Core Image</v>
      </c>
    </row>
    <row r="693" spans="1:11" x14ac:dyDescent="0.25">
      <c r="A693" t="str">
        <f>HYPERLINK("http://www.corstruth.com.au/WA/MRDH400_cs.png","MRDH400_A4")</f>
        <v>MRDH400_A4</v>
      </c>
      <c r="D693" t="s">
        <v>59</v>
      </c>
      <c r="E693" t="s">
        <v>1</v>
      </c>
      <c r="G693" t="s">
        <v>623</v>
      </c>
      <c r="H693" t="s">
        <v>923</v>
      </c>
      <c r="I693">
        <v>-30.995999999999999</v>
      </c>
      <c r="J693">
        <v>121.199</v>
      </c>
      <c r="K693" t="str">
        <f>HYPERLINK("http://geossdi.dmp.wa.gov.au/NVCLDataServices/mosaic.html?datasetid=42283640-c4c9-491d-a7d0-a13f2982b66","MRDH400_Core Image")</f>
        <v>MRDH400_Core Image</v>
      </c>
    </row>
    <row r="694" spans="1:11" x14ac:dyDescent="0.25">
      <c r="A694" t="str">
        <f>HYPERLINK("http://www.corstruth.com.au/WA/MRDH401_cs.png","MRDH401_A4")</f>
        <v>MRDH401_A4</v>
      </c>
      <c r="D694" t="s">
        <v>59</v>
      </c>
      <c r="E694" t="s">
        <v>1</v>
      </c>
      <c r="G694" t="s">
        <v>623</v>
      </c>
      <c r="H694" t="s">
        <v>923</v>
      </c>
      <c r="I694">
        <v>-30.995999999999999</v>
      </c>
      <c r="J694">
        <v>121.199</v>
      </c>
      <c r="K694" t="str">
        <f>HYPERLINK("http://geossdi.dmp.wa.gov.au/NVCLDataServices/mosaic.html?datasetid=ca1bd0af-807f-4533-aa0b-e6548bf9d57","MRDH401_Core Image")</f>
        <v>MRDH401_Core Image</v>
      </c>
    </row>
    <row r="695" spans="1:11" x14ac:dyDescent="0.25">
      <c r="A695" t="str">
        <f>HYPERLINK("http://www.corstruth.com.au/WA/MRDH402_cs.png","MRDH402_A4")</f>
        <v>MRDH402_A4</v>
      </c>
      <c r="D695" t="s">
        <v>59</v>
      </c>
      <c r="E695" t="s">
        <v>1</v>
      </c>
      <c r="G695" t="s">
        <v>623</v>
      </c>
      <c r="H695" t="s">
        <v>923</v>
      </c>
      <c r="I695">
        <v>-30.995999999999999</v>
      </c>
      <c r="J695">
        <v>121.199</v>
      </c>
      <c r="K695" t="str">
        <f>HYPERLINK("http://geossdi.dmp.wa.gov.au/NVCLDataServices/mosaic.html?datasetid=8a3edab0-3264-4ef7-8b01-a5cdd6b7781","MRDH402_Core Image")</f>
        <v>MRDH402_Core Image</v>
      </c>
    </row>
    <row r="696" spans="1:11" x14ac:dyDescent="0.25">
      <c r="A696" t="str">
        <f>HYPERLINK("http://www.corstruth.com.au/WA/MRDH403_cs.png","MRDH403_A4")</f>
        <v>MRDH403_A4</v>
      </c>
      <c r="D696" t="s">
        <v>59</v>
      </c>
      <c r="E696" t="s">
        <v>1</v>
      </c>
      <c r="G696" t="s">
        <v>623</v>
      </c>
      <c r="H696" t="s">
        <v>923</v>
      </c>
      <c r="I696">
        <v>-30.995999999999999</v>
      </c>
      <c r="J696">
        <v>121.199</v>
      </c>
      <c r="K696" t="str">
        <f>HYPERLINK("http://geossdi.dmp.wa.gov.au/NVCLDataServices/mosaic.html?datasetid=a1787f42-ab49-4bde-a5a3-5c6fcf7ceec","MRDH403_Core Image")</f>
        <v>MRDH403_Core Image</v>
      </c>
    </row>
    <row r="697" spans="1:11" x14ac:dyDescent="0.25">
      <c r="A697" t="str">
        <f>HYPERLINK("http://www.corstruth.com.au/WA/MRDH407_cs.png","MRDH407_A4")</f>
        <v>MRDH407_A4</v>
      </c>
      <c r="D697" t="s">
        <v>59</v>
      </c>
      <c r="E697" t="s">
        <v>1</v>
      </c>
      <c r="G697" t="s">
        <v>623</v>
      </c>
      <c r="H697" t="s">
        <v>923</v>
      </c>
      <c r="I697">
        <v>-30.995899999999999</v>
      </c>
      <c r="J697">
        <v>121.19799999999999</v>
      </c>
      <c r="K697" t="str">
        <f>HYPERLINK("http://geossdi.dmp.wa.gov.au/NVCLDataServices/mosaic.html?datasetid=91d4f4fe-f0bb-42be-8a01-fa69bca9169","MRDH407_Core Image")</f>
        <v>MRDH407_Core Image</v>
      </c>
    </row>
    <row r="698" spans="1:11" x14ac:dyDescent="0.25">
      <c r="A698" t="str">
        <f>HYPERLINK("http://www.corstruth.com.au/WA/LNSD-063_cs.png","LNSD-063_A4")</f>
        <v>LNSD-063_A4</v>
      </c>
      <c r="B698" t="str">
        <f>HYPERLINK("http://www.corstruth.com.au/WA/PNG2/LNSD-063_cs.png","LNSD-063_0.25m Bins")</f>
        <v>LNSD-063_0.25m Bins</v>
      </c>
      <c r="C698" t="str">
        <f>HYPERLINK("http://www.corstruth.com.au/WA/CSV/LNSD-063.csv","LNSD-063_CSV File 1m Bins")</f>
        <v>LNSD-063_CSV File 1m Bins</v>
      </c>
      <c r="D698" t="s">
        <v>924</v>
      </c>
      <c r="E698" t="s">
        <v>1</v>
      </c>
      <c r="G698" t="s">
        <v>623</v>
      </c>
      <c r="H698" t="s">
        <v>925</v>
      </c>
      <c r="I698">
        <v>-31.208300000000001</v>
      </c>
      <c r="J698">
        <v>121.691</v>
      </c>
      <c r="K698" t="str">
        <f>HYPERLINK("http://geossdi.dmp.wa.gov.au/NVCLDataServices/mosaic.html?datasetid=c5ae74a0-9a7e-4da9-b58f-7a67faee971","LNSD-063_Core Image")</f>
        <v>LNSD-063_Core Image</v>
      </c>
    </row>
    <row r="699" spans="1:11" x14ac:dyDescent="0.25">
      <c r="A699" t="str">
        <f>HYPERLINK("http://www.corstruth.com.au/WA/LNSD-063-W1_cs.png","LNSD-063-W1_A4")</f>
        <v>LNSD-063-W1_A4</v>
      </c>
      <c r="B699" t="str">
        <f>HYPERLINK("http://www.corstruth.com.au/WA/PNG2/LNSD-063-W1_cs.png","LNSD-063-W1_0.25m Bins")</f>
        <v>LNSD-063-W1_0.25m Bins</v>
      </c>
      <c r="C699" t="str">
        <f>HYPERLINK("http://www.corstruth.com.au/WA/CSV/LNSD-063-W1.csv","LNSD-063-W1_CSV File 1m Bins")</f>
        <v>LNSD-063-W1_CSV File 1m Bins</v>
      </c>
      <c r="D699" t="s">
        <v>926</v>
      </c>
      <c r="E699" t="s">
        <v>1</v>
      </c>
      <c r="G699" t="s">
        <v>623</v>
      </c>
      <c r="H699" t="s">
        <v>925</v>
      </c>
      <c r="I699">
        <v>-31.208300000000001</v>
      </c>
      <c r="J699">
        <v>121.691</v>
      </c>
      <c r="K699" t="str">
        <f>HYPERLINK("http://geossdi.dmp.wa.gov.au/NVCLDataServices/mosaic.html?datasetid=10d3413c-ec74-40f4-a365-528ec41b37f","LNSD-063-W1_Core Image")</f>
        <v>LNSD-063-W1_Core Image</v>
      </c>
    </row>
    <row r="700" spans="1:11" x14ac:dyDescent="0.25">
      <c r="A700" t="str">
        <f>HYPERLINK("http://www.corstruth.com.au/WA/LNSD-063-W2_cs.png","LNSD-063-W2_A4")</f>
        <v>LNSD-063-W2_A4</v>
      </c>
      <c r="B700" t="str">
        <f>HYPERLINK("http://www.corstruth.com.au/WA/PNG2/LNSD-063-W2_cs.png","LNSD-063-W2_0.25m Bins")</f>
        <v>LNSD-063-W2_0.25m Bins</v>
      </c>
      <c r="C700" t="str">
        <f>HYPERLINK("http://www.corstruth.com.au/WA/CSV/LNSD-063-W2.csv","LNSD-063-W2_CSV File 1m Bins")</f>
        <v>LNSD-063-W2_CSV File 1m Bins</v>
      </c>
      <c r="D700" t="s">
        <v>927</v>
      </c>
      <c r="E700" t="s">
        <v>1</v>
      </c>
      <c r="G700" t="s">
        <v>623</v>
      </c>
      <c r="H700" t="s">
        <v>925</v>
      </c>
      <c r="I700">
        <v>-31.208300000000001</v>
      </c>
      <c r="J700">
        <v>121.691</v>
      </c>
      <c r="K700" t="str">
        <f>HYPERLINK("http://geossdi.dmp.wa.gov.au/NVCLDataServices/mosaic.html?datasetid=7ba92782-f71b-48bd-a098-5cab2059597","LNSD-063-W2_Core Image")</f>
        <v>LNSD-063-W2_Core Image</v>
      </c>
    </row>
    <row r="701" spans="1:11" x14ac:dyDescent="0.25">
      <c r="A701" t="str">
        <f>HYPERLINK("http://www.corstruth.com.au/WA/18MBDD001_cs.png","18MBDD001_A4")</f>
        <v>18MBDD001_A4</v>
      </c>
      <c r="B701" t="str">
        <f>HYPERLINK("http://www.corstruth.com.au/WA/PNG2/18MBDD001_cs.png","18MBDD001_0.25m Bins")</f>
        <v>18MBDD001_0.25m Bins</v>
      </c>
      <c r="C701" t="str">
        <f>HYPERLINK("http://www.corstruth.com.au/WA/CSV/18MBDD001.csv","18MBDD001_CSV File 1m Bins")</f>
        <v>18MBDD001_CSV File 1m Bins</v>
      </c>
      <c r="D701" t="s">
        <v>928</v>
      </c>
      <c r="E701" t="s">
        <v>1</v>
      </c>
      <c r="G701" t="s">
        <v>623</v>
      </c>
      <c r="H701" t="s">
        <v>929</v>
      </c>
      <c r="I701">
        <v>-30.745899999999999</v>
      </c>
      <c r="J701">
        <v>121.776</v>
      </c>
    </row>
    <row r="702" spans="1:11" x14ac:dyDescent="0.25">
      <c r="A702" t="str">
        <f>HYPERLINK("http://www.corstruth.com.au/WA/RRLMWDD123_cs.png","RRLMWDD123_A4")</f>
        <v>RRLMWDD123_A4</v>
      </c>
      <c r="B702" t="str">
        <f>HYPERLINK("http://www.corstruth.com.au/WA/PNG2/RRLMWDD123_cs.png","RRLMWDD123_0.25m Bins")</f>
        <v>RRLMWDD123_0.25m Bins</v>
      </c>
      <c r="C702" t="str">
        <f>HYPERLINK("http://www.corstruth.com.au/WA/CSV/RRLMWDD123.csv","RRLMWDD123_CSV File 1m Bins")</f>
        <v>RRLMWDD123_CSV File 1m Bins</v>
      </c>
      <c r="D702" t="s">
        <v>59</v>
      </c>
      <c r="E702" t="s">
        <v>1</v>
      </c>
      <c r="G702" t="s">
        <v>623</v>
      </c>
      <c r="H702" t="s">
        <v>930</v>
      </c>
      <c r="I702">
        <v>-27.622399999999999</v>
      </c>
      <c r="J702">
        <v>122.352</v>
      </c>
      <c r="K702" t="str">
        <f>HYPERLINK("http://geossdi.dmp.wa.gov.au/NVCLDataServices/mosaic.html?datasetid=1f331d76-3a26-4916-a919-2003bde7719","RRLMWDD123_Core Image")</f>
        <v>RRLMWDD123_Core Image</v>
      </c>
    </row>
    <row r="703" spans="1:11" x14ac:dyDescent="0.25">
      <c r="A703" t="str">
        <f>HYPERLINK("http://www.corstruth.com.au/WA/RRLMWDD129_cs.png","RRLMWDD129_A4")</f>
        <v>RRLMWDD129_A4</v>
      </c>
      <c r="B703" t="str">
        <f>HYPERLINK("http://www.corstruth.com.au/WA/PNG2/RRLMWDD129_cs.png","RRLMWDD129_0.25m Bins")</f>
        <v>RRLMWDD129_0.25m Bins</v>
      </c>
      <c r="C703" t="str">
        <f>HYPERLINK("http://www.corstruth.com.au/WA/CSV/RRLMWDD129.csv","RRLMWDD129_CSV File 1m Bins")</f>
        <v>RRLMWDD129_CSV File 1m Bins</v>
      </c>
      <c r="D703" t="s">
        <v>59</v>
      </c>
      <c r="E703" t="s">
        <v>1</v>
      </c>
      <c r="G703" t="s">
        <v>623</v>
      </c>
      <c r="H703" t="s">
        <v>930</v>
      </c>
      <c r="I703">
        <v>-27.622399999999999</v>
      </c>
      <c r="J703">
        <v>122.352</v>
      </c>
      <c r="K703" t="str">
        <f>HYPERLINK("http://geossdi.dmp.wa.gov.au/NVCLDataServices/mosaic.html?datasetid=0bdbb826-29eb-4e9e-b209-de7e2d1dd91","RRLMWDD129_Core Image")</f>
        <v>RRLMWDD129_Core Image</v>
      </c>
    </row>
    <row r="704" spans="1:11" x14ac:dyDescent="0.25">
      <c r="A704" t="str">
        <f>HYPERLINK("http://www.corstruth.com.au/WA/TDH_3_cs.png","TDH 3_A4")</f>
        <v>TDH 3_A4</v>
      </c>
      <c r="B704" t="str">
        <f>HYPERLINK("http://www.corstruth.com.au/WA/PNG2/TDH_3_cs.png","TDH 3_0.25m Bins")</f>
        <v>TDH 3_0.25m Bins</v>
      </c>
      <c r="C704" t="str">
        <f>HYPERLINK("http://www.corstruth.com.au/WA/CSV/TDH_3.csv","TDH 3_CSV File 1m Bins")</f>
        <v>TDH 3_CSV File 1m Bins</v>
      </c>
      <c r="D704" t="s">
        <v>931</v>
      </c>
      <c r="E704" t="s">
        <v>1</v>
      </c>
      <c r="G704" t="s">
        <v>623</v>
      </c>
      <c r="H704" t="s">
        <v>932</v>
      </c>
      <c r="I704">
        <v>-28.095199999999998</v>
      </c>
      <c r="J704">
        <v>123.505</v>
      </c>
      <c r="K704" t="str">
        <f>HYPERLINK("http://geossdi.dmp.wa.gov.au/NVCLDataServices/mosaic.html?datasetid=644a36b4-205e-4d53-a1a8-2a22c3643a8","TDH 3_Core Image")</f>
        <v>TDH 3_Core Image</v>
      </c>
    </row>
    <row r="705" spans="1:11" x14ac:dyDescent="0.25">
      <c r="A705" t="str">
        <f>HYPERLINK("http://www.corstruth.com.au/WA/CH04_cs.png","CH04_A4")</f>
        <v>CH04_A4</v>
      </c>
      <c r="B705" t="str">
        <f>HYPERLINK("http://www.corstruth.com.au/WA/PNG2/CH04_cs.png","CH04_0.25m Bins")</f>
        <v>CH04_0.25m Bins</v>
      </c>
      <c r="C705" t="str">
        <f>HYPERLINK("http://www.corstruth.com.au/WA/CSV/CH04.csv","CH04_CSV File 1m Bins")</f>
        <v>CH04_CSV File 1m Bins</v>
      </c>
      <c r="D705" t="s">
        <v>933</v>
      </c>
      <c r="E705" t="s">
        <v>1</v>
      </c>
      <c r="G705" t="s">
        <v>623</v>
      </c>
      <c r="H705" t="s">
        <v>934</v>
      </c>
      <c r="I705">
        <v>-28.849799999999998</v>
      </c>
      <c r="J705">
        <v>122.556</v>
      </c>
      <c r="K705" t="str">
        <f>HYPERLINK("http://geossdi.dmp.wa.gov.au/NVCLDataServices/mosaic.html?datasetid=17b50bb6-7437-43c1-81cb-f4eadd40240","CH04_Core Image")</f>
        <v>CH04_Core Image</v>
      </c>
    </row>
    <row r="706" spans="1:11" x14ac:dyDescent="0.25">
      <c r="A706" t="str">
        <f>HYPERLINK("http://www.corstruth.com.au/WA/CH15_wedge_cs.png","CH15_wedge_A4")</f>
        <v>CH15_wedge_A4</v>
      </c>
      <c r="B706" t="str">
        <f>HYPERLINK("http://www.corstruth.com.au/WA/PNG2/CH15_wedge_cs.png","CH15_wedge_0.25m Bins")</f>
        <v>CH15_wedge_0.25m Bins</v>
      </c>
      <c r="C706" t="str">
        <f>HYPERLINK("http://www.corstruth.com.au/WA/CSV/CH15_wedge.csv","CH15_wedge_CSV File 1m Bins")</f>
        <v>CH15_wedge_CSV File 1m Bins</v>
      </c>
      <c r="E706" t="s">
        <v>1</v>
      </c>
      <c r="G706" t="s">
        <v>623</v>
      </c>
      <c r="H706" t="s">
        <v>934</v>
      </c>
      <c r="I706">
        <v>-28.863199999999999</v>
      </c>
      <c r="J706">
        <v>122.54600000000001</v>
      </c>
      <c r="K706" t="str">
        <f>HYPERLINK("http://geossdi.dmp.wa.gov.au/NVCLDataServices/mosaic.html?datasetid=965914d4-cf17-46fd-a20a-5f51470b245","CH15_wedge_Core Image")</f>
        <v>CH15_wedge_Core Image</v>
      </c>
    </row>
    <row r="707" spans="1:11" x14ac:dyDescent="0.25">
      <c r="A707" t="str">
        <f>HYPERLINK("http://www.corstruth.com.au/WA/CH16_cs.png","CH16_A4")</f>
        <v>CH16_A4</v>
      </c>
      <c r="B707" t="str">
        <f>HYPERLINK("http://www.corstruth.com.au/WA/PNG2/CH16_cs.png","CH16_0.25m Bins")</f>
        <v>CH16_0.25m Bins</v>
      </c>
      <c r="C707" t="str">
        <f>HYPERLINK("http://www.corstruth.com.au/WA/CSV/CH16.csv","CH16_CSV File 1m Bins")</f>
        <v>CH16_CSV File 1m Bins</v>
      </c>
      <c r="E707" t="s">
        <v>1</v>
      </c>
      <c r="G707" t="s">
        <v>623</v>
      </c>
      <c r="H707" t="s">
        <v>934</v>
      </c>
      <c r="I707">
        <v>-28.8687</v>
      </c>
      <c r="J707">
        <v>122.551</v>
      </c>
      <c r="K707" t="str">
        <f>HYPERLINK("http://geossdi.dmp.wa.gov.au/NVCLDataServices/mosaic.html?datasetid=044e26e2-2b48-445e-9ca2-479ac1e74e7","CH16_Core Image")</f>
        <v>CH16_Core Image</v>
      </c>
    </row>
    <row r="708" spans="1:11" x14ac:dyDescent="0.25">
      <c r="A708" t="str">
        <f>HYPERLINK("http://www.corstruth.com.au/WA/CH17_cs.png","CH17_A4")</f>
        <v>CH17_A4</v>
      </c>
      <c r="B708" t="str">
        <f>HYPERLINK("http://www.corstruth.com.au/WA/PNG2/CH17_cs.png","CH17_0.25m Bins")</f>
        <v>CH17_0.25m Bins</v>
      </c>
      <c r="C708" t="str">
        <f>HYPERLINK("http://www.corstruth.com.au/WA/CSV/CH17.csv","CH17_CSV File 1m Bins")</f>
        <v>CH17_CSV File 1m Bins</v>
      </c>
      <c r="E708" t="s">
        <v>1</v>
      </c>
      <c r="G708" t="s">
        <v>623</v>
      </c>
      <c r="H708" t="s">
        <v>934</v>
      </c>
      <c r="I708">
        <v>-28.8643</v>
      </c>
      <c r="J708">
        <v>122.545</v>
      </c>
      <c r="K708" t="str">
        <f>HYPERLINK("http://geossdi.dmp.wa.gov.au/NVCLDataServices/mosaic.html?datasetid=d1b07001-89dc-4bc1-80ec-a11dcf36690","CH17_Core Image")</f>
        <v>CH17_Core Image</v>
      </c>
    </row>
    <row r="709" spans="1:11" x14ac:dyDescent="0.25">
      <c r="A709" t="str">
        <f>HYPERLINK("http://www.corstruth.com.au/WA/MAD180W1_cs.png","MAD180W1_A4")</f>
        <v>MAD180W1_A4</v>
      </c>
      <c r="B709" t="str">
        <f>HYPERLINK("http://www.corstruth.com.au/WA/PNG2/MAD180W1_cs.png","MAD180W1_0.25m Bins")</f>
        <v>MAD180W1_0.25m Bins</v>
      </c>
      <c r="C709" t="str">
        <f>HYPERLINK("http://www.corstruth.com.au/WA/CSV/MAD180W1.csv","MAD180W1_CSV File 1m Bins")</f>
        <v>MAD180W1_CSV File 1m Bins</v>
      </c>
      <c r="D709" t="s">
        <v>935</v>
      </c>
      <c r="E709" t="s">
        <v>1</v>
      </c>
      <c r="G709" t="s">
        <v>623</v>
      </c>
      <c r="H709" t="s">
        <v>936</v>
      </c>
      <c r="I709">
        <v>-28.837800000000001</v>
      </c>
      <c r="J709">
        <v>120.248</v>
      </c>
      <c r="K709" t="str">
        <f>HYPERLINK("http://geossdi.dmp.wa.gov.au/NVCLDataServices/mosaic.html?datasetid=14a99c27-5e8a-48f4-a476-9a3018e7e68","MAD180W1_Core Image")</f>
        <v>MAD180W1_Core Image</v>
      </c>
    </row>
    <row r="710" spans="1:11" x14ac:dyDescent="0.25">
      <c r="A710" t="str">
        <f>HYPERLINK("http://www.corstruth.com.au/WA/MC982_cs.png","MC982_A4")</f>
        <v>MC982_A4</v>
      </c>
      <c r="B710" t="str">
        <f>HYPERLINK("http://www.corstruth.com.au/WA/PNG2/MC982_cs.png","MC982_0.25m Bins")</f>
        <v>MC982_0.25m Bins</v>
      </c>
      <c r="C710" t="str">
        <f>HYPERLINK("http://www.corstruth.com.au/WA/CSV/MC982.csv","MC982_CSV File 1m Bins")</f>
        <v>MC982_CSV File 1m Bins</v>
      </c>
      <c r="D710" t="s">
        <v>937</v>
      </c>
      <c r="E710" t="s">
        <v>1</v>
      </c>
      <c r="G710" t="s">
        <v>623</v>
      </c>
      <c r="H710" t="s">
        <v>938</v>
      </c>
      <c r="I710">
        <v>-30.744199999999999</v>
      </c>
      <c r="J710">
        <v>121.48</v>
      </c>
      <c r="K710" t="str">
        <f>HYPERLINK("http://geossdi.dmp.wa.gov.au/NVCLDataServices/mosaic.html?datasetid=6c4e19e9-824c-43d3-b06a-9a1c306d3b5","MC982_Core Image")</f>
        <v>MC982_Core Image</v>
      </c>
    </row>
    <row r="711" spans="1:11" x14ac:dyDescent="0.25">
      <c r="A711" t="str">
        <f>HYPERLINK("http://www.corstruth.com.au/WA/MTDD008_[Tray_1-34]_cs.png","MTDD008 [Tray 1-34]_A4")</f>
        <v>MTDD008 [Tray 1-34]_A4</v>
      </c>
      <c r="B711" t="str">
        <f>HYPERLINK("http://www.corstruth.com.au/WA/PNG2/MTDD008_[Tray_1-34]_cs.png","MTDD008 [Tray 1-34]_0.25m Bins")</f>
        <v>MTDD008 [Tray 1-34]_0.25m Bins</v>
      </c>
      <c r="C711" t="str">
        <f>HYPERLINK("http://www.corstruth.com.au/WA/CSV/MTDD008_[Tray_1-34].csv","MTDD008 [Tray 1-34]_CSV File 1m Bins")</f>
        <v>MTDD008 [Tray 1-34]_CSV File 1m Bins</v>
      </c>
      <c r="D711" t="s">
        <v>939</v>
      </c>
      <c r="E711" t="s">
        <v>1</v>
      </c>
      <c r="G711" t="s">
        <v>623</v>
      </c>
      <c r="H711" t="s">
        <v>940</v>
      </c>
      <c r="I711">
        <v>-32.102499999999999</v>
      </c>
      <c r="J711">
        <v>121.649</v>
      </c>
    </row>
    <row r="712" spans="1:11" x14ac:dyDescent="0.25">
      <c r="A712" t="str">
        <f>HYPERLINK("http://www.corstruth.com.au/WA/MTDD008_[wedge_Tray_212-283]_cs.png","MTDD008 [wedge Tray 212-283]_A4")</f>
        <v>MTDD008 [wedge Tray 212-283]_A4</v>
      </c>
      <c r="B712" t="str">
        <f>HYPERLINK("http://www.corstruth.com.au/WA/PNG2/MTDD008_[wedge_Tray_212-283]_cs.png","MTDD008 [wedge Tray 212-283]_0.25m Bins")</f>
        <v>MTDD008 [wedge Tray 212-283]_0.25m Bins</v>
      </c>
      <c r="C712" t="str">
        <f>HYPERLINK("http://www.corstruth.com.au/WA/CSV/MTDD008_[wedge_Tray_212-283].csv","MTDD008 [wedge Tray 212-283]_CSV File 1m Bins")</f>
        <v>MTDD008 [wedge Tray 212-283]_CSV File 1m Bins</v>
      </c>
      <c r="D712" t="s">
        <v>939</v>
      </c>
      <c r="E712" t="s">
        <v>1</v>
      </c>
      <c r="G712" t="s">
        <v>623</v>
      </c>
      <c r="H712" t="s">
        <v>940</v>
      </c>
      <c r="I712">
        <v>-32.102499999999999</v>
      </c>
      <c r="J712">
        <v>121.649</v>
      </c>
    </row>
    <row r="713" spans="1:11" x14ac:dyDescent="0.25">
      <c r="A713" t="str">
        <f>HYPERLINK("http://www.corstruth.com.au/WA/MTDD008_[wedge_Tray_35-211]_cs.png","MTDD008 [wedge Tray 35-211]_A4")</f>
        <v>MTDD008 [wedge Tray 35-211]_A4</v>
      </c>
      <c r="B713" t="str">
        <f>HYPERLINK("http://www.corstruth.com.au/WA/PNG2/MTDD008_[wedge_Tray_35-211]_cs.png","MTDD008 [wedge Tray 35-211]_0.25m Bins")</f>
        <v>MTDD008 [wedge Tray 35-211]_0.25m Bins</v>
      </c>
      <c r="C713" t="str">
        <f>HYPERLINK("http://www.corstruth.com.au/WA/CSV/MTDD008_[wedge_Tray_35-211].csv","MTDD008 [wedge Tray 35-211]_CSV File 1m Bins")</f>
        <v>MTDD008 [wedge Tray 35-211]_CSV File 1m Bins</v>
      </c>
      <c r="D713" t="s">
        <v>939</v>
      </c>
      <c r="E713" t="s">
        <v>1</v>
      </c>
      <c r="G713" t="s">
        <v>623</v>
      </c>
      <c r="H713" t="s">
        <v>940</v>
      </c>
      <c r="I713">
        <v>-32.102499999999999</v>
      </c>
      <c r="J713">
        <v>121.649</v>
      </c>
    </row>
    <row r="714" spans="1:11" x14ac:dyDescent="0.25">
      <c r="A714" t="str">
        <f>HYPERLINK("http://www.corstruth.com.au/WA/CH15_cs.png","CH15_A4")</f>
        <v>CH15_A4</v>
      </c>
      <c r="B714" t="str">
        <f>HYPERLINK("http://www.corstruth.com.au/WA/PNG2/CH15_cs.png","CH15_0.25m Bins")</f>
        <v>CH15_0.25m Bins</v>
      </c>
      <c r="C714" t="str">
        <f>HYPERLINK("http://www.corstruth.com.au/WA/CSV/CH15.csv","CH15_CSV File 1m Bins")</f>
        <v>CH15_CSV File 1m Bins</v>
      </c>
      <c r="D714" t="s">
        <v>59</v>
      </c>
      <c r="E714" t="s">
        <v>1</v>
      </c>
      <c r="G714" t="s">
        <v>623</v>
      </c>
      <c r="H714" t="s">
        <v>941</v>
      </c>
      <c r="I714">
        <v>-28.863199999999999</v>
      </c>
      <c r="J714">
        <v>122.54600000000001</v>
      </c>
      <c r="K714" t="str">
        <f>HYPERLINK("http://geossdi.dmp.wa.gov.au/NVCLDataServices/mosaic.html?datasetid=7edf86c5-53dd-4bdf-8f9a-c9b4a02865c","CH15_Core Image")</f>
        <v>CH15_Core Image</v>
      </c>
    </row>
    <row r="715" spans="1:11" x14ac:dyDescent="0.25">
      <c r="A715" t="str">
        <f>HYPERLINK("http://www.corstruth.com.au/WA/MWEX10270_cs.png","MWEX10270_A4")</f>
        <v>MWEX10270_A4</v>
      </c>
      <c r="B715" t="str">
        <f>HYPERLINK("http://www.corstruth.com.au/WA/PNG2/MWEX10270_cs.png","MWEX10270_0.25m Bins")</f>
        <v>MWEX10270_0.25m Bins</v>
      </c>
      <c r="C715" t="str">
        <f>HYPERLINK("http://www.corstruth.com.au/WA/CSV/MWEX10270.csv","MWEX10270_CSV File 1m Bins")</f>
        <v>MWEX10270_CSV File 1m Bins</v>
      </c>
      <c r="D715" t="s">
        <v>942</v>
      </c>
      <c r="E715" t="s">
        <v>1</v>
      </c>
      <c r="G715" t="s">
        <v>623</v>
      </c>
      <c r="H715" t="s">
        <v>943</v>
      </c>
      <c r="I715">
        <v>-28.8629</v>
      </c>
      <c r="J715">
        <v>122.547</v>
      </c>
      <c r="K715" t="str">
        <f>HYPERLINK("http://geossdi.dmp.wa.gov.au/NVCLDataServices/mosaic.html?datasetid=2ce5c539-52c3-4c20-9230-697574dc780","MWEX10270_Core Image")</f>
        <v>MWEX10270_Core Image</v>
      </c>
    </row>
    <row r="716" spans="1:11" x14ac:dyDescent="0.25">
      <c r="A716" t="str">
        <f>HYPERLINK("http://www.corstruth.com.au/WA/MTD004_cs.png","MTD004_A4")</f>
        <v>MTD004_A4</v>
      </c>
      <c r="B716" t="str">
        <f>HYPERLINK("http://www.corstruth.com.au/WA/PNG2/MTD004_cs.png","MTD004_0.25m Bins")</f>
        <v>MTD004_0.25m Bins</v>
      </c>
      <c r="C716" t="str">
        <f>HYPERLINK("http://www.corstruth.com.au/WA/CSV/MTD004.csv","MTD004_CSV File 1m Bins")</f>
        <v>MTD004_CSV File 1m Bins</v>
      </c>
      <c r="D716" t="s">
        <v>944</v>
      </c>
      <c r="E716" t="s">
        <v>1</v>
      </c>
      <c r="G716" t="s">
        <v>623</v>
      </c>
      <c r="H716" t="s">
        <v>945</v>
      </c>
      <c r="I716">
        <v>-29.915099999999999</v>
      </c>
      <c r="J716">
        <v>123.221</v>
      </c>
      <c r="K716" t="str">
        <f>HYPERLINK("http://geossdi.dmp.wa.gov.au/NVCLDataServices/mosaic.html?datasetid=fd0770b9-183c-4491-b131-a09b4126332","MTD004_Core Image")</f>
        <v>MTD004_Core Image</v>
      </c>
    </row>
    <row r="717" spans="1:11" x14ac:dyDescent="0.25">
      <c r="A717" t="str">
        <f>HYPERLINK("http://www.corstruth.com.au/WA/MTD005_cs.png","MTD005_A4")</f>
        <v>MTD005_A4</v>
      </c>
      <c r="B717" t="str">
        <f>HYPERLINK("http://www.corstruth.com.au/WA/PNG2/MTD005_cs.png","MTD005_0.25m Bins")</f>
        <v>MTD005_0.25m Bins</v>
      </c>
      <c r="C717" t="str">
        <f>HYPERLINK("http://www.corstruth.com.au/WA/CSV/MTD005.csv","MTD005_CSV File 1m Bins")</f>
        <v>MTD005_CSV File 1m Bins</v>
      </c>
      <c r="D717" t="s">
        <v>946</v>
      </c>
      <c r="E717" t="s">
        <v>1</v>
      </c>
      <c r="G717" t="s">
        <v>623</v>
      </c>
      <c r="H717" t="s">
        <v>945</v>
      </c>
      <c r="I717">
        <v>-29.9313</v>
      </c>
      <c r="J717">
        <v>123.18899999999999</v>
      </c>
      <c r="K717" t="str">
        <f>HYPERLINK("http://geossdi.dmp.wa.gov.au/NVCLDataServices/mosaic.html?datasetid=4b5ec85b-14a7-41ce-8ea1-0fc311d376c","MTD005_Core Image")</f>
        <v>MTD005_Core Image</v>
      </c>
    </row>
    <row r="718" spans="1:11" x14ac:dyDescent="0.25">
      <c r="A718" t="str">
        <f>HYPERLINK("http://www.corstruth.com.au/WA/MTD006_cs.png","MTD006_A4")</f>
        <v>MTD006_A4</v>
      </c>
      <c r="B718" t="str">
        <f>HYPERLINK("http://www.corstruth.com.au/WA/PNG2/MTD006_cs.png","MTD006_0.25m Bins")</f>
        <v>MTD006_0.25m Bins</v>
      </c>
      <c r="C718" t="str">
        <f>HYPERLINK("http://www.corstruth.com.au/WA/CSV/MTD006.csv","MTD006_CSV File 1m Bins")</f>
        <v>MTD006_CSV File 1m Bins</v>
      </c>
      <c r="D718" t="s">
        <v>947</v>
      </c>
      <c r="E718" t="s">
        <v>1</v>
      </c>
      <c r="G718" t="s">
        <v>623</v>
      </c>
      <c r="H718" t="s">
        <v>945</v>
      </c>
      <c r="I718">
        <v>-29.910900000000002</v>
      </c>
      <c r="J718">
        <v>123.184</v>
      </c>
      <c r="K718" t="str">
        <f>HYPERLINK("http://geossdi.dmp.wa.gov.au/NVCLDataServices/mosaic.html?datasetid=f0f2d7b7-ac6e-4ebf-b30a-f5f564c2f54","MTD006_Core Image")</f>
        <v>MTD006_Core Image</v>
      </c>
    </row>
    <row r="719" spans="1:11" x14ac:dyDescent="0.25">
      <c r="A719" t="str">
        <f>HYPERLINK("http://www.corstruth.com.au/WA/MTD007_cs.png","MTD007_A4")</f>
        <v>MTD007_A4</v>
      </c>
      <c r="B719" t="str">
        <f>HYPERLINK("http://www.corstruth.com.au/WA/PNG2/MTD007_cs.png","MTD007_0.25m Bins")</f>
        <v>MTD007_0.25m Bins</v>
      </c>
      <c r="C719" t="str">
        <f>HYPERLINK("http://www.corstruth.com.au/WA/CSV/MTD007.csv","MTD007_CSV File 1m Bins")</f>
        <v>MTD007_CSV File 1m Bins</v>
      </c>
      <c r="D719" t="s">
        <v>948</v>
      </c>
      <c r="E719" t="s">
        <v>1</v>
      </c>
      <c r="G719" t="s">
        <v>623</v>
      </c>
      <c r="H719" t="s">
        <v>945</v>
      </c>
      <c r="I719">
        <v>-29.9146</v>
      </c>
      <c r="J719">
        <v>123.223</v>
      </c>
      <c r="K719" t="str">
        <f>HYPERLINK("http://geossdi.dmp.wa.gov.au/NVCLDataServices/mosaic.html?datasetid=bce7a4fa-2634-4985-ae3e-68562fc9a24","MTD007_Core Image")</f>
        <v>MTD007_Core Image</v>
      </c>
    </row>
    <row r="720" spans="1:11" x14ac:dyDescent="0.25">
      <c r="A720" t="str">
        <f>HYPERLINK("http://www.corstruth.com.au/WA/MTD008_cs.png","MTD008_A4")</f>
        <v>MTD008_A4</v>
      </c>
      <c r="B720" t="str">
        <f>HYPERLINK("http://www.corstruth.com.au/WA/PNG2/MTD008_cs.png","MTD008_0.25m Bins")</f>
        <v>MTD008_0.25m Bins</v>
      </c>
      <c r="C720" t="str">
        <f>HYPERLINK("http://www.corstruth.com.au/WA/CSV/MTD008.csv","MTD008_CSV File 1m Bins")</f>
        <v>MTD008_CSV File 1m Bins</v>
      </c>
      <c r="D720" t="s">
        <v>949</v>
      </c>
      <c r="E720" t="s">
        <v>1</v>
      </c>
      <c r="G720" t="s">
        <v>623</v>
      </c>
      <c r="H720" t="s">
        <v>945</v>
      </c>
      <c r="I720">
        <v>-29.945499999999999</v>
      </c>
      <c r="J720">
        <v>123.18600000000001</v>
      </c>
      <c r="K720" t="str">
        <f>HYPERLINK("http://geossdi.dmp.wa.gov.au/NVCLDataServices/mosaic.html?datasetid=432c2927-2763-484b-ba26-90d9cb2719e","MTD008_Core Image")</f>
        <v>MTD008_Core Image</v>
      </c>
    </row>
    <row r="721" spans="1:11" x14ac:dyDescent="0.25">
      <c r="A721" t="str">
        <f>HYPERLINK("http://www.corstruth.com.au/WA/MTD009_cs.png","MTD009_A4")</f>
        <v>MTD009_A4</v>
      </c>
      <c r="B721" t="str">
        <f>HYPERLINK("http://www.corstruth.com.au/WA/PNG2/MTD009_cs.png","MTD009_0.25m Bins")</f>
        <v>MTD009_0.25m Bins</v>
      </c>
      <c r="C721" t="str">
        <f>HYPERLINK("http://www.corstruth.com.au/WA/CSV/MTD009.csv","MTD009_CSV File 1m Bins")</f>
        <v>MTD009_CSV File 1m Bins</v>
      </c>
      <c r="D721" t="s">
        <v>950</v>
      </c>
      <c r="E721" t="s">
        <v>1</v>
      </c>
      <c r="G721" t="s">
        <v>623</v>
      </c>
      <c r="H721" t="s">
        <v>945</v>
      </c>
      <c r="I721">
        <v>-29.941199999999998</v>
      </c>
      <c r="J721">
        <v>123.23</v>
      </c>
      <c r="K721" t="str">
        <f>HYPERLINK("http://geossdi.dmp.wa.gov.au/NVCLDataServices/mosaic.html?datasetid=afb6252c-2fde-42aa-8d26-821f00f7140","MTD009_Core Image")</f>
        <v>MTD009_Core Image</v>
      </c>
    </row>
    <row r="722" spans="1:11" x14ac:dyDescent="0.25">
      <c r="A722" t="str">
        <f>HYPERLINK("http://www.corstruth.com.au/WA/MTD010_cs.png","MTD010_A4")</f>
        <v>MTD010_A4</v>
      </c>
      <c r="B722" t="str">
        <f>HYPERLINK("http://www.corstruth.com.au/WA/PNG2/MTD010_cs.png","MTD010_0.25m Bins")</f>
        <v>MTD010_0.25m Bins</v>
      </c>
      <c r="C722" t="str">
        <f>HYPERLINK("http://www.corstruth.com.au/WA/CSV/MTD010.csv","MTD010_CSV File 1m Bins")</f>
        <v>MTD010_CSV File 1m Bins</v>
      </c>
      <c r="D722" t="s">
        <v>951</v>
      </c>
      <c r="E722" t="s">
        <v>1</v>
      </c>
      <c r="G722" t="s">
        <v>623</v>
      </c>
      <c r="H722" t="s">
        <v>945</v>
      </c>
      <c r="I722">
        <v>-29.915299999999998</v>
      </c>
      <c r="J722">
        <v>123.221</v>
      </c>
      <c r="K722" t="str">
        <f>HYPERLINK("http://geossdi.dmp.wa.gov.au/NVCLDataServices/mosaic.html?datasetid=aaf2a6fe-3951-4976-bcd5-8e4418d6ffc","MTD010_Core Image")</f>
        <v>MTD010_Core Image</v>
      </c>
    </row>
    <row r="723" spans="1:11" x14ac:dyDescent="0.25">
      <c r="A723" t="str">
        <f>HYPERLINK("http://www.corstruth.com.au/WA/MTD011_cs.png","MTD011_A4")</f>
        <v>MTD011_A4</v>
      </c>
      <c r="B723" t="str">
        <f>HYPERLINK("http://www.corstruth.com.au/WA/PNG2/MTD011_cs.png","MTD011_0.25m Bins")</f>
        <v>MTD011_0.25m Bins</v>
      </c>
      <c r="C723" t="str">
        <f>HYPERLINK("http://www.corstruth.com.au/WA/CSV/MTD011.csv","MTD011_CSV File 1m Bins")</f>
        <v>MTD011_CSV File 1m Bins</v>
      </c>
      <c r="D723" t="s">
        <v>952</v>
      </c>
      <c r="E723" t="s">
        <v>1</v>
      </c>
      <c r="G723" t="s">
        <v>623</v>
      </c>
      <c r="H723" t="s">
        <v>945</v>
      </c>
      <c r="I723">
        <v>-29.936800000000002</v>
      </c>
      <c r="J723">
        <v>123.22199999999999</v>
      </c>
      <c r="K723" t="str">
        <f>HYPERLINK("http://geossdi.dmp.wa.gov.au/NVCLDataServices/mosaic.html?datasetid=11d925d6-ee1c-4d4a-98ea-9700c79bfca","MTD011_Core Image")</f>
        <v>MTD011_Core Image</v>
      </c>
    </row>
    <row r="724" spans="1:11" x14ac:dyDescent="0.25">
      <c r="A724" t="str">
        <f>HYPERLINK("http://www.corstruth.com.au/WA/MCPDH0001_cs.png","MCPDH0001_A4")</f>
        <v>MCPDH0001_A4</v>
      </c>
      <c r="B724" t="str">
        <f>HYPERLINK("http://www.corstruth.com.au/WA/PNG2/MCPDH0001_cs.png","MCPDH0001_0.25m Bins")</f>
        <v>MCPDH0001_0.25m Bins</v>
      </c>
      <c r="C724" t="str">
        <f>HYPERLINK("http://www.corstruth.com.au/WA/CSV/MCPDH0001.csv","MCPDH0001_CSV File 1m Bins")</f>
        <v>MCPDH0001_CSV File 1m Bins</v>
      </c>
      <c r="D724" t="s">
        <v>953</v>
      </c>
      <c r="E724" t="s">
        <v>1</v>
      </c>
      <c r="G724" t="s">
        <v>623</v>
      </c>
      <c r="H724" t="s">
        <v>954</v>
      </c>
      <c r="I724">
        <v>-28.7012</v>
      </c>
      <c r="J724">
        <v>121.26900000000001</v>
      </c>
      <c r="K724" t="str">
        <f>HYPERLINK("http://geossdi.dmp.wa.gov.au/NVCLDataServices/mosaic.html?datasetid=bd95a063-29f0-4ba8-8512-fbbe0f5de58","MCPDH0001_Core Image")</f>
        <v>MCPDH0001_Core Image</v>
      </c>
    </row>
    <row r="725" spans="1:11" x14ac:dyDescent="0.25">
      <c r="A725" t="str">
        <f>HYPERLINK("http://www.corstruth.com.au/WA/MCPDH0002_cs.png","MCPDH0002_A4")</f>
        <v>MCPDH0002_A4</v>
      </c>
      <c r="B725" t="str">
        <f>HYPERLINK("http://www.corstruth.com.au/WA/PNG2/MCPDH0002_cs.png","MCPDH0002_0.25m Bins")</f>
        <v>MCPDH0002_0.25m Bins</v>
      </c>
      <c r="C725" t="str">
        <f>HYPERLINK("http://www.corstruth.com.au/WA/CSV/MCPDH0002.csv","MCPDH0002_CSV File 1m Bins")</f>
        <v>MCPDH0002_CSV File 1m Bins</v>
      </c>
      <c r="D725" t="s">
        <v>955</v>
      </c>
      <c r="E725" t="s">
        <v>1</v>
      </c>
      <c r="G725" t="s">
        <v>623</v>
      </c>
      <c r="H725" t="s">
        <v>954</v>
      </c>
      <c r="I725">
        <v>-28.700199999999999</v>
      </c>
      <c r="J725">
        <v>121.26900000000001</v>
      </c>
      <c r="K725" t="str">
        <f>HYPERLINK("http://geossdi.dmp.wa.gov.au/NVCLDataServices/mosaic.html?datasetid=c8d64e54-8bfc-4200-8c7b-3cd7b08cca3","MCPDH0002_Core Image")</f>
        <v>MCPDH0002_Core Image</v>
      </c>
    </row>
    <row r="726" spans="1:11" x14ac:dyDescent="0.25">
      <c r="A726" t="str">
        <f>HYPERLINK("http://www.corstruth.com.au/WA/NBDD001_cs.png","NBDD001_A4")</f>
        <v>NBDD001_A4</v>
      </c>
      <c r="B726" t="str">
        <f>HYPERLINK("http://www.corstruth.com.au/WA/PNG2/NBDD001_cs.png","NBDD001_0.25m Bins")</f>
        <v>NBDD001_0.25m Bins</v>
      </c>
      <c r="C726" t="str">
        <f>HYPERLINK("http://www.corstruth.com.au/WA/CSV/NBDD001.csv","NBDD001_CSV File 1m Bins")</f>
        <v>NBDD001_CSV File 1m Bins</v>
      </c>
      <c r="D726" t="s">
        <v>956</v>
      </c>
      <c r="E726" t="s">
        <v>1</v>
      </c>
      <c r="G726" t="s">
        <v>623</v>
      </c>
      <c r="H726" t="s">
        <v>957</v>
      </c>
      <c r="I726">
        <v>-28.3949</v>
      </c>
      <c r="J726">
        <v>121.55800000000001</v>
      </c>
      <c r="K726" t="str">
        <f>HYPERLINK("http://geossdi.dmp.wa.gov.au/NVCLDataServices/mosaic.html?datasetid=c24c7ae1-f772-417f-bdbf-ba9a2a5fcc6","NBDD001_Core Image")</f>
        <v>NBDD001_Core Image</v>
      </c>
    </row>
    <row r="727" spans="1:11" x14ac:dyDescent="0.25">
      <c r="A727" t="str">
        <f>HYPERLINK("http://www.corstruth.com.au/WA/NBRC112D_cs.png","NBRC112D_A4")</f>
        <v>NBRC112D_A4</v>
      </c>
      <c r="B727" t="str">
        <f>HYPERLINK("http://www.corstruth.com.au/WA/PNG2/NBRC112D_cs.png","NBRC112D_0.25m Bins")</f>
        <v>NBRC112D_0.25m Bins</v>
      </c>
      <c r="C727" t="str">
        <f>HYPERLINK("http://www.corstruth.com.au/WA/CSV/NBRC112D.csv","NBRC112D_CSV File 1m Bins")</f>
        <v>NBRC112D_CSV File 1m Bins</v>
      </c>
      <c r="D727" t="s">
        <v>958</v>
      </c>
      <c r="E727" t="s">
        <v>1</v>
      </c>
      <c r="G727" t="s">
        <v>623</v>
      </c>
      <c r="H727" t="s">
        <v>957</v>
      </c>
      <c r="I727">
        <v>-28.395199999999999</v>
      </c>
      <c r="J727">
        <v>121.55800000000001</v>
      </c>
      <c r="K727" t="str">
        <f>HYPERLINK("http://geossdi.dmp.wa.gov.au/NVCLDataServices/mosaic.html?datasetid=cb31ed8f-b2cc-4b28-857e-d0303bbf785","NBRC112D_Core Image")</f>
        <v>NBRC112D_Core Image</v>
      </c>
    </row>
    <row r="728" spans="1:11" x14ac:dyDescent="0.25">
      <c r="A728" t="str">
        <f>HYPERLINK("http://www.corstruth.com.au/WA/UG340_cs.png","UG340_A4")</f>
        <v>UG340_A4</v>
      </c>
      <c r="B728" t="str">
        <f>HYPERLINK("http://www.corstruth.com.au/WA/PNG2/UG340_cs.png","UG340_0.25m Bins")</f>
        <v>UG340_0.25m Bins</v>
      </c>
      <c r="C728" t="str">
        <f>HYPERLINK("http://www.corstruth.com.au/WA/CSV/UG340.csv","UG340_CSV File 1m Bins")</f>
        <v>UG340_CSV File 1m Bins</v>
      </c>
      <c r="D728" t="s">
        <v>959</v>
      </c>
      <c r="E728" t="s">
        <v>1</v>
      </c>
      <c r="G728" t="s">
        <v>623</v>
      </c>
      <c r="H728" t="s">
        <v>960</v>
      </c>
      <c r="I728">
        <v>-31.1252</v>
      </c>
      <c r="J728">
        <v>121.09099999999999</v>
      </c>
      <c r="K728" t="str">
        <f>HYPERLINK("http://geossdi.dmp.wa.gov.au/NVCLDataServices/mosaic.html?datasetid=f481872d-012f-4c0a-90ad-f26e0960353","UG340_Core Image")</f>
        <v>UG340_Core Image</v>
      </c>
    </row>
    <row r="729" spans="1:11" x14ac:dyDescent="0.25">
      <c r="A729" t="str">
        <f>HYPERLINK("http://www.corstruth.com.au/WA/GTC_8400_02_cs.png","GTC_8400_02_A4")</f>
        <v>GTC_8400_02_A4</v>
      </c>
      <c r="B729" t="str">
        <f>HYPERLINK("http://www.corstruth.com.au/WA/PNG2/GTC_8400_02_cs.png","GTC_8400_02_0.25m Bins")</f>
        <v>GTC_8400_02_0.25m Bins</v>
      </c>
      <c r="C729" t="str">
        <f>HYPERLINK("http://www.corstruth.com.au/WA/CSV/GTC_8400_02.csv","GTC_8400_02_CSV File 1m Bins")</f>
        <v>GTC_8400_02_CSV File 1m Bins</v>
      </c>
      <c r="D729" t="s">
        <v>961</v>
      </c>
      <c r="E729" t="s">
        <v>1</v>
      </c>
      <c r="G729" t="s">
        <v>623</v>
      </c>
      <c r="H729" t="s">
        <v>962</v>
      </c>
      <c r="I729">
        <v>-31.0809</v>
      </c>
      <c r="J729">
        <v>121.432</v>
      </c>
      <c r="K729" t="str">
        <f>HYPERLINK("http://geossdi.dmp.wa.gov.au/NVCLDataServices/mosaic.html?datasetid=83ff88f8-9119-4d31-ae25-b5cac548850","GTC_8400_02_Core Image")</f>
        <v>GTC_8400_02_Core Image</v>
      </c>
    </row>
    <row r="730" spans="1:11" x14ac:dyDescent="0.25">
      <c r="A730" t="str">
        <f>HYPERLINK("http://www.corstruth.com.au/WA/HBC1150-18_cs.png","HBC1150-18_A4")</f>
        <v>HBC1150-18_A4</v>
      </c>
      <c r="B730" t="str">
        <f>HYPERLINK("http://www.corstruth.com.au/WA/PNG2/HBC1150-18_cs.png","HBC1150-18_0.25m Bins")</f>
        <v>HBC1150-18_0.25m Bins</v>
      </c>
      <c r="C730" t="str">
        <f>HYPERLINK("http://www.corstruth.com.au/WA/CSV/HBC1150-18.csv","HBC1150-18_CSV File 1m Bins")</f>
        <v>HBC1150-18_CSV File 1m Bins</v>
      </c>
      <c r="D730" t="s">
        <v>963</v>
      </c>
      <c r="E730" t="s">
        <v>1</v>
      </c>
      <c r="G730" t="s">
        <v>623</v>
      </c>
      <c r="H730" t="s">
        <v>964</v>
      </c>
      <c r="I730">
        <v>-31.0809</v>
      </c>
      <c r="J730">
        <v>121.432</v>
      </c>
      <c r="K730" t="str">
        <f>HYPERLINK("http://geossdi.dmp.wa.gov.au/NVCLDataServices/mosaic.html?datasetid=f078428c-b068-48e4-a11c-d9ea4ece5b1","HBC1150-18_Core Image")</f>
        <v>HBC1150-18_Core Image</v>
      </c>
    </row>
    <row r="731" spans="1:11" x14ac:dyDescent="0.25">
      <c r="A731" t="str">
        <f>HYPERLINK("http://www.corstruth.com.au/WA/DW001_cs.png","DW001_A4")</f>
        <v>DW001_A4</v>
      </c>
      <c r="B731" t="str">
        <f>HYPERLINK("http://www.corstruth.com.au/WA/PNG2/DW001_cs.png","DW001_0.25m Bins")</f>
        <v>DW001_0.25m Bins</v>
      </c>
      <c r="C731" t="str">
        <f>HYPERLINK("http://www.corstruth.com.au/WA/CSV/DW001.csv","DW001_CSV File 1m Bins")</f>
        <v>DW001_CSV File 1m Bins</v>
      </c>
      <c r="D731" t="s">
        <v>965</v>
      </c>
      <c r="E731" t="s">
        <v>1</v>
      </c>
      <c r="G731" t="s">
        <v>623</v>
      </c>
      <c r="H731" t="s">
        <v>966</v>
      </c>
      <c r="I731">
        <v>-32.080100000000002</v>
      </c>
      <c r="J731">
        <v>121.899</v>
      </c>
      <c r="K731" t="str">
        <f>HYPERLINK("http://geossdi.dmp.wa.gov.au/NVCLDataServices/mosaic.html?datasetid=2c3b77c5-05ef-4a24-ab38-a529e45e0bd","DW001_Core Image")</f>
        <v>DW001_Core Image</v>
      </c>
    </row>
    <row r="732" spans="1:11" x14ac:dyDescent="0.25">
      <c r="A732" t="str">
        <f>HYPERLINK("http://www.corstruth.com.au/WA/DW002_cs.png","DW002_A4")</f>
        <v>DW002_A4</v>
      </c>
      <c r="B732" t="str">
        <f>HYPERLINK("http://www.corstruth.com.au/WA/PNG2/DW002_cs.png","DW002_0.25m Bins")</f>
        <v>DW002_0.25m Bins</v>
      </c>
      <c r="C732" t="str">
        <f>HYPERLINK("http://www.corstruth.com.au/WA/CSV/DW002.csv","DW002_CSV File 1m Bins")</f>
        <v>DW002_CSV File 1m Bins</v>
      </c>
      <c r="D732" t="s">
        <v>967</v>
      </c>
      <c r="E732" t="s">
        <v>1</v>
      </c>
      <c r="G732" t="s">
        <v>623</v>
      </c>
      <c r="H732" t="s">
        <v>966</v>
      </c>
      <c r="I732">
        <v>-32.080100000000002</v>
      </c>
      <c r="J732">
        <v>121.898</v>
      </c>
      <c r="K732" t="str">
        <f>HYPERLINK("http://geossdi.dmp.wa.gov.au/NVCLDataServices/mosaic.html?datasetid=39c381bd-9da4-4d73-b5a5-bab775ad33c","DW002_Core Image")</f>
        <v>DW002_Core Image</v>
      </c>
    </row>
    <row r="733" spans="1:11" x14ac:dyDescent="0.25">
      <c r="A733" t="str">
        <f>HYPERLINK("http://www.corstruth.com.au/WA/NBDH010_cs.png","NBDH010_A4")</f>
        <v>NBDH010_A4</v>
      </c>
      <c r="B733" t="str">
        <f>HYPERLINK("http://www.corstruth.com.au/WA/PNG2/NBDH010_cs.png","NBDH010_0.25m Bins")</f>
        <v>NBDH010_0.25m Bins</v>
      </c>
      <c r="C733" t="str">
        <f>HYPERLINK("http://www.corstruth.com.au/WA/CSV/NBDH010.csv","NBDH010_CSV File 1m Bins")</f>
        <v>NBDH010_CSV File 1m Bins</v>
      </c>
      <c r="D733" t="s">
        <v>968</v>
      </c>
      <c r="E733" t="s">
        <v>1</v>
      </c>
      <c r="G733" t="s">
        <v>623</v>
      </c>
      <c r="H733" t="s">
        <v>969</v>
      </c>
      <c r="I733">
        <v>-30.7883</v>
      </c>
      <c r="J733">
        <v>121.654</v>
      </c>
      <c r="K733" t="str">
        <f>HYPERLINK("http://geossdi.dmp.wa.gov.au/NVCLDataServices/mosaic.html?datasetid=cf9ad596-06f8-473a-bcfd-e8cc5de1c22","NBDH010_Core Image")</f>
        <v>NBDH010_Core Image</v>
      </c>
    </row>
    <row r="734" spans="1:11" x14ac:dyDescent="0.25">
      <c r="A734" t="str">
        <f>HYPERLINK("http://www.corstruth.com.au/WA/NBDH035_cs.png","NBDH035_A4")</f>
        <v>NBDH035_A4</v>
      </c>
      <c r="B734" t="str">
        <f>HYPERLINK("http://www.corstruth.com.au/WA/PNG2/NBDH035_cs.png","NBDH035_0.25m Bins")</f>
        <v>NBDH035_0.25m Bins</v>
      </c>
      <c r="C734" t="str">
        <f>HYPERLINK("http://www.corstruth.com.au/WA/CSV/NBDH035.csv","NBDH035_CSV File 1m Bins")</f>
        <v>NBDH035_CSV File 1m Bins</v>
      </c>
      <c r="D734" t="s">
        <v>970</v>
      </c>
      <c r="E734" t="s">
        <v>1</v>
      </c>
      <c r="G734" t="s">
        <v>623</v>
      </c>
      <c r="H734" t="s">
        <v>971</v>
      </c>
      <c r="I734">
        <v>-30.787700000000001</v>
      </c>
      <c r="J734">
        <v>121.649</v>
      </c>
      <c r="K734" t="str">
        <f>HYPERLINK("http://geossdi.dmp.wa.gov.au/NVCLDataServices/mosaic.html?datasetid=2be8f215-cd93-44d6-b41c-d6fac5bc8cc","NBDH035_Core Image")</f>
        <v>NBDH035_Core Image</v>
      </c>
    </row>
    <row r="735" spans="1:11" x14ac:dyDescent="0.25">
      <c r="A735" t="str">
        <f>HYPERLINK("http://www.corstruth.com.au/WA/NSDDH6_cs.png","NSDDH6_A4")</f>
        <v>NSDDH6_A4</v>
      </c>
      <c r="B735" t="str">
        <f>HYPERLINK("http://www.corstruth.com.au/WA/PNG2/NSDDH6_cs.png","NSDDH6_0.25m Bins")</f>
        <v>NSDDH6_0.25m Bins</v>
      </c>
      <c r="C735" t="str">
        <f>HYPERLINK("http://www.corstruth.com.au/WA/CSV/NSDDH6.csv","NSDDH6_CSV File 1m Bins")</f>
        <v>NSDDH6_CSV File 1m Bins</v>
      </c>
      <c r="D735" t="s">
        <v>972</v>
      </c>
      <c r="E735" t="s">
        <v>1</v>
      </c>
      <c r="G735" t="s">
        <v>623</v>
      </c>
      <c r="H735" t="s">
        <v>973</v>
      </c>
      <c r="I735">
        <v>-28.924099999999999</v>
      </c>
      <c r="J735">
        <v>121.505</v>
      </c>
      <c r="K735" t="str">
        <f>HYPERLINK("http://geossdi.dmp.wa.gov.au/NVCLDataServices/mosaic.html?datasetid=32c493ca-5b05-4177-863b-618c5f5abde","NSDDH6_Core Image")</f>
        <v>NSDDH6_Core Image</v>
      </c>
    </row>
    <row r="736" spans="1:11" x14ac:dyDescent="0.25">
      <c r="A736" t="str">
        <f>HYPERLINK("http://www.corstruth.com.au/WA/OBDDH2_cs.png","OBDDH2_A4")</f>
        <v>OBDDH2_A4</v>
      </c>
      <c r="B736" t="str">
        <f>HYPERLINK("http://www.corstruth.com.au/WA/PNG2/OBDDH2_cs.png","OBDDH2_0.25m Bins")</f>
        <v>OBDDH2_0.25m Bins</v>
      </c>
      <c r="C736" t="str">
        <f>HYPERLINK("http://www.corstruth.com.au/WA/CSV/OBDDH2.csv","OBDDH2_CSV File 1m Bins")</f>
        <v>OBDDH2_CSV File 1m Bins</v>
      </c>
      <c r="D736" t="s">
        <v>974</v>
      </c>
      <c r="E736" t="s">
        <v>1</v>
      </c>
      <c r="G736" t="s">
        <v>623</v>
      </c>
      <c r="H736" t="s">
        <v>975</v>
      </c>
      <c r="I736">
        <v>-30.436499999999999</v>
      </c>
      <c r="J736">
        <v>121.047</v>
      </c>
      <c r="K736" t="str">
        <f>HYPERLINK("http://geossdi.dmp.wa.gov.au/NVCLDataServices/mosaic.html?datasetid=95c84b69-2672-4bcb-89f6-1642ff2bc43","OBDDH2_Core Image")</f>
        <v>OBDDH2_Core Image</v>
      </c>
    </row>
    <row r="737" spans="1:11" x14ac:dyDescent="0.25">
      <c r="A737" t="str">
        <f>HYPERLINK("http://www.corstruth.com.au/WA/17DD003_cs.png","17DD003_A4")</f>
        <v>17DD003_A4</v>
      </c>
      <c r="B737" t="str">
        <f>HYPERLINK("http://www.corstruth.com.au/WA/PNG2/17DD003_cs.png","17DD003_0.25m Bins")</f>
        <v>17DD003_0.25m Bins</v>
      </c>
      <c r="C737" t="str">
        <f>HYPERLINK("http://www.corstruth.com.au/WA/CSV/17DD003.csv","17DD003_CSV File 1m Bins")</f>
        <v>17DD003_CSV File 1m Bins</v>
      </c>
      <c r="D737" t="s">
        <v>976</v>
      </c>
      <c r="E737" t="s">
        <v>1</v>
      </c>
      <c r="G737" t="s">
        <v>623</v>
      </c>
      <c r="H737" t="s">
        <v>977</v>
      </c>
      <c r="I737">
        <v>-31.587599999999998</v>
      </c>
      <c r="J737">
        <v>121.971</v>
      </c>
      <c r="K737" t="str">
        <f>HYPERLINK("http://geossdi.dmp.wa.gov.au/NVCLDataServices/mosaic.html?datasetid=20ac8c87-0931-4e94-9261-c7dd4d3b84d","17DD003_Core Image")</f>
        <v>17DD003_Core Image</v>
      </c>
    </row>
    <row r="738" spans="1:11" x14ac:dyDescent="0.25">
      <c r="A738" t="str">
        <f>HYPERLINK("http://www.corstruth.com.au/WA/LPU976-20_cs.png","LPU976-20_A4")</f>
        <v>LPU976-20_A4</v>
      </c>
      <c r="B738" t="str">
        <f>HYPERLINK("http://www.corstruth.com.au/WA/PNG2/LPU976-20_cs.png","LPU976-20_0.25m Bins")</f>
        <v>LPU976-20_0.25m Bins</v>
      </c>
      <c r="C738" t="str">
        <f>HYPERLINK("http://www.corstruth.com.au/WA/CSV/LPU976-20.csv","LPU976-20_CSV File 1m Bins")</f>
        <v>LPU976-20_CSV File 1m Bins</v>
      </c>
      <c r="D738" t="s">
        <v>978</v>
      </c>
      <c r="E738" t="s">
        <v>1</v>
      </c>
      <c r="G738" t="s">
        <v>623</v>
      </c>
      <c r="H738" t="s">
        <v>979</v>
      </c>
      <c r="I738">
        <v>-27.819500000000001</v>
      </c>
      <c r="J738">
        <v>120.70399999999999</v>
      </c>
      <c r="K738" t="str">
        <f>HYPERLINK("http://geossdi.dmp.wa.gov.au/NVCLDataServices/mosaic.html?datasetid=07549f75-4058-4fb1-b050-e0ac71b778b","LPU976-20_Core Image")</f>
        <v>LPU976-20_Core Image</v>
      </c>
    </row>
    <row r="739" spans="1:11" x14ac:dyDescent="0.25">
      <c r="A739" t="str">
        <f>HYPERLINK("http://www.corstruth.com.au/WA/PDD162_cs.png","PDD162_A4")</f>
        <v>PDD162_A4</v>
      </c>
      <c r="B739" t="str">
        <f>HYPERLINK("http://www.corstruth.com.au/WA/PNG2/PDD162_cs.png","PDD162_0.25m Bins")</f>
        <v>PDD162_0.25m Bins</v>
      </c>
      <c r="C739" t="str">
        <f>HYPERLINK("http://www.corstruth.com.au/WA/CSV/PDD162.csv","PDD162_CSV File 1m Bins")</f>
        <v>PDD162_CSV File 1m Bins</v>
      </c>
      <c r="D739" t="s">
        <v>980</v>
      </c>
      <c r="E739" t="s">
        <v>1</v>
      </c>
      <c r="G739" t="s">
        <v>623</v>
      </c>
      <c r="H739" t="s">
        <v>981</v>
      </c>
      <c r="I739">
        <v>-31.910499999999999</v>
      </c>
      <c r="J739">
        <v>121.637</v>
      </c>
      <c r="K739" t="str">
        <f>HYPERLINK("http://geossdi.dmp.wa.gov.au/NVCLDataServices/mosaic.html?datasetid=d3468d69-6893-47b3-b9de-ddd29898a11","PDD162_Core Image")</f>
        <v>PDD162_Core Image</v>
      </c>
    </row>
    <row r="740" spans="1:11" x14ac:dyDescent="0.25">
      <c r="A740" t="str">
        <f>HYPERLINK("http://www.corstruth.com.au/WA/PDD174_cs.png","PDD174_A4")</f>
        <v>PDD174_A4</v>
      </c>
      <c r="B740" t="str">
        <f>HYPERLINK("http://www.corstruth.com.au/WA/PNG2/PDD174_cs.png","PDD174_0.25m Bins")</f>
        <v>PDD174_0.25m Bins</v>
      </c>
      <c r="C740" t="str">
        <f>HYPERLINK("http://www.corstruth.com.au/WA/CSV/PDD174.csv","PDD174_CSV File 1m Bins")</f>
        <v>PDD174_CSV File 1m Bins</v>
      </c>
      <c r="D740" t="s">
        <v>982</v>
      </c>
      <c r="E740" t="s">
        <v>1</v>
      </c>
      <c r="G740" t="s">
        <v>623</v>
      </c>
      <c r="H740" t="s">
        <v>981</v>
      </c>
      <c r="I740">
        <v>-31.910299999999999</v>
      </c>
      <c r="J740">
        <v>121.637</v>
      </c>
      <c r="K740" t="str">
        <f>HYPERLINK("http://geossdi.dmp.wa.gov.au/NVCLDataServices/mosaic.html?datasetid=b18588b8-a8ca-4978-8f12-6b773977927","PDD174_Core Image")</f>
        <v>PDD174_Core Image</v>
      </c>
    </row>
    <row r="741" spans="1:11" x14ac:dyDescent="0.25">
      <c r="A741" t="str">
        <f>HYPERLINK("http://www.corstruth.com.au/WA/PDD179_cs.png","PDD179_A4")</f>
        <v>PDD179_A4</v>
      </c>
      <c r="B741" t="str">
        <f>HYPERLINK("http://www.corstruth.com.au/WA/PNG2/PDD179_cs.png","PDD179_0.25m Bins")</f>
        <v>PDD179_0.25m Bins</v>
      </c>
      <c r="C741" t="str">
        <f>HYPERLINK("http://www.corstruth.com.au/WA/CSV/PDD179.csv","PDD179_CSV File 1m Bins")</f>
        <v>PDD179_CSV File 1m Bins</v>
      </c>
      <c r="D741" t="s">
        <v>983</v>
      </c>
      <c r="E741" t="s">
        <v>1</v>
      </c>
      <c r="G741" t="s">
        <v>623</v>
      </c>
      <c r="H741" t="s">
        <v>981</v>
      </c>
      <c r="I741">
        <v>-31.909700000000001</v>
      </c>
      <c r="J741">
        <v>121.637</v>
      </c>
      <c r="K741" t="str">
        <f>HYPERLINK("http://geossdi.dmp.wa.gov.au/NVCLDataServices/mosaic.html?datasetid=3fe56020-c826-4a09-96e2-31f27a91e93","PDD179_Core Image")</f>
        <v>PDD179_Core Image</v>
      </c>
    </row>
    <row r="742" spans="1:11" x14ac:dyDescent="0.25">
      <c r="A742" t="str">
        <f>HYPERLINK("http://www.corstruth.com.au/WA/SPBD0363_cs.png","SPBD0363_A4")</f>
        <v>SPBD0363_A4</v>
      </c>
      <c r="B742" t="str">
        <f>HYPERLINK("http://www.corstruth.com.au/WA/PNG2/SPBD0363_cs.png","SPBD0363_0.25m Bins")</f>
        <v>SPBD0363_0.25m Bins</v>
      </c>
      <c r="C742" t="str">
        <f>HYPERLINK("http://www.corstruth.com.au/WA/CSV/SPBD0363.csv","SPBD0363_CSV File 1m Bins")</f>
        <v>SPBD0363_CSV File 1m Bins</v>
      </c>
      <c r="D742" t="s">
        <v>984</v>
      </c>
      <c r="E742" t="s">
        <v>1</v>
      </c>
      <c r="G742" t="s">
        <v>623</v>
      </c>
      <c r="H742" t="s">
        <v>985</v>
      </c>
      <c r="I742">
        <v>-31.878799999999998</v>
      </c>
      <c r="J742">
        <v>121.825</v>
      </c>
      <c r="K742" t="str">
        <f>HYPERLINK("http://geossdi.dmp.wa.gov.au/NVCLDataServices/mosaic.html?datasetid=29cc47bf-435f-4909-ba5f-06c64163bb2","SPBD0363_Core Image")</f>
        <v>SPBD0363_Core Image</v>
      </c>
    </row>
    <row r="743" spans="1:11" x14ac:dyDescent="0.25">
      <c r="A743" t="str">
        <f>HYPERLINK("http://www.corstruth.com.au/WA/PC2_cs.png","PC2_A4")</f>
        <v>PC2_A4</v>
      </c>
      <c r="B743" t="str">
        <f>HYPERLINK("http://www.corstruth.com.au/WA/PNG2/PC2_cs.png","PC2_0.25m Bins")</f>
        <v>PC2_0.25m Bins</v>
      </c>
      <c r="C743" t="str">
        <f>HYPERLINK("http://www.corstruth.com.au/WA/CSV/PC2.csv","PC2_CSV File 1m Bins")</f>
        <v>PC2_CSV File 1m Bins</v>
      </c>
      <c r="D743" t="s">
        <v>986</v>
      </c>
      <c r="E743" t="s">
        <v>1</v>
      </c>
      <c r="G743" t="s">
        <v>623</v>
      </c>
      <c r="H743" t="s">
        <v>987</v>
      </c>
      <c r="I743">
        <v>-30.5441</v>
      </c>
      <c r="J743">
        <v>123.259</v>
      </c>
      <c r="K743" t="str">
        <f>HYPERLINK("http://geossdi.dmp.wa.gov.au/NVCLDataServices/mosaic.html?datasetid=71401567-5ea4-4076-8f1f-e548c545fd1","PC2_Core Image")</f>
        <v>PC2_Core Image</v>
      </c>
    </row>
    <row r="744" spans="1:11" x14ac:dyDescent="0.25">
      <c r="A744" t="str">
        <f>HYPERLINK("http://www.corstruth.com.au/WA/QGCD690_cs.png","QGCD690_A4")</f>
        <v>QGCD690_A4</v>
      </c>
      <c r="B744" t="str">
        <f>HYPERLINK("http://www.corstruth.com.au/WA/PNG2/QGCD690_cs.png","QGCD690_0.25m Bins")</f>
        <v>QGCD690_0.25m Bins</v>
      </c>
      <c r="C744" t="str">
        <f>HYPERLINK("http://www.corstruth.com.au/WA/CSV/QGCD690.csv","QGCD690_CSV File 1m Bins")</f>
        <v>QGCD690_CSV File 1m Bins</v>
      </c>
      <c r="D744" t="s">
        <v>988</v>
      </c>
      <c r="E744" t="s">
        <v>1</v>
      </c>
      <c r="G744" t="s">
        <v>623</v>
      </c>
      <c r="H744" t="s">
        <v>989</v>
      </c>
      <c r="I744">
        <v>-30.5288</v>
      </c>
      <c r="J744">
        <v>121.235</v>
      </c>
      <c r="K744" t="str">
        <f>HYPERLINK("http://geossdi.dmp.wa.gov.au/NVCLDataServices/mosaic.html?datasetid=82232c2c-d214-45c4-bee6-993f40b903b","QGCD690_Core Image")</f>
        <v>QGCD690_Core Image</v>
      </c>
    </row>
    <row r="745" spans="1:11" x14ac:dyDescent="0.25">
      <c r="A745" t="str">
        <f>HYPERLINK("http://www.corstruth.com.au/WA/18QMDD001_cs.png","18QMDD001_A4")</f>
        <v>18QMDD001_A4</v>
      </c>
      <c r="B745" t="str">
        <f>HYPERLINK("http://www.corstruth.com.au/WA/PNG2/18QMDD001_cs.png","18QMDD001_0.25m Bins")</f>
        <v>18QMDD001_0.25m Bins</v>
      </c>
      <c r="C745" t="str">
        <f>HYPERLINK("http://www.corstruth.com.au/WA/CSV/18QMDD001.csv","18QMDD001_CSV File 1m Bins")</f>
        <v>18QMDD001_CSV File 1m Bins</v>
      </c>
      <c r="D745" t="s">
        <v>990</v>
      </c>
      <c r="E745" t="s">
        <v>1</v>
      </c>
      <c r="G745" t="s">
        <v>623</v>
      </c>
      <c r="H745" t="s">
        <v>991</v>
      </c>
      <c r="I745">
        <v>-30.751000000000001</v>
      </c>
      <c r="J745">
        <v>121.773</v>
      </c>
    </row>
    <row r="746" spans="1:11" x14ac:dyDescent="0.25">
      <c r="A746" t="str">
        <f>HYPERLINK("http://www.corstruth.com.au/WA/18QMDD002_cs.png","18QMDD002_A4")</f>
        <v>18QMDD002_A4</v>
      </c>
      <c r="B746" t="str">
        <f>HYPERLINK("http://www.corstruth.com.au/WA/PNG2/18QMDD002_cs.png","18QMDD002_0.25m Bins")</f>
        <v>18QMDD002_0.25m Bins</v>
      </c>
      <c r="C746" t="str">
        <f>HYPERLINK("http://www.corstruth.com.au/WA/CSV/18QMDD002.csv","18QMDD002_CSV File 1m Bins")</f>
        <v>18QMDD002_CSV File 1m Bins</v>
      </c>
      <c r="D746" t="s">
        <v>992</v>
      </c>
      <c r="E746" t="s">
        <v>1</v>
      </c>
      <c r="G746" t="s">
        <v>623</v>
      </c>
      <c r="H746" t="s">
        <v>991</v>
      </c>
      <c r="I746">
        <v>-30.750299999999999</v>
      </c>
      <c r="J746">
        <v>121.77200000000001</v>
      </c>
    </row>
    <row r="747" spans="1:11" x14ac:dyDescent="0.25">
      <c r="A747" t="str">
        <f>HYPERLINK("http://www.corstruth.com.au/WA/RYDD14001_cs.png","RYDD14001_A4")</f>
        <v>RYDD14001_A4</v>
      </c>
      <c r="B747" t="str">
        <f>HYPERLINK("http://www.corstruth.com.au/WA/PNG2/RYDD14001_cs.png","RYDD14001_0.25m Bins")</f>
        <v>RYDD14001_0.25m Bins</v>
      </c>
      <c r="C747" t="str">
        <f>HYPERLINK("http://www.corstruth.com.au/WA/CSV/RYDD14001.csv","RYDD14001_CSV File 1m Bins")</f>
        <v>RYDD14001_CSV File 1m Bins</v>
      </c>
      <c r="D747" t="s">
        <v>993</v>
      </c>
      <c r="E747" t="s">
        <v>1</v>
      </c>
      <c r="G747" t="s">
        <v>623</v>
      </c>
      <c r="H747" t="s">
        <v>994</v>
      </c>
      <c r="I747">
        <v>-30.561800000000002</v>
      </c>
      <c r="J747">
        <v>121.511</v>
      </c>
      <c r="K747" t="str">
        <f>HYPERLINK("http://geossdi.dmp.wa.gov.au/NVCLDataServices/mosaic.html?datasetid=2cb0686a-6465-408a-a3f9-6bc043f4b79","RYDD14001_Core Image")</f>
        <v>RYDD14001_Core Image</v>
      </c>
    </row>
    <row r="748" spans="1:11" x14ac:dyDescent="0.25">
      <c r="A748" t="str">
        <f>HYPERLINK("http://www.corstruth.com.au/WA/RYDD14004_cs.png","RYDD14004_A4")</f>
        <v>RYDD14004_A4</v>
      </c>
      <c r="B748" t="str">
        <f>HYPERLINK("http://www.corstruth.com.au/WA/PNG2/RYDD14004_cs.png","RYDD14004_0.25m Bins")</f>
        <v>RYDD14004_0.25m Bins</v>
      </c>
      <c r="C748" t="str">
        <f>HYPERLINK("http://www.corstruth.com.au/WA/CSV/RYDD14004.csv","RYDD14004_CSV File 1m Bins")</f>
        <v>RYDD14004_CSV File 1m Bins</v>
      </c>
      <c r="D748" t="s">
        <v>995</v>
      </c>
      <c r="E748" t="s">
        <v>1</v>
      </c>
      <c r="G748" t="s">
        <v>623</v>
      </c>
      <c r="H748" t="s">
        <v>994</v>
      </c>
      <c r="I748">
        <v>-30.549099999999999</v>
      </c>
      <c r="J748">
        <v>121.491</v>
      </c>
      <c r="K748" t="str">
        <f>HYPERLINK("http://geossdi.dmp.wa.gov.au/NVCLDataServices/mosaic.html?datasetid=6fcdeaa3-fc14-4f86-a2ee-3617e3b7368","RYDD14004_Core Image")</f>
        <v>RYDD14004_Core Image</v>
      </c>
    </row>
    <row r="749" spans="1:11" x14ac:dyDescent="0.25">
      <c r="A749" t="str">
        <f>HYPERLINK("http://www.corstruth.com.au/WA/ROAD002_cs.png","ROAD002_A4")</f>
        <v>ROAD002_A4</v>
      </c>
      <c r="B749" t="str">
        <f>HYPERLINK("http://www.corstruth.com.au/WA/PNG2/ROAD002_cs.png","ROAD002_0.25m Bins")</f>
        <v>ROAD002_0.25m Bins</v>
      </c>
      <c r="C749" t="str">
        <f>HYPERLINK("http://www.corstruth.com.au/WA/CSV/ROAD002.csv","ROAD002_CSV File 1m Bins")</f>
        <v>ROAD002_CSV File 1m Bins</v>
      </c>
      <c r="D749" t="s">
        <v>996</v>
      </c>
      <c r="E749" t="s">
        <v>1</v>
      </c>
      <c r="G749" t="s">
        <v>623</v>
      </c>
      <c r="H749" t="s">
        <v>997</v>
      </c>
      <c r="I749">
        <v>-29.1523</v>
      </c>
      <c r="J749">
        <v>122.422</v>
      </c>
      <c r="K749" t="str">
        <f>HYPERLINK("http://geossdi.dmp.wa.gov.au/NVCLDataServices/mosaic.html?datasetid=63293d6e-59f0-4ecb-b934-ff807034d4e","ROAD002_Core Image")</f>
        <v>ROAD002_Core Image</v>
      </c>
    </row>
    <row r="750" spans="1:11" x14ac:dyDescent="0.25">
      <c r="A750" t="str">
        <f>HYPERLINK("http://www.corstruth.com.au/WA/ROAD003_cs.png","ROAD003_A4")</f>
        <v>ROAD003_A4</v>
      </c>
      <c r="B750" t="str">
        <f>HYPERLINK("http://www.corstruth.com.au/WA/PNG2/ROAD003_cs.png","ROAD003_0.25m Bins")</f>
        <v>ROAD003_0.25m Bins</v>
      </c>
      <c r="C750" t="str">
        <f>HYPERLINK("http://www.corstruth.com.au/WA/CSV/ROAD003.csv","ROAD003_CSV File 1m Bins")</f>
        <v>ROAD003_CSV File 1m Bins</v>
      </c>
      <c r="D750" t="s">
        <v>998</v>
      </c>
      <c r="E750" t="s">
        <v>1</v>
      </c>
      <c r="G750" t="s">
        <v>623</v>
      </c>
      <c r="H750" t="s">
        <v>997</v>
      </c>
      <c r="I750">
        <v>-29.1523</v>
      </c>
      <c r="J750">
        <v>122.42</v>
      </c>
      <c r="K750" t="str">
        <f>HYPERLINK("http://geossdi.dmp.wa.gov.au/NVCLDataServices/mosaic.html?datasetid=5ba9aba2-77c2-4fd4-bff1-dd081d71683","ROAD003_Core Image")</f>
        <v>ROAD003_Core Image</v>
      </c>
    </row>
    <row r="751" spans="1:11" x14ac:dyDescent="0.25">
      <c r="A751" t="str">
        <f>HYPERLINK("http://www.corstruth.com.au/WA/ROAD004_cs.png","ROAD004_A4")</f>
        <v>ROAD004_A4</v>
      </c>
      <c r="B751" t="str">
        <f>HYPERLINK("http://www.corstruth.com.au/WA/PNG2/ROAD004_cs.png","ROAD004_0.25m Bins")</f>
        <v>ROAD004_0.25m Bins</v>
      </c>
      <c r="C751" t="str">
        <f>HYPERLINK("http://www.corstruth.com.au/WA/CSV/ROAD004.csv","ROAD004_CSV File 1m Bins")</f>
        <v>ROAD004_CSV File 1m Bins</v>
      </c>
      <c r="D751" t="s">
        <v>999</v>
      </c>
      <c r="E751" t="s">
        <v>1</v>
      </c>
      <c r="G751" t="s">
        <v>623</v>
      </c>
      <c r="H751" t="s">
        <v>997</v>
      </c>
      <c r="I751">
        <v>-29.1523</v>
      </c>
      <c r="J751">
        <v>122.41800000000001</v>
      </c>
      <c r="K751" t="str">
        <f>HYPERLINK("http://geossdi.dmp.wa.gov.au/NVCLDataServices/mosaic.html?datasetid=3774172d-163d-4a51-b42b-914168a472d","ROAD004_Core Image")</f>
        <v>ROAD004_Core Image</v>
      </c>
    </row>
    <row r="752" spans="1:11" x14ac:dyDescent="0.25">
      <c r="A752" t="str">
        <f>HYPERLINK("http://www.corstruth.com.au/WA/ROAD006_cs.png","ROAD006_A4")</f>
        <v>ROAD006_A4</v>
      </c>
      <c r="B752" t="str">
        <f>HYPERLINK("http://www.corstruth.com.au/WA/PNG2/ROAD006_cs.png","ROAD006_0.25m Bins")</f>
        <v>ROAD006_0.25m Bins</v>
      </c>
      <c r="C752" t="str">
        <f>HYPERLINK("http://www.corstruth.com.au/WA/CSV/ROAD006.csv","ROAD006_CSV File 1m Bins")</f>
        <v>ROAD006_CSV File 1m Bins</v>
      </c>
      <c r="D752" t="s">
        <v>1000</v>
      </c>
      <c r="E752" t="s">
        <v>1</v>
      </c>
      <c r="G752" t="s">
        <v>623</v>
      </c>
      <c r="H752" t="s">
        <v>997</v>
      </c>
      <c r="I752">
        <v>-29.160299999999999</v>
      </c>
      <c r="J752">
        <v>122.393</v>
      </c>
      <c r="K752" t="str">
        <f>HYPERLINK("http://geossdi.dmp.wa.gov.au/NVCLDataServices/mosaic.html?datasetid=6b96b91a-ebaa-402e-a0a8-3471e38280a","ROAD006_Core Image")</f>
        <v>ROAD006_Core Image</v>
      </c>
    </row>
    <row r="753" spans="1:11" x14ac:dyDescent="0.25">
      <c r="A753" t="str">
        <f>HYPERLINK("http://www.corstruth.com.au/WA/ROEX047_cs.png","ROEX047_A4")</f>
        <v>ROEX047_A4</v>
      </c>
      <c r="B753" t="str">
        <f>HYPERLINK("http://www.corstruth.com.au/WA/PNG2/ROEX047_cs.png","ROEX047_0.25m Bins")</f>
        <v>ROEX047_0.25m Bins</v>
      </c>
      <c r="C753" t="str">
        <f>HYPERLINK("http://www.corstruth.com.au/WA/CSV/ROEX047.csv","ROEX047_CSV File 1m Bins")</f>
        <v>ROEX047_CSV File 1m Bins</v>
      </c>
      <c r="D753" t="s">
        <v>1001</v>
      </c>
      <c r="E753" t="s">
        <v>1</v>
      </c>
      <c r="G753" t="s">
        <v>623</v>
      </c>
      <c r="H753" t="s">
        <v>997</v>
      </c>
      <c r="I753">
        <v>-29.209700000000002</v>
      </c>
      <c r="J753">
        <v>122.40900000000001</v>
      </c>
      <c r="K753" t="str">
        <f>HYPERLINK("http://geossdi.dmp.wa.gov.au/NVCLDataServices/mosaic.html?datasetid=b52b8c22-cb84-40df-9ee8-c458c65af7f","ROEX047_Core Image")</f>
        <v>ROEX047_Core Image</v>
      </c>
    </row>
    <row r="754" spans="1:11" x14ac:dyDescent="0.25">
      <c r="A754" t="str">
        <f>HYPERLINK("http://www.corstruth.com.au/WA/ORTL04_cs.png","ORTL04_A4")</f>
        <v>ORTL04_A4</v>
      </c>
      <c r="B754" t="str">
        <f>HYPERLINK("http://www.corstruth.com.au/WA/PNG2/ORTL04_cs.png","ORTL04_0.25m Bins")</f>
        <v>ORTL04_0.25m Bins</v>
      </c>
      <c r="C754" t="str">
        <f>HYPERLINK("http://www.corstruth.com.au/WA/CSV/ORTL04.csv","ORTL04_CSV File 1m Bins")</f>
        <v>ORTL04_CSV File 1m Bins</v>
      </c>
      <c r="D754" t="s">
        <v>1002</v>
      </c>
      <c r="E754" t="s">
        <v>1</v>
      </c>
      <c r="G754" t="s">
        <v>623</v>
      </c>
      <c r="H754" t="s">
        <v>1003</v>
      </c>
      <c r="I754">
        <v>-31.305099999999999</v>
      </c>
      <c r="J754">
        <v>122.61</v>
      </c>
      <c r="K754" t="str">
        <f>HYPERLINK("http://geossdi.dmp.wa.gov.au/NVCLDataServices/mosaic.html?datasetid=4adebfdc-a1bf-4c74-9e24-fe9e8905e3a","ORTL04_Core Image")</f>
        <v>ORTL04_Core Image</v>
      </c>
    </row>
    <row r="755" spans="1:11" x14ac:dyDescent="0.25">
      <c r="A755" t="str">
        <f>HYPERLINK("http://www.corstruth.com.au/WA/ORTL07_cs.png","ORTL07_A4")</f>
        <v>ORTL07_A4</v>
      </c>
      <c r="B755" t="str">
        <f>HYPERLINK("http://www.corstruth.com.au/WA/PNG2/ORTL07_cs.png","ORTL07_0.25m Bins")</f>
        <v>ORTL07_0.25m Bins</v>
      </c>
      <c r="C755" t="str">
        <f>HYPERLINK("http://www.corstruth.com.au/WA/CSV/ORTL07.csv","ORTL07_CSV File 1m Bins")</f>
        <v>ORTL07_CSV File 1m Bins</v>
      </c>
      <c r="D755" t="s">
        <v>1004</v>
      </c>
      <c r="E755" t="s">
        <v>1</v>
      </c>
      <c r="G755" t="s">
        <v>623</v>
      </c>
      <c r="H755" t="s">
        <v>1003</v>
      </c>
      <c r="I755">
        <v>-31.2959</v>
      </c>
      <c r="J755">
        <v>122.59699999999999</v>
      </c>
      <c r="K755" t="str">
        <f>HYPERLINK("http://geossdi.dmp.wa.gov.au/NVCLDataServices/mosaic.html?datasetid=f73d39ed-1b82-4607-9129-fdfa7248804","ORTL07_Core Image")</f>
        <v>ORTL07_Core Image</v>
      </c>
    </row>
    <row r="756" spans="1:11" x14ac:dyDescent="0.25">
      <c r="A756" t="str">
        <f>HYPERLINK("http://www.corstruth.com.au/WA/ORTL08_cs.png","ORTL08_A4")</f>
        <v>ORTL08_A4</v>
      </c>
      <c r="B756" t="str">
        <f>HYPERLINK("http://www.corstruth.com.au/WA/PNG2/ORTL08_cs.png","ORTL08_0.25m Bins")</f>
        <v>ORTL08_0.25m Bins</v>
      </c>
      <c r="C756" t="str">
        <f>HYPERLINK("http://www.corstruth.com.au/WA/CSV/ORTL08.csv","ORTL08_CSV File 1m Bins")</f>
        <v>ORTL08_CSV File 1m Bins</v>
      </c>
      <c r="D756" t="s">
        <v>1005</v>
      </c>
      <c r="E756" t="s">
        <v>1</v>
      </c>
      <c r="G756" t="s">
        <v>623</v>
      </c>
      <c r="H756" t="s">
        <v>1003</v>
      </c>
      <c r="I756">
        <v>-31.295000000000002</v>
      </c>
      <c r="J756">
        <v>122.598</v>
      </c>
      <c r="K756" t="str">
        <f>HYPERLINK("http://geossdi.dmp.wa.gov.au/NVCLDataServices/mosaic.html?datasetid=8166acdf-c8d2-4012-a2f6-4f2e6af3d10","ORTL08_Core Image")</f>
        <v>ORTL08_Core Image</v>
      </c>
    </row>
    <row r="757" spans="1:11" x14ac:dyDescent="0.25">
      <c r="A757" t="str">
        <f>HYPERLINK("http://www.corstruth.com.au/WA/ORTL09_cs.png","ORTL09_A4")</f>
        <v>ORTL09_A4</v>
      </c>
      <c r="B757" t="str">
        <f>HYPERLINK("http://www.corstruth.com.au/WA/PNG2/ORTL09_cs.png","ORTL09_0.25m Bins")</f>
        <v>ORTL09_0.25m Bins</v>
      </c>
      <c r="C757" t="str">
        <f>HYPERLINK("http://www.corstruth.com.au/WA/CSV/ORTL09.csv","ORTL09_CSV File 1m Bins")</f>
        <v>ORTL09_CSV File 1m Bins</v>
      </c>
      <c r="D757" t="s">
        <v>1006</v>
      </c>
      <c r="E757" t="s">
        <v>1</v>
      </c>
      <c r="G757" t="s">
        <v>623</v>
      </c>
      <c r="H757" t="s">
        <v>1003</v>
      </c>
      <c r="I757">
        <v>-31.294499999999999</v>
      </c>
      <c r="J757">
        <v>122.598</v>
      </c>
      <c r="K757" t="str">
        <f>HYPERLINK("http://geossdi.dmp.wa.gov.au/NVCLDataServices/mosaic.html?datasetid=e869986d-e335-48b3-84d2-3d0e3d33f2b","ORTL09_Core Image")</f>
        <v>ORTL09_Core Image</v>
      </c>
    </row>
    <row r="758" spans="1:11" x14ac:dyDescent="0.25">
      <c r="A758" t="str">
        <f>HYPERLINK("http://www.corstruth.com.au/WA/SCMD1_cs.png","SCMD1_A4")</f>
        <v>SCMD1_A4</v>
      </c>
      <c r="B758" t="str">
        <f>HYPERLINK("http://www.corstruth.com.au/WA/PNG2/SCMD1_cs.png","SCMD1_0.25m Bins")</f>
        <v>SCMD1_0.25m Bins</v>
      </c>
      <c r="C758" t="str">
        <f>HYPERLINK("http://www.corstruth.com.au/WA/CSV/SCMD1.csv","SCMD1_CSV File 1m Bins")</f>
        <v>SCMD1_CSV File 1m Bins</v>
      </c>
      <c r="D758" t="s">
        <v>1007</v>
      </c>
      <c r="E758" t="s">
        <v>1</v>
      </c>
      <c r="G758" t="s">
        <v>623</v>
      </c>
      <c r="H758" t="s">
        <v>1008</v>
      </c>
      <c r="I758">
        <v>-30.161999999999999</v>
      </c>
      <c r="J758">
        <v>121.267</v>
      </c>
      <c r="K758" t="str">
        <f>HYPERLINK("http://geossdi.dmp.wa.gov.au/NVCLDataServices/mosaic.html?datasetid=a6210ed6-fb2d-4da4-8f3b-60562eda3cb","SCMD1_Core Image")</f>
        <v>SCMD1_Core Image</v>
      </c>
    </row>
    <row r="759" spans="1:11" x14ac:dyDescent="0.25">
      <c r="A759" t="str">
        <f>HYPERLINK("http://www.corstruth.com.au/WA/15SYDD0004_cs.png","15SYDD0004_A4")</f>
        <v>15SYDD0004_A4</v>
      </c>
      <c r="B759" t="str">
        <f>HYPERLINK("http://www.corstruth.com.au/WA/PNG2/15SYDD0004_cs.png","15SYDD0004_0.25m Bins")</f>
        <v>15SYDD0004_0.25m Bins</v>
      </c>
      <c r="C759" t="str">
        <f>HYPERLINK("http://www.corstruth.com.au/WA/CSV/15SYDD0004.csv","15SYDD0004_CSV File 1m Bins")</f>
        <v>15SYDD0004_CSV File 1m Bins</v>
      </c>
      <c r="D759" t="s">
        <v>1009</v>
      </c>
      <c r="E759" t="s">
        <v>1</v>
      </c>
      <c r="G759" t="s">
        <v>623</v>
      </c>
      <c r="H759" t="s">
        <v>1010</v>
      </c>
      <c r="I759">
        <v>-28.456399999999999</v>
      </c>
      <c r="J759">
        <v>123.867</v>
      </c>
      <c r="K759" t="str">
        <f>HYPERLINK("http://geossdi.dmp.wa.gov.au/NVCLDataServices/mosaic.html?datasetid=baa9bda8-0ae5-4ba2-a8f7-b8c11cb6e95","15SYDD0004_Core Image")</f>
        <v>15SYDD0004_Core Image</v>
      </c>
    </row>
    <row r="760" spans="1:11" x14ac:dyDescent="0.25">
      <c r="A760" t="str">
        <f>HYPERLINK("http://www.corstruth.com.au/WA/SE0016_cs.png","SE0016_A4")</f>
        <v>SE0016_A4</v>
      </c>
      <c r="B760" t="str">
        <f>HYPERLINK("http://www.corstruth.com.au/WA/PNG2/SE0016_cs.png","SE0016_0.25m Bins")</f>
        <v>SE0016_0.25m Bins</v>
      </c>
      <c r="C760" t="str">
        <f>HYPERLINK("http://www.corstruth.com.au/WA/CSV/SE0016.csv","SE0016_CSV File 1m Bins")</f>
        <v>SE0016_CSV File 1m Bins</v>
      </c>
      <c r="D760" t="s">
        <v>1011</v>
      </c>
      <c r="E760" t="s">
        <v>1</v>
      </c>
      <c r="G760" t="s">
        <v>623</v>
      </c>
      <c r="H760" t="s">
        <v>1012</v>
      </c>
      <c r="I760">
        <v>-30.828099999999999</v>
      </c>
      <c r="J760">
        <v>121.518</v>
      </c>
      <c r="K760" t="str">
        <f>HYPERLINK("http://geossdi.dmp.wa.gov.au/NVCLDataServices/mosaic.html?datasetid=9bbdbe9f-c584-44a6-b03e-d8f95bd7397","SE0016_Core Image")</f>
        <v>SE0016_Core Image</v>
      </c>
    </row>
    <row r="761" spans="1:11" x14ac:dyDescent="0.25">
      <c r="A761" t="str">
        <f>HYPERLINK("http://www.corstruth.com.au/WA/SE0017_cs.png","SE0017_A4")</f>
        <v>SE0017_A4</v>
      </c>
      <c r="B761" t="str">
        <f>HYPERLINK("http://www.corstruth.com.au/WA/PNG2/SE0017_cs.png","SE0017_0.25m Bins")</f>
        <v>SE0017_0.25m Bins</v>
      </c>
      <c r="C761" t="str">
        <f>HYPERLINK("http://www.corstruth.com.au/WA/CSV/SE0017.csv","SE0017_CSV File 1m Bins")</f>
        <v>SE0017_CSV File 1m Bins</v>
      </c>
      <c r="D761" t="s">
        <v>1013</v>
      </c>
      <c r="E761" t="s">
        <v>1</v>
      </c>
      <c r="G761" t="s">
        <v>623</v>
      </c>
      <c r="H761" t="s">
        <v>1012</v>
      </c>
      <c r="I761">
        <v>-30.827999999999999</v>
      </c>
      <c r="J761">
        <v>121.518</v>
      </c>
      <c r="K761" t="str">
        <f>HYPERLINK("http://geossdi.dmp.wa.gov.au/NVCLDataServices/mosaic.html?datasetid=5bdcaae4-b278-4cc5-9376-9a4fba7c4b0","SE0017_Core Image")</f>
        <v>SE0017_Core Image</v>
      </c>
    </row>
    <row r="762" spans="1:11" x14ac:dyDescent="0.25">
      <c r="A762" t="str">
        <f>HYPERLINK("http://www.corstruth.com.au/WA/LD82625_cs.png","LD82625_A4")</f>
        <v>LD82625_A4</v>
      </c>
      <c r="B762" t="str">
        <f>HYPERLINK("http://www.corstruth.com.au/WA/PNG2/LD82625_cs.png","LD82625_0.25m Bins")</f>
        <v>LD82625_0.25m Bins</v>
      </c>
      <c r="C762" t="str">
        <f>HYPERLINK("http://www.corstruth.com.au/WA/CSV/LD82625.csv","LD82625_CSV File 1m Bins")</f>
        <v>LD82625_CSV File 1m Bins</v>
      </c>
      <c r="D762" t="s">
        <v>1014</v>
      </c>
      <c r="E762" t="s">
        <v>1</v>
      </c>
      <c r="G762" t="s">
        <v>623</v>
      </c>
      <c r="H762" t="s">
        <v>1015</v>
      </c>
      <c r="I762">
        <v>-31.297499999999999</v>
      </c>
      <c r="J762">
        <v>121.67700000000001</v>
      </c>
      <c r="K762" t="str">
        <f>HYPERLINK("http://geossdi.dmp.wa.gov.au/NVCLDataServices/mosaic.html?datasetid=15b4f52b-fcca-418c-96aa-9fbdf6712b5","LD82625_Core Image")</f>
        <v>LD82625_Core Image</v>
      </c>
    </row>
    <row r="763" spans="1:11" x14ac:dyDescent="0.25">
      <c r="A763" t="str">
        <f>HYPERLINK("http://www.corstruth.com.au/WA/LD82625W1_cs.png","LD82625W1_A4")</f>
        <v>LD82625W1_A4</v>
      </c>
      <c r="B763" t="str">
        <f>HYPERLINK("http://www.corstruth.com.au/WA/PNG2/LD82625W1_cs.png","LD82625W1_0.25m Bins")</f>
        <v>LD82625W1_0.25m Bins</v>
      </c>
      <c r="C763" t="str">
        <f>HYPERLINK("http://www.corstruth.com.au/WA/CSV/LD82625W1.csv","LD82625W1_CSV File 1m Bins")</f>
        <v>LD82625W1_CSV File 1m Bins</v>
      </c>
      <c r="D763" t="s">
        <v>1016</v>
      </c>
      <c r="E763" t="s">
        <v>1</v>
      </c>
      <c r="G763" t="s">
        <v>623</v>
      </c>
      <c r="H763" t="s">
        <v>1015</v>
      </c>
      <c r="I763">
        <v>-31.297499999999999</v>
      </c>
      <c r="J763">
        <v>121.67700000000001</v>
      </c>
      <c r="K763" t="str">
        <f>HYPERLINK("http://geossdi.dmp.wa.gov.au/NVCLDataServices/mosaic.html?datasetid=66334a6a-293e-42ac-a12b-7013b71194f","LD82625W1_Core Image")</f>
        <v>LD82625W1_Core Image</v>
      </c>
    </row>
    <row r="764" spans="1:11" x14ac:dyDescent="0.25">
      <c r="A764" t="str">
        <f>HYPERLINK("http://www.corstruth.com.au/WA/LD82625W2_cs.png","LD82625W2_A4")</f>
        <v>LD82625W2_A4</v>
      </c>
      <c r="B764" t="str">
        <f>HYPERLINK("http://www.corstruth.com.au/WA/PNG2/LD82625W2_cs.png","LD82625W2_0.25m Bins")</f>
        <v>LD82625W2_0.25m Bins</v>
      </c>
      <c r="C764" t="str">
        <f>HYPERLINK("http://www.corstruth.com.au/WA/CSV/LD82625W2.csv","LD82625W2_CSV File 1m Bins")</f>
        <v>LD82625W2_CSV File 1m Bins</v>
      </c>
      <c r="D764" t="s">
        <v>1017</v>
      </c>
      <c r="E764" t="s">
        <v>1</v>
      </c>
      <c r="G764" t="s">
        <v>623</v>
      </c>
      <c r="H764" t="s">
        <v>1015</v>
      </c>
      <c r="I764">
        <v>-31.297499999999999</v>
      </c>
      <c r="J764">
        <v>121.67700000000001</v>
      </c>
      <c r="K764" t="str">
        <f>HYPERLINK("http://geossdi.dmp.wa.gov.au/NVCLDataServices/mosaic.html?datasetid=0e53e420-ef45-407d-ba0b-e604fa0c18a","LD82625W2_Core Image")</f>
        <v>LD82625W2_Core Image</v>
      </c>
    </row>
    <row r="765" spans="1:11" x14ac:dyDescent="0.25">
      <c r="A765" t="str">
        <f>HYPERLINK("http://www.corstruth.com.au/WA/18SFDD001_cs.png","18SFDD001_A4")</f>
        <v>18SFDD001_A4</v>
      </c>
      <c r="B765" t="str">
        <f>HYPERLINK("http://www.corstruth.com.au/WA/PNG2/18SFDD001_cs.png","18SFDD001_0.25m Bins")</f>
        <v>18SFDD001_0.25m Bins</v>
      </c>
      <c r="C765" t="str">
        <f>HYPERLINK("http://www.corstruth.com.au/WA/CSV/18SFDD001.csv","18SFDD001_CSV File 1m Bins")</f>
        <v>18SFDD001_CSV File 1m Bins</v>
      </c>
      <c r="D765" t="s">
        <v>1018</v>
      </c>
      <c r="E765" t="s">
        <v>1</v>
      </c>
      <c r="G765" t="s">
        <v>623</v>
      </c>
      <c r="H765" t="s">
        <v>1019</v>
      </c>
      <c r="I765">
        <v>-30.733799999999999</v>
      </c>
      <c r="J765">
        <v>121.77800000000001</v>
      </c>
    </row>
    <row r="766" spans="1:11" x14ac:dyDescent="0.25">
      <c r="A766" t="str">
        <f>HYPERLINK("http://www.corstruth.com.au/WA/CD5100_cs.png","CD5100_A4")</f>
        <v>CD5100_A4</v>
      </c>
      <c r="B766" t="str">
        <f>HYPERLINK("http://www.corstruth.com.au/WA/PNG2/CD5100_cs.png","CD5100_0.25m Bins")</f>
        <v>CD5100_0.25m Bins</v>
      </c>
      <c r="C766" t="str">
        <f>HYPERLINK("http://www.corstruth.com.au/WA/CSV/CD5100.csv","CD5100_CSV File 1m Bins")</f>
        <v>CD5100_CSV File 1m Bins</v>
      </c>
      <c r="D766" t="s">
        <v>1020</v>
      </c>
      <c r="E766" t="s">
        <v>1</v>
      </c>
      <c r="G766" t="s">
        <v>623</v>
      </c>
      <c r="H766" t="s">
        <v>1021</v>
      </c>
      <c r="I766">
        <v>-29.090399999999999</v>
      </c>
      <c r="J766">
        <v>122.401</v>
      </c>
    </row>
    <row r="767" spans="1:11" x14ac:dyDescent="0.25">
      <c r="A767" t="str">
        <f>HYPERLINK("http://www.corstruth.com.au/WA/CD5101_cs.png","CD5101_A4")</f>
        <v>CD5101_A4</v>
      </c>
      <c r="B767" t="str">
        <f>HYPERLINK("http://www.corstruth.com.au/WA/PNG2/CD5101_cs.png","CD5101_0.25m Bins")</f>
        <v>CD5101_0.25m Bins</v>
      </c>
      <c r="C767" t="str">
        <f>HYPERLINK("http://www.corstruth.com.au/WA/CSV/CD5101.csv","CD5101_CSV File 1m Bins")</f>
        <v>CD5101_CSV File 1m Bins</v>
      </c>
      <c r="D767" t="s">
        <v>1022</v>
      </c>
      <c r="E767" t="s">
        <v>1</v>
      </c>
      <c r="G767" t="s">
        <v>623</v>
      </c>
      <c r="H767" t="s">
        <v>1021</v>
      </c>
      <c r="I767">
        <v>-29.090399999999999</v>
      </c>
      <c r="J767">
        <v>122.401</v>
      </c>
    </row>
    <row r="768" spans="1:11" x14ac:dyDescent="0.25">
      <c r="A768" t="str">
        <f>HYPERLINK("http://www.corstruth.com.au/WA/LSHD1_cs.png","LSHD1_A4")</f>
        <v>LSHD1_A4</v>
      </c>
      <c r="B768" t="str">
        <f>HYPERLINK("http://www.corstruth.com.au/WA/PNG2/LSHD1_cs.png","LSHD1_0.25m Bins")</f>
        <v>LSHD1_0.25m Bins</v>
      </c>
      <c r="C768" t="str">
        <f>HYPERLINK("http://www.corstruth.com.au/WA/CSV/LSHD1.csv","LSHD1_CSV File 1m Bins")</f>
        <v>LSHD1_CSV File 1m Bins</v>
      </c>
      <c r="D768" t="s">
        <v>1023</v>
      </c>
      <c r="E768" t="s">
        <v>1</v>
      </c>
      <c r="G768" t="s">
        <v>623</v>
      </c>
      <c r="H768" t="s">
        <v>1024</v>
      </c>
      <c r="I768">
        <v>-27.131</v>
      </c>
      <c r="J768">
        <v>122.502</v>
      </c>
      <c r="K768" t="str">
        <f>HYPERLINK("http://geossdi.dmp.wa.gov.au/NVCLDataServices/mosaic.html?datasetid=912cc33b-6da6-4bc3-9d60-af3cab53503","LSHD1_Core Image")</f>
        <v>LSHD1_Core Image</v>
      </c>
    </row>
    <row r="769" spans="1:11" x14ac:dyDescent="0.25">
      <c r="A769" t="str">
        <f>HYPERLINK("http://www.corstruth.com.au/WA/LSHD10_cs.png","LSHD10_A4")</f>
        <v>LSHD10_A4</v>
      </c>
      <c r="B769" t="str">
        <f>HYPERLINK("http://www.corstruth.com.au/WA/PNG2/LSHD10_cs.png","LSHD10_0.25m Bins")</f>
        <v>LSHD10_0.25m Bins</v>
      </c>
      <c r="C769" t="str">
        <f>HYPERLINK("http://www.corstruth.com.au/WA/CSV/LSHD10.csv","LSHD10_CSV File 1m Bins")</f>
        <v>LSHD10_CSV File 1m Bins</v>
      </c>
      <c r="D769" t="s">
        <v>1025</v>
      </c>
      <c r="E769" t="s">
        <v>1</v>
      </c>
      <c r="G769" t="s">
        <v>623</v>
      </c>
      <c r="H769" t="s">
        <v>1024</v>
      </c>
      <c r="I769">
        <v>-27.531400000000001</v>
      </c>
      <c r="J769">
        <v>122.289</v>
      </c>
      <c r="K769" t="str">
        <f>HYPERLINK("http://geossdi.dmp.wa.gov.au/NVCLDataServices/mosaic.html?datasetid=26145644-ae2d-44b7-8d70-ae167c05e50","LSHD10_Core Image")</f>
        <v>LSHD10_Core Image</v>
      </c>
    </row>
    <row r="770" spans="1:11" x14ac:dyDescent="0.25">
      <c r="A770" t="str">
        <f>HYPERLINK("http://www.corstruth.com.au/WA/LSHD2_cs.png","LSHD2_A4")</f>
        <v>LSHD2_A4</v>
      </c>
      <c r="B770" t="str">
        <f>HYPERLINK("http://www.corstruth.com.au/WA/PNG2/LSHD2_cs.png","LSHD2_0.25m Bins")</f>
        <v>LSHD2_0.25m Bins</v>
      </c>
      <c r="C770" t="str">
        <f>HYPERLINK("http://www.corstruth.com.au/WA/CSV/LSHD2.csv","LSHD2_CSV File 1m Bins")</f>
        <v>LSHD2_CSV File 1m Bins</v>
      </c>
      <c r="D770" t="s">
        <v>1026</v>
      </c>
      <c r="E770" t="s">
        <v>1</v>
      </c>
      <c r="G770" t="s">
        <v>623</v>
      </c>
      <c r="H770" t="s">
        <v>1024</v>
      </c>
      <c r="I770">
        <v>-27.658200000000001</v>
      </c>
      <c r="J770">
        <v>122.313</v>
      </c>
      <c r="K770" t="str">
        <f>HYPERLINK("http://geossdi.dmp.wa.gov.au/NVCLDataServices/mosaic.html?datasetid=694a931a-1f42-4ea1-8fc7-a18d37d4a98","LSHD2_Core Image")</f>
        <v>LSHD2_Core Image</v>
      </c>
    </row>
    <row r="771" spans="1:11" x14ac:dyDescent="0.25">
      <c r="A771" t="str">
        <f>HYPERLINK("http://www.corstruth.com.au/WA/LSHD3_cs.png","LSHD3_A4")</f>
        <v>LSHD3_A4</v>
      </c>
      <c r="B771" t="str">
        <f>HYPERLINK("http://www.corstruth.com.au/WA/PNG2/LSHD3_cs.png","LSHD3_0.25m Bins")</f>
        <v>LSHD3_0.25m Bins</v>
      </c>
      <c r="C771" t="str">
        <f>HYPERLINK("http://www.corstruth.com.au/WA/CSV/LSHD3.csv","LSHD3_CSV File 1m Bins")</f>
        <v>LSHD3_CSV File 1m Bins</v>
      </c>
      <c r="D771" t="s">
        <v>1027</v>
      </c>
      <c r="E771" t="s">
        <v>1</v>
      </c>
      <c r="G771" t="s">
        <v>623</v>
      </c>
      <c r="H771" t="s">
        <v>1024</v>
      </c>
      <c r="I771">
        <v>-27.6569</v>
      </c>
      <c r="J771">
        <v>122.315</v>
      </c>
      <c r="K771" t="str">
        <f>HYPERLINK("http://geossdi.dmp.wa.gov.au/NVCLDataServices/mosaic.html?datasetid=34a5374d-6b6c-4786-a914-c4db5ec7a02","LSHD3_Core Image")</f>
        <v>LSHD3_Core Image</v>
      </c>
    </row>
    <row r="772" spans="1:11" x14ac:dyDescent="0.25">
      <c r="A772" t="str">
        <f>HYPERLINK("http://www.corstruth.com.au/WA/LSHD4_cs.png","LSHD4_A4")</f>
        <v>LSHD4_A4</v>
      </c>
      <c r="B772" t="str">
        <f>HYPERLINK("http://www.corstruth.com.au/WA/PNG2/LSHD4_cs.png","LSHD4_0.25m Bins")</f>
        <v>LSHD4_0.25m Bins</v>
      </c>
      <c r="C772" t="str">
        <f>HYPERLINK("http://www.corstruth.com.au/WA/CSV/LSHD4.csv","LSHD4_CSV File 1m Bins")</f>
        <v>LSHD4_CSV File 1m Bins</v>
      </c>
      <c r="D772" t="s">
        <v>1028</v>
      </c>
      <c r="E772" t="s">
        <v>1</v>
      </c>
      <c r="G772" t="s">
        <v>623</v>
      </c>
      <c r="H772" t="s">
        <v>1024</v>
      </c>
      <c r="I772">
        <v>-27.6524</v>
      </c>
      <c r="J772">
        <v>122.315</v>
      </c>
      <c r="K772" t="str">
        <f>HYPERLINK("http://geossdi.dmp.wa.gov.au/NVCLDataServices/mosaic.html?datasetid=93c1ad10-446b-4c97-81c7-b783be154b9","LSHD4_Core Image")</f>
        <v>LSHD4_Core Image</v>
      </c>
    </row>
    <row r="773" spans="1:11" x14ac:dyDescent="0.25">
      <c r="A773" t="str">
        <f>HYPERLINK("http://www.corstruth.com.au/WA/LSHD5_cs.png","LSHD5_A4")</f>
        <v>LSHD5_A4</v>
      </c>
      <c r="B773" t="str">
        <f>HYPERLINK("http://www.corstruth.com.au/WA/PNG2/LSHD5_cs.png","LSHD5_0.25m Bins")</f>
        <v>LSHD5_0.25m Bins</v>
      </c>
      <c r="C773" t="str">
        <f>HYPERLINK("http://www.corstruth.com.au/WA/CSV/LSHD5.csv","LSHD5_CSV File 1m Bins")</f>
        <v>LSHD5_CSV File 1m Bins</v>
      </c>
      <c r="D773" t="s">
        <v>1029</v>
      </c>
      <c r="E773" t="s">
        <v>1</v>
      </c>
      <c r="G773" t="s">
        <v>623</v>
      </c>
      <c r="H773" t="s">
        <v>1024</v>
      </c>
      <c r="I773">
        <v>-27.6569</v>
      </c>
      <c r="J773">
        <v>122.315</v>
      </c>
      <c r="K773" t="str">
        <f>HYPERLINK("http://geossdi.dmp.wa.gov.au/NVCLDataServices/mosaic.html?datasetid=f60efeb8-eab1-4aa7-b428-84dc08aa8df","LSHD5_Core Image")</f>
        <v>LSHD5_Core Image</v>
      </c>
    </row>
    <row r="774" spans="1:11" x14ac:dyDescent="0.25">
      <c r="A774" t="str">
        <f>HYPERLINK("http://www.corstruth.com.au/WA/LSHD6_cs.png","LSHD6_A4")</f>
        <v>LSHD6_A4</v>
      </c>
      <c r="B774" t="str">
        <f>HYPERLINK("http://www.corstruth.com.au/WA/PNG2/LSHD6_cs.png","LSHD6_0.25m Bins")</f>
        <v>LSHD6_0.25m Bins</v>
      </c>
      <c r="C774" t="str">
        <f>HYPERLINK("http://www.corstruth.com.au/WA/CSV/LSHD6.csv","LSHD6_CSV File 1m Bins")</f>
        <v>LSHD6_CSV File 1m Bins</v>
      </c>
      <c r="D774" t="s">
        <v>1030</v>
      </c>
      <c r="E774" t="s">
        <v>1</v>
      </c>
      <c r="G774" t="s">
        <v>623</v>
      </c>
      <c r="H774" t="s">
        <v>1024</v>
      </c>
      <c r="I774">
        <v>-27.653300000000002</v>
      </c>
      <c r="J774">
        <v>122.315</v>
      </c>
      <c r="K774" t="str">
        <f>HYPERLINK("http://geossdi.dmp.wa.gov.au/NVCLDataServices/mosaic.html?datasetid=47eeb091-8644-429f-b9a0-60bfe2f27fd","LSHD6_Core Image")</f>
        <v>LSHD6_Core Image</v>
      </c>
    </row>
    <row r="775" spans="1:11" x14ac:dyDescent="0.25">
      <c r="A775" t="str">
        <f>HYPERLINK("http://www.corstruth.com.au/WA/LSHD7_cs.png","LSHD7_A4")</f>
        <v>LSHD7_A4</v>
      </c>
      <c r="B775" t="str">
        <f>HYPERLINK("http://www.corstruth.com.au/WA/PNG2/LSHD7_cs.png","LSHD7_0.25m Bins")</f>
        <v>LSHD7_0.25m Bins</v>
      </c>
      <c r="C775" t="str">
        <f>HYPERLINK("http://www.corstruth.com.au/WA/CSV/LSHD7.csv","LSHD7_CSV File 1m Bins")</f>
        <v>LSHD7_CSV File 1m Bins</v>
      </c>
      <c r="D775" t="s">
        <v>1031</v>
      </c>
      <c r="E775" t="s">
        <v>1</v>
      </c>
      <c r="G775" t="s">
        <v>623</v>
      </c>
      <c r="H775" t="s">
        <v>1024</v>
      </c>
      <c r="I775">
        <v>-27.632000000000001</v>
      </c>
      <c r="J775">
        <v>122.276</v>
      </c>
      <c r="K775" t="str">
        <f>HYPERLINK("http://geossdi.dmp.wa.gov.au/NVCLDataServices/mosaic.html?datasetid=cac03b73-cd28-4c40-ba21-2edc3a7a598","LSHD7_Core Image")</f>
        <v>LSHD7_Core Image</v>
      </c>
    </row>
    <row r="776" spans="1:11" x14ac:dyDescent="0.25">
      <c r="A776" t="str">
        <f>HYPERLINK("http://www.corstruth.com.au/WA/LSHD8_cs.png","LSHD8_A4")</f>
        <v>LSHD8_A4</v>
      </c>
      <c r="B776" t="str">
        <f>HYPERLINK("http://www.corstruth.com.au/WA/PNG2/LSHD8_cs.png","LSHD8_0.25m Bins")</f>
        <v>LSHD8_0.25m Bins</v>
      </c>
      <c r="C776" t="str">
        <f>HYPERLINK("http://www.corstruth.com.au/WA/CSV/LSHD8.csv","LSHD8_CSV File 1m Bins")</f>
        <v>LSHD8_CSV File 1m Bins</v>
      </c>
      <c r="D776" t="s">
        <v>1032</v>
      </c>
      <c r="E776" t="s">
        <v>1</v>
      </c>
      <c r="G776" t="s">
        <v>623</v>
      </c>
      <c r="H776" t="s">
        <v>1024</v>
      </c>
      <c r="I776">
        <v>-27.613900000000001</v>
      </c>
      <c r="J776">
        <v>122.31699999999999</v>
      </c>
      <c r="K776" t="str">
        <f>HYPERLINK("http://geossdi.dmp.wa.gov.au/NVCLDataServices/mosaic.html?datasetid=f05aa305-0c20-4335-a272-0bbfdc3b7d8","LSHD8_Core Image")</f>
        <v>LSHD8_Core Image</v>
      </c>
    </row>
    <row r="777" spans="1:11" x14ac:dyDescent="0.25">
      <c r="A777" t="str">
        <f>HYPERLINK("http://www.corstruth.com.au/WA/LSHD9_cs.png","LSHD9_A4")</f>
        <v>LSHD9_A4</v>
      </c>
      <c r="B777" t="str">
        <f>HYPERLINK("http://www.corstruth.com.au/WA/PNG2/LSHD9_cs.png","LSHD9_0.25m Bins")</f>
        <v>LSHD9_0.25m Bins</v>
      </c>
      <c r="C777" t="str">
        <f>HYPERLINK("http://www.corstruth.com.au/WA/CSV/LSHD9.csv","LSHD9_CSV File 1m Bins")</f>
        <v>LSHD9_CSV File 1m Bins</v>
      </c>
      <c r="D777" t="s">
        <v>1033</v>
      </c>
      <c r="E777" t="s">
        <v>1</v>
      </c>
      <c r="G777" t="s">
        <v>623</v>
      </c>
      <c r="H777" t="s">
        <v>1024</v>
      </c>
      <c r="I777">
        <v>-27.548500000000001</v>
      </c>
      <c r="J777">
        <v>122.292</v>
      </c>
      <c r="K777" t="str">
        <f>HYPERLINK("http://geossdi.dmp.wa.gov.au/NVCLDataServices/mosaic.html?datasetid=c7027759-ec73-415b-8d4d-807d71c436b","LSHD9_Core Image")</f>
        <v>LSHD9_Core Image</v>
      </c>
    </row>
    <row r="778" spans="1:11" x14ac:dyDescent="0.25">
      <c r="A778" t="str">
        <f>HYPERLINK("http://www.corstruth.com.au/WA/ORTL05_cs.png","ORTL05_A4")</f>
        <v>ORTL05_A4</v>
      </c>
      <c r="B778" t="str">
        <f>HYPERLINK("http://www.corstruth.com.au/WA/PNG2/ORTL05_cs.png","ORTL05_0.25m Bins")</f>
        <v>ORTL05_0.25m Bins</v>
      </c>
      <c r="C778" t="str">
        <f>HYPERLINK("http://www.corstruth.com.au/WA/CSV/ORTL05.csv","ORTL05_CSV File 1m Bins")</f>
        <v>ORTL05_CSV File 1m Bins</v>
      </c>
      <c r="D778" t="s">
        <v>1034</v>
      </c>
      <c r="E778" t="s">
        <v>1</v>
      </c>
      <c r="G778" t="s">
        <v>623</v>
      </c>
      <c r="H778" t="s">
        <v>1035</v>
      </c>
      <c r="I778">
        <v>-31.295200000000001</v>
      </c>
      <c r="J778">
        <v>122.599</v>
      </c>
      <c r="K778" t="str">
        <f>HYPERLINK("http://geossdi.dmp.wa.gov.au/NVCLDataServices/mosaic.html?datasetid=39c04355-eb6e-407c-a1a2-91dd6d07dc0","ORTL05_Core Image")</f>
        <v>ORTL05_Core Image</v>
      </c>
    </row>
    <row r="779" spans="1:11" x14ac:dyDescent="0.25">
      <c r="A779" t="str">
        <f>HYPERLINK("http://www.corstruth.com.au/WA/ORTL06_cs.png","ORTL06_A4")</f>
        <v>ORTL06_A4</v>
      </c>
      <c r="B779" t="str">
        <f>HYPERLINK("http://www.corstruth.com.au/WA/PNG2/ORTL06_cs.png","ORTL06_0.25m Bins")</f>
        <v>ORTL06_0.25m Bins</v>
      </c>
      <c r="C779" t="str">
        <f>HYPERLINK("http://www.corstruth.com.au/WA/CSV/ORTL06.csv","ORTL06_CSV File 1m Bins")</f>
        <v>ORTL06_CSV File 1m Bins</v>
      </c>
      <c r="D779" t="s">
        <v>1036</v>
      </c>
      <c r="E779" t="s">
        <v>1</v>
      </c>
      <c r="G779" t="s">
        <v>623</v>
      </c>
      <c r="H779" t="s">
        <v>1035</v>
      </c>
      <c r="I779">
        <v>-31.296600000000002</v>
      </c>
      <c r="J779">
        <v>122.599</v>
      </c>
      <c r="K779" t="str">
        <f>HYPERLINK("http://geossdi.dmp.wa.gov.au/NVCLDataServices/mosaic.html?datasetid=aa66274f-97ee-4079-869d-cb900281c7c","ORTL06_Core Image")</f>
        <v>ORTL06_Core Image</v>
      </c>
    </row>
    <row r="780" spans="1:11" x14ac:dyDescent="0.25">
      <c r="A780" t="str">
        <f>HYPERLINK("http://www.corstruth.com.au/WA/WTB-05_cs.png","WTB-05_A4")</f>
        <v>WTB-05_A4</v>
      </c>
      <c r="D780" t="s">
        <v>1037</v>
      </c>
      <c r="E780" t="s">
        <v>1</v>
      </c>
      <c r="G780" t="s">
        <v>623</v>
      </c>
      <c r="H780" t="s">
        <v>1038</v>
      </c>
      <c r="I780">
        <v>-28.645900000000001</v>
      </c>
      <c r="J780">
        <v>121.813</v>
      </c>
    </row>
    <row r="781" spans="1:11" x14ac:dyDescent="0.25">
      <c r="A781" t="str">
        <f>HYPERLINK("http://www.corstruth.com.au/WA/WTB-06_cs.png","WTB-06_A4")</f>
        <v>WTB-06_A4</v>
      </c>
      <c r="D781" t="s">
        <v>1039</v>
      </c>
      <c r="E781" t="s">
        <v>1</v>
      </c>
      <c r="G781" t="s">
        <v>623</v>
      </c>
      <c r="H781" t="s">
        <v>1038</v>
      </c>
      <c r="I781">
        <v>-28.6462</v>
      </c>
      <c r="J781">
        <v>121.813</v>
      </c>
    </row>
    <row r="782" spans="1:11" x14ac:dyDescent="0.25">
      <c r="A782" t="str">
        <f>HYPERLINK("http://www.corstruth.com.au/WA/WTB-07_cs.png","WTB-07_A4")</f>
        <v>WTB-07_A4</v>
      </c>
      <c r="D782" t="s">
        <v>1040</v>
      </c>
      <c r="E782" t="s">
        <v>1</v>
      </c>
      <c r="G782" t="s">
        <v>623</v>
      </c>
      <c r="H782" t="s">
        <v>1038</v>
      </c>
      <c r="I782">
        <v>-28.646899999999999</v>
      </c>
      <c r="J782">
        <v>121.813</v>
      </c>
    </row>
    <row r="783" spans="1:11" x14ac:dyDescent="0.25">
      <c r="A783" t="str">
        <f>HYPERLINK("http://www.corstruth.com.au/WA/WTB-09_cs.png","WTB-09_A4")</f>
        <v>WTB-09_A4</v>
      </c>
      <c r="D783" t="s">
        <v>1041</v>
      </c>
      <c r="E783" t="s">
        <v>1</v>
      </c>
      <c r="G783" t="s">
        <v>623</v>
      </c>
      <c r="H783" t="s">
        <v>1038</v>
      </c>
      <c r="I783">
        <v>-28.646899999999999</v>
      </c>
      <c r="J783">
        <v>121.813</v>
      </c>
    </row>
    <row r="784" spans="1:11" x14ac:dyDescent="0.25">
      <c r="A784" t="str">
        <f>HYPERLINK("http://www.corstruth.com.au/WA/WTB-14_cs.png","WTB-14_A4")</f>
        <v>WTB-14_A4</v>
      </c>
      <c r="D784" t="s">
        <v>1042</v>
      </c>
      <c r="E784" t="s">
        <v>1</v>
      </c>
      <c r="G784" t="s">
        <v>623</v>
      </c>
      <c r="H784" t="s">
        <v>1038</v>
      </c>
      <c r="I784">
        <v>-28.645900000000001</v>
      </c>
      <c r="J784">
        <v>121.81399999999999</v>
      </c>
      <c r="K784" t="str">
        <f>HYPERLINK("http://geossdi.dmp.wa.gov.au/NVCLDataServices/mosaic.html?datasetid=80d02bba-06ef-44b4-a73b-42a8ef5c190","WTB-14_Core Image")</f>
        <v>WTB-14_Core Image</v>
      </c>
    </row>
    <row r="785" spans="1:11" x14ac:dyDescent="0.25">
      <c r="A785" t="str">
        <f>HYPERLINK("http://www.corstruth.com.au/WA/WTB-21_cs.png","WTB-21_A4")</f>
        <v>WTB-21_A4</v>
      </c>
      <c r="D785" t="s">
        <v>1043</v>
      </c>
      <c r="E785" t="s">
        <v>1</v>
      </c>
      <c r="G785" t="s">
        <v>623</v>
      </c>
      <c r="H785" t="s">
        <v>1038</v>
      </c>
      <c r="I785">
        <v>-28.645800000000001</v>
      </c>
      <c r="J785">
        <v>121.813</v>
      </c>
      <c r="K785" t="str">
        <f>HYPERLINK("http://geossdi.dmp.wa.gov.au/NVCLDataServices/mosaic.html?datasetid=a224ece2-cc30-478b-a35d-70c99607235","WTB-21_Core Image")</f>
        <v>WTB-21_Core Image</v>
      </c>
    </row>
    <row r="786" spans="1:11" x14ac:dyDescent="0.25">
      <c r="A786" t="str">
        <f>HYPERLINK("http://www.corstruth.com.au/WA/WTB-22_cs.png","WTB-22_A4")</f>
        <v>WTB-22_A4</v>
      </c>
      <c r="D786" t="s">
        <v>1044</v>
      </c>
      <c r="E786" t="s">
        <v>1</v>
      </c>
      <c r="G786" t="s">
        <v>623</v>
      </c>
      <c r="H786" t="s">
        <v>1038</v>
      </c>
      <c r="I786">
        <v>-28.6465</v>
      </c>
      <c r="J786">
        <v>121.812</v>
      </c>
      <c r="K786" t="str">
        <f>HYPERLINK("http://geossdi.dmp.wa.gov.au/NVCLDataServices/mosaic.html?datasetid=e17e421b-8be5-4cab-9154-4cc44d3ac99","WTB-22_Core Image")</f>
        <v>WTB-22_Core Image</v>
      </c>
    </row>
    <row r="787" spans="1:11" x14ac:dyDescent="0.25">
      <c r="A787" t="str">
        <f>HYPERLINK("http://www.corstruth.com.au/WA/WTB-29_cs.png","WTB-29_A4")</f>
        <v>WTB-29_A4</v>
      </c>
      <c r="D787" t="s">
        <v>1045</v>
      </c>
      <c r="E787" t="s">
        <v>1</v>
      </c>
      <c r="G787" t="s">
        <v>623</v>
      </c>
      <c r="H787" t="s">
        <v>1038</v>
      </c>
      <c r="I787">
        <v>-28.6465</v>
      </c>
      <c r="J787">
        <v>121.812</v>
      </c>
      <c r="K787" t="str">
        <f>HYPERLINK("http://geossdi.dmp.wa.gov.au/NVCLDataServices/mosaic.html?datasetid=98c5a181-08fb-40b6-924d-873b2f8e8ab","WTB-29_Core Image")</f>
        <v>WTB-29_Core Image</v>
      </c>
    </row>
    <row r="788" spans="1:11" x14ac:dyDescent="0.25">
      <c r="A788" t="str">
        <f>HYPERLINK("http://www.corstruth.com.au/WA/WTB-55_cs.png","WTB-55_A4")</f>
        <v>WTB-55_A4</v>
      </c>
      <c r="D788" t="s">
        <v>1046</v>
      </c>
      <c r="E788" t="s">
        <v>1</v>
      </c>
      <c r="G788" t="s">
        <v>623</v>
      </c>
      <c r="H788" t="s">
        <v>1038</v>
      </c>
      <c r="I788">
        <v>-28.643799999999999</v>
      </c>
      <c r="J788">
        <v>121.813</v>
      </c>
      <c r="K788" t="str">
        <f>HYPERLINK("http://geossdi.dmp.wa.gov.au/NVCLDataServices/mosaic.html?datasetid=8b24190b-f711-4545-89b4-6382d69c7ac","WTB-55_Core Image")</f>
        <v>WTB-55_Core Image</v>
      </c>
    </row>
    <row r="789" spans="1:11" x14ac:dyDescent="0.25">
      <c r="A789" t="str">
        <f>HYPERLINK("http://www.corstruth.com.au/WA/WTB-60_cs.png","WTB-60_A4")</f>
        <v>WTB-60_A4</v>
      </c>
      <c r="D789" t="s">
        <v>1047</v>
      </c>
      <c r="E789" t="s">
        <v>1</v>
      </c>
      <c r="G789" t="s">
        <v>623</v>
      </c>
      <c r="H789" t="s">
        <v>1038</v>
      </c>
      <c r="I789">
        <v>-28.645800000000001</v>
      </c>
      <c r="J789">
        <v>121.812</v>
      </c>
      <c r="K789" t="str">
        <f>HYPERLINK("http://geossdi.dmp.wa.gov.au/NVCLDataServices/mosaic.html?datasetid=14906e6a-cd8e-444d-b9d8-5a6ea034bad","WTB-60_Core Image")</f>
        <v>WTB-60_Core Image</v>
      </c>
    </row>
    <row r="790" spans="1:11" x14ac:dyDescent="0.25">
      <c r="A790" t="str">
        <f>HYPERLINK("http://www.corstruth.com.au/WA/WTB-79_cs.png","WTB-79_A4")</f>
        <v>WTB-79_A4</v>
      </c>
      <c r="D790" t="s">
        <v>1048</v>
      </c>
      <c r="E790" t="s">
        <v>1</v>
      </c>
      <c r="G790" t="s">
        <v>623</v>
      </c>
      <c r="H790" t="s">
        <v>1038</v>
      </c>
      <c r="I790">
        <v>-28.646599999999999</v>
      </c>
      <c r="J790">
        <v>121.81399999999999</v>
      </c>
      <c r="K790" t="str">
        <f>HYPERLINK("http://geossdi.dmp.wa.gov.au/NVCLDataServices/mosaic.html?datasetid=a4b2b283-7b57-48a3-8c6f-dda9e3880c4","WTB-79_Core Image")</f>
        <v>WTB-79_Core Image</v>
      </c>
    </row>
    <row r="791" spans="1:11" x14ac:dyDescent="0.25">
      <c r="A791" t="str">
        <f>HYPERLINK("http://www.corstruth.com.au/WA/ERCD0142_cs.png","ERCD0142_A4")</f>
        <v>ERCD0142_A4</v>
      </c>
      <c r="B791" t="str">
        <f>HYPERLINK("http://www.corstruth.com.au/WA/PNG2/ERCD0142_cs.png","ERCD0142_0.25m Bins")</f>
        <v>ERCD0142_0.25m Bins</v>
      </c>
      <c r="C791" t="str">
        <f>HYPERLINK("http://www.corstruth.com.au/WA/CSV/ERCD0142.csv","ERCD0142_CSV File 1m Bins")</f>
        <v>ERCD0142_CSV File 1m Bins</v>
      </c>
      <c r="D791" t="s">
        <v>1049</v>
      </c>
      <c r="E791" t="s">
        <v>1</v>
      </c>
      <c r="G791" t="s">
        <v>623</v>
      </c>
      <c r="H791" t="s">
        <v>1050</v>
      </c>
      <c r="I791">
        <v>-26.760899999999999</v>
      </c>
      <c r="J791">
        <v>120.94199999999999</v>
      </c>
      <c r="K791" t="str">
        <f>HYPERLINK("http://geossdi.dmp.wa.gov.au/NVCLDataServices/mosaic.html?datasetid=8744c187-789a-4bad-ac8b-c7c3fc53657","ERCD0142_Core Image")</f>
        <v>ERCD0142_Core Image</v>
      </c>
    </row>
    <row r="792" spans="1:11" x14ac:dyDescent="0.25">
      <c r="A792" t="str">
        <f>HYPERLINK("http://www.corstruth.com.au/WA/ERCD0145_cs.png","ERCD0145_A4")</f>
        <v>ERCD0145_A4</v>
      </c>
      <c r="B792" t="str">
        <f>HYPERLINK("http://www.corstruth.com.au/WA/PNG2/ERCD0145_cs.png","ERCD0145_0.25m Bins")</f>
        <v>ERCD0145_0.25m Bins</v>
      </c>
      <c r="C792" t="str">
        <f>HYPERLINK("http://www.corstruth.com.au/WA/CSV/ERCD0145.csv","ERCD0145_CSV File 1m Bins")</f>
        <v>ERCD0145_CSV File 1m Bins</v>
      </c>
      <c r="D792" t="s">
        <v>1051</v>
      </c>
      <c r="E792" t="s">
        <v>1</v>
      </c>
      <c r="G792" t="s">
        <v>623</v>
      </c>
      <c r="H792" t="s">
        <v>1050</v>
      </c>
      <c r="I792">
        <v>-26.762699999999999</v>
      </c>
      <c r="J792">
        <v>120.943</v>
      </c>
      <c r="K792" t="str">
        <f>HYPERLINK("http://geossdi.dmp.wa.gov.au/NVCLDataServices/mosaic.html?datasetid=a5cdef17-26c2-4931-bbc4-67eb5a952eb","ERCD0145_Core Image")</f>
        <v>ERCD0145_Core Image</v>
      </c>
    </row>
    <row r="793" spans="1:11" x14ac:dyDescent="0.25">
      <c r="A793" t="str">
        <f>HYPERLINK("http://www.corstruth.com.au/WA/ERCD0151_cs.png","ERCD0151_A4")</f>
        <v>ERCD0151_A4</v>
      </c>
      <c r="B793" t="str">
        <f>HYPERLINK("http://www.corstruth.com.au/WA/PNG2/ERCD0151_cs.png","ERCD0151_0.25m Bins")</f>
        <v>ERCD0151_0.25m Bins</v>
      </c>
      <c r="C793" t="str">
        <f>HYPERLINK("http://www.corstruth.com.au/WA/CSV/ERCD0151.csv","ERCD0151_CSV File 1m Bins")</f>
        <v>ERCD0151_CSV File 1m Bins</v>
      </c>
      <c r="D793" t="s">
        <v>1052</v>
      </c>
      <c r="E793" t="s">
        <v>1</v>
      </c>
      <c r="G793" t="s">
        <v>623</v>
      </c>
      <c r="H793" t="s">
        <v>1050</v>
      </c>
      <c r="I793">
        <v>-26.760899999999999</v>
      </c>
      <c r="J793">
        <v>120.944</v>
      </c>
      <c r="K793" t="str">
        <f>HYPERLINK("http://geossdi.dmp.wa.gov.au/NVCLDataServices/mosaic.html?datasetid=c7314191-29a7-4596-b2b5-1d52c855269","ERCD0151_Core Image")</f>
        <v>ERCD0151_Core Image</v>
      </c>
    </row>
    <row r="794" spans="1:11" x14ac:dyDescent="0.25">
      <c r="A794" t="str">
        <f>HYPERLINK("http://www.corstruth.com.au/WA/ERCD0158_cs.png","ERCD0158_A4")</f>
        <v>ERCD0158_A4</v>
      </c>
      <c r="B794" t="str">
        <f>HYPERLINK("http://www.corstruth.com.au/WA/PNG2/ERCD0158_cs.png","ERCD0158_0.25m Bins")</f>
        <v>ERCD0158_0.25m Bins</v>
      </c>
      <c r="C794" t="str">
        <f>HYPERLINK("http://www.corstruth.com.au/WA/CSV/ERCD0158.csv","ERCD0158_CSV File 1m Bins")</f>
        <v>ERCD0158_CSV File 1m Bins</v>
      </c>
      <c r="D794" t="s">
        <v>1053</v>
      </c>
      <c r="E794" t="s">
        <v>1</v>
      </c>
      <c r="G794" t="s">
        <v>623</v>
      </c>
      <c r="H794" t="s">
        <v>1050</v>
      </c>
      <c r="I794">
        <v>-26.758500000000002</v>
      </c>
      <c r="J794">
        <v>120.94199999999999</v>
      </c>
      <c r="K794" t="str">
        <f>HYPERLINK("http://geossdi.dmp.wa.gov.au/NVCLDataServices/mosaic.html?datasetid=0a7eeb2b-ca0b-4108-a2c7-4c57140e84d","ERCD0158_Core Image")</f>
        <v>ERCD0158_Core Image</v>
      </c>
    </row>
    <row r="795" spans="1:11" x14ac:dyDescent="0.25">
      <c r="A795" t="str">
        <f>HYPERLINK("http://www.corstruth.com.au/WA/15SYDD0003B_cs.png","15SYDD0003B_A4")</f>
        <v>15SYDD0003B_A4</v>
      </c>
      <c r="B795" t="str">
        <f>HYPERLINK("http://www.corstruth.com.au/WA/PNG2/15SYDD0003B_cs.png","15SYDD0003B_0.25m Bins")</f>
        <v>15SYDD0003B_0.25m Bins</v>
      </c>
      <c r="C795" t="str">
        <f>HYPERLINK("http://www.corstruth.com.au/WA/CSV/15SYDD0003B.csv","15SYDD0003B_CSV File 1m Bins")</f>
        <v>15SYDD0003B_CSV File 1m Bins</v>
      </c>
      <c r="D795" t="s">
        <v>1054</v>
      </c>
      <c r="E795" t="s">
        <v>1</v>
      </c>
      <c r="G795" t="s">
        <v>623</v>
      </c>
      <c r="H795" t="s">
        <v>1055</v>
      </c>
      <c r="I795">
        <v>-28.5824</v>
      </c>
      <c r="J795">
        <v>123.89700000000001</v>
      </c>
      <c r="K795" t="str">
        <f>HYPERLINK("http://geossdi.dmp.wa.gov.au/NVCLDataServices/mosaic.html?datasetid=9ab25052-6242-4d1c-916f-07cb3c45494","15SYDD0003B_Core Image")</f>
        <v>15SYDD0003B_Core Image</v>
      </c>
    </row>
    <row r="796" spans="1:11" x14ac:dyDescent="0.25">
      <c r="A796" t="str">
        <f>HYPERLINK("http://www.corstruth.com.au/WA/15RCDVZ001_cs.png","15RCDVZ001_A4")</f>
        <v>15RCDVZ001_A4</v>
      </c>
      <c r="B796" t="str">
        <f>HYPERLINK("http://www.corstruth.com.au/WA/PNG2/15RCDVZ001_cs.png","15RCDVZ001_0.25m Bins")</f>
        <v>15RCDVZ001_0.25m Bins</v>
      </c>
      <c r="C796" t="str">
        <f>HYPERLINK("http://www.corstruth.com.au/WA/CSV/15RCDVZ001.csv","15RCDVZ001_CSV File 1m Bins")</f>
        <v>15RCDVZ001_CSV File 1m Bins</v>
      </c>
      <c r="D796" t="s">
        <v>1056</v>
      </c>
      <c r="E796" t="s">
        <v>1</v>
      </c>
      <c r="G796" t="s">
        <v>623</v>
      </c>
      <c r="H796" t="s">
        <v>1057</v>
      </c>
      <c r="I796">
        <v>-28.071200000000001</v>
      </c>
      <c r="J796">
        <v>120.976</v>
      </c>
      <c r="K796" t="str">
        <f>HYPERLINK("http://geossdi.dmp.wa.gov.au/NVCLDataServices/mosaic.html?datasetid=115c6bdc-24e9-45ac-a3b5-4c822ae1012","15RCDVZ001_Core Image")</f>
        <v>15RCDVZ001_Core Image</v>
      </c>
    </row>
    <row r="797" spans="1:11" x14ac:dyDescent="0.25">
      <c r="A797" t="str">
        <f>HYPERLINK("http://www.corstruth.com.au/WA/WDDH0092_cs.png","WDDH0092_A4")</f>
        <v>WDDH0092_A4</v>
      </c>
      <c r="B797" t="str">
        <f>HYPERLINK("http://www.corstruth.com.au/WA/PNG2/WDDH0092_cs.png","WDDH0092_0.25m Bins")</f>
        <v>WDDH0092_0.25m Bins</v>
      </c>
      <c r="C797" t="str">
        <f>HYPERLINK("http://www.corstruth.com.au/WA/CSV/WDDH0092.csv","WDDH0092_CSV File 1m Bins")</f>
        <v>WDDH0092_CSV File 1m Bins</v>
      </c>
      <c r="D797" t="s">
        <v>1058</v>
      </c>
      <c r="E797" t="s">
        <v>1</v>
      </c>
      <c r="G797" t="s">
        <v>623</v>
      </c>
      <c r="H797" t="s">
        <v>1059</v>
      </c>
      <c r="I797">
        <v>-31.372900000000001</v>
      </c>
      <c r="J797">
        <v>121.49299999999999</v>
      </c>
      <c r="K797" t="str">
        <f>HYPERLINK("http://geossdi.dmp.wa.gov.au/NVCLDataServices/mosaic.html?datasetid=17659179-53bf-4dae-b8cc-679941f8189","WDDH0092_Core Image")</f>
        <v>WDDH0092_Core Image</v>
      </c>
    </row>
    <row r="798" spans="1:11" x14ac:dyDescent="0.25">
      <c r="A798" t="str">
        <f>HYPERLINK("http://www.corstruth.com.au/WA/WDDH0092A_cs.png","WDDH0092A_A4")</f>
        <v>WDDH0092A_A4</v>
      </c>
      <c r="B798" t="str">
        <f>HYPERLINK("http://www.corstruth.com.au/WA/PNG2/WDDH0092A_cs.png","WDDH0092A_0.25m Bins")</f>
        <v>WDDH0092A_0.25m Bins</v>
      </c>
      <c r="C798" t="str">
        <f>HYPERLINK("http://www.corstruth.com.au/WA/CSV/WDDH0092A.csv","WDDH0092A_CSV File 1m Bins")</f>
        <v>WDDH0092A_CSV File 1m Bins</v>
      </c>
      <c r="D798" t="s">
        <v>1060</v>
      </c>
      <c r="E798" t="s">
        <v>1</v>
      </c>
      <c r="G798" t="s">
        <v>623</v>
      </c>
      <c r="H798" t="s">
        <v>1059</v>
      </c>
      <c r="I798">
        <v>-31.372900000000001</v>
      </c>
      <c r="J798">
        <v>121.49299999999999</v>
      </c>
      <c r="K798" t="str">
        <f>HYPERLINK("http://geossdi.dmp.wa.gov.au/NVCLDataServices/mosaic.html?datasetid=f5e0d5d7-a841-425b-91a1-ddfd2c6b366","WDDH0092A_Core Image")</f>
        <v>WDDH0092A_Core Image</v>
      </c>
    </row>
    <row r="799" spans="1:11" x14ac:dyDescent="0.25">
      <c r="A799" t="str">
        <f>HYPERLINK("http://www.corstruth.com.au/WA/WDDH0093_cs.png","WDDH0093_A4")</f>
        <v>WDDH0093_A4</v>
      </c>
      <c r="B799" t="str">
        <f>HYPERLINK("http://www.corstruth.com.au/WA/PNG2/WDDH0093_cs.png","WDDH0093_0.25m Bins")</f>
        <v>WDDH0093_0.25m Bins</v>
      </c>
      <c r="C799" t="str">
        <f>HYPERLINK("http://www.corstruth.com.au/WA/CSV/WDDH0093.csv","WDDH0093_CSV File 1m Bins")</f>
        <v>WDDH0093_CSV File 1m Bins</v>
      </c>
      <c r="D799" t="s">
        <v>1061</v>
      </c>
      <c r="E799" t="s">
        <v>1</v>
      </c>
      <c r="G799" t="s">
        <v>623</v>
      </c>
      <c r="H799" t="s">
        <v>1062</v>
      </c>
      <c r="I799">
        <v>-31.371200000000002</v>
      </c>
      <c r="J799">
        <v>121.491</v>
      </c>
      <c r="K799" t="str">
        <f>HYPERLINK("http://geossdi.dmp.wa.gov.au/NVCLDataServices/mosaic.html?datasetid=635b89bc-9a97-46dc-ab3f-196a9a3bfd4","WDDH0093_Core Image")</f>
        <v>WDDH0093_Core Image</v>
      </c>
    </row>
    <row r="800" spans="1:11" x14ac:dyDescent="0.25">
      <c r="A800" t="str">
        <f>HYPERLINK("http://www.corstruth.com.au/WA/WDDH0093A_cs.png","WDDH0093A_A4")</f>
        <v>WDDH0093A_A4</v>
      </c>
      <c r="B800" t="str">
        <f>HYPERLINK("http://www.corstruth.com.au/WA/PNG2/WDDH0093A_cs.png","WDDH0093A_0.25m Bins")</f>
        <v>WDDH0093A_0.25m Bins</v>
      </c>
      <c r="C800" t="str">
        <f>HYPERLINK("http://www.corstruth.com.au/WA/CSV/WDDH0093A.csv","WDDH0093A_CSV File 1m Bins")</f>
        <v>WDDH0093A_CSV File 1m Bins</v>
      </c>
      <c r="D800" t="s">
        <v>1063</v>
      </c>
      <c r="E800" t="s">
        <v>1</v>
      </c>
      <c r="G800" t="s">
        <v>623</v>
      </c>
      <c r="H800" t="s">
        <v>1062</v>
      </c>
      <c r="I800">
        <v>-31.371200000000002</v>
      </c>
      <c r="J800">
        <v>121.491</v>
      </c>
      <c r="K800" t="str">
        <f>HYPERLINK("http://geossdi.dmp.wa.gov.au/NVCLDataServices/mosaic.html?datasetid=130fe0e0-291a-4f7f-b257-80e2d92455f","WDDH0093A_Core Image")</f>
        <v>WDDH0093A_Core Image</v>
      </c>
    </row>
    <row r="801" spans="1:11" x14ac:dyDescent="0.25">
      <c r="A801" t="str">
        <f>HYPERLINK("http://www.corstruth.com.au/WA/WDDH0093B_cs.png","WDDH0093B_A4")</f>
        <v>WDDH0093B_A4</v>
      </c>
      <c r="B801" t="str">
        <f>HYPERLINK("http://www.corstruth.com.au/WA/PNG2/WDDH0093B_cs.png","WDDH0093B_0.25m Bins")</f>
        <v>WDDH0093B_0.25m Bins</v>
      </c>
      <c r="C801" t="str">
        <f>HYPERLINK("http://www.corstruth.com.au/WA/CSV/WDDH0093B.csv","WDDH0093B_CSV File 1m Bins")</f>
        <v>WDDH0093B_CSV File 1m Bins</v>
      </c>
      <c r="D801" t="s">
        <v>1064</v>
      </c>
      <c r="E801" t="s">
        <v>1</v>
      </c>
      <c r="G801" t="s">
        <v>623</v>
      </c>
      <c r="H801" t="s">
        <v>1062</v>
      </c>
      <c r="I801">
        <v>-31.371200000000002</v>
      </c>
      <c r="J801">
        <v>121.491</v>
      </c>
      <c r="K801" t="str">
        <f>HYPERLINK("http://geossdi.dmp.wa.gov.au/NVCLDataServices/mosaic.html?datasetid=44638cad-2670-42b3-a272-bab9ec7ddee","WDDH0093B_Core Image")</f>
        <v>WDDH0093B_Core Image</v>
      </c>
    </row>
    <row r="802" spans="1:11" x14ac:dyDescent="0.25">
      <c r="A802" t="str">
        <f>HYPERLINK("http://www.corstruth.com.au/WA/WKDD15003_cs.png","WKDD15003_A4")</f>
        <v>WKDD15003_A4</v>
      </c>
      <c r="B802" t="str">
        <f>HYPERLINK("http://www.corstruth.com.au/WA/PNG2/WKDD15003_cs.png","WKDD15003_0.25m Bins")</f>
        <v>WKDD15003_0.25m Bins</v>
      </c>
      <c r="C802" t="str">
        <f>HYPERLINK("http://www.corstruth.com.au/WA/CSV/WKDD15003.csv","WKDD15003_CSV File 1m Bins")</f>
        <v>WKDD15003_CSV File 1m Bins</v>
      </c>
      <c r="D802" t="s">
        <v>1065</v>
      </c>
      <c r="E802" t="s">
        <v>1</v>
      </c>
      <c r="G802" t="s">
        <v>623</v>
      </c>
      <c r="H802" t="s">
        <v>1066</v>
      </c>
      <c r="I802">
        <v>-30.721900000000002</v>
      </c>
      <c r="J802">
        <v>121.21299999999999</v>
      </c>
      <c r="K802" t="str">
        <f>HYPERLINK("http://geossdi.dmp.wa.gov.au/NVCLDataServices/mosaic.html?datasetid=20bd6942-e85e-4be6-9bac-c13c19a700a","WKDD15003_Core Image")</f>
        <v>WKDD15003_Core Image</v>
      </c>
    </row>
    <row r="803" spans="1:11" x14ac:dyDescent="0.25">
      <c r="A803" t="str">
        <f>HYPERLINK("http://www.corstruth.com.au/WA/WKDD15004_cs.png","WKDD15004_A4")</f>
        <v>WKDD15004_A4</v>
      </c>
      <c r="B803" t="str">
        <f>HYPERLINK("http://www.corstruth.com.au/WA/PNG2/WKDD15004_cs.png","WKDD15004_0.25m Bins")</f>
        <v>WKDD15004_0.25m Bins</v>
      </c>
      <c r="C803" t="str">
        <f>HYPERLINK("http://www.corstruth.com.au/WA/CSV/WKDD15004.csv","WKDD15004_CSV File 1m Bins")</f>
        <v>WKDD15004_CSV File 1m Bins</v>
      </c>
      <c r="D803" t="s">
        <v>1067</v>
      </c>
      <c r="E803" t="s">
        <v>1</v>
      </c>
      <c r="G803" t="s">
        <v>623</v>
      </c>
      <c r="H803" t="s">
        <v>1066</v>
      </c>
      <c r="I803">
        <v>-30.722000000000001</v>
      </c>
      <c r="J803">
        <v>121.21599999999999</v>
      </c>
      <c r="K803" t="str">
        <f>HYPERLINK("http://geossdi.dmp.wa.gov.au/NVCLDataServices/mosaic.html?datasetid=e0e2ef33-1c55-440e-a331-784051c9e19","WKDD15004_Core Image")</f>
        <v>WKDD15004_Core Image</v>
      </c>
    </row>
    <row r="804" spans="1:11" x14ac:dyDescent="0.25">
      <c r="A804" t="str">
        <f>HYPERLINK("http://www.corstruth.com.au/WA/WKDD15001_cs.png","WKDD15001_A4")</f>
        <v>WKDD15001_A4</v>
      </c>
      <c r="B804" t="str">
        <f>HYPERLINK("http://www.corstruth.com.au/WA/PNG2/WKDD15001_cs.png","WKDD15001_0.25m Bins")</f>
        <v>WKDD15001_0.25m Bins</v>
      </c>
      <c r="C804" t="str">
        <f>HYPERLINK("http://www.corstruth.com.au/WA/CSV/WKDD15001.csv","WKDD15001_CSV File 1m Bins")</f>
        <v>WKDD15001_CSV File 1m Bins</v>
      </c>
      <c r="D804" t="s">
        <v>1068</v>
      </c>
      <c r="E804" t="s">
        <v>1</v>
      </c>
      <c r="G804" t="s">
        <v>623</v>
      </c>
      <c r="H804" t="s">
        <v>1069</v>
      </c>
      <c r="I804">
        <v>-30.726600000000001</v>
      </c>
      <c r="J804">
        <v>121.20699999999999</v>
      </c>
      <c r="K804" t="str">
        <f>HYPERLINK("http://geossdi.dmp.wa.gov.au/NVCLDataServices/mosaic.html?datasetid=72165489-8433-46df-957e-454b9ad19ff","WKDD15001_Core Image")</f>
        <v>WKDD15001_Core Image</v>
      </c>
    </row>
    <row r="805" spans="1:11" x14ac:dyDescent="0.25">
      <c r="A805" t="str">
        <f>HYPERLINK("http://www.corstruth.com.au/WA/20MNDD0001_cs.png","20MNDD0001_A4")</f>
        <v>20MNDD0001_A4</v>
      </c>
      <c r="B805" t="str">
        <f>HYPERLINK("http://www.corstruth.com.au/WA/PNG2/20MNDD0001_cs.png","20MNDD0001_0.25m Bins")</f>
        <v>20MNDD0001_0.25m Bins</v>
      </c>
      <c r="C805" t="str">
        <f>HYPERLINK("http://www.corstruth.com.au/WA/CSV/20MNDD0001.csv","20MNDD0001_CSV File 1m Bins")</f>
        <v>20MNDD0001_CSV File 1m Bins</v>
      </c>
      <c r="D805" t="s">
        <v>1070</v>
      </c>
      <c r="E805" t="s">
        <v>1</v>
      </c>
      <c r="G805" t="s">
        <v>623</v>
      </c>
      <c r="H805" t="s">
        <v>1071</v>
      </c>
      <c r="I805">
        <v>-28.662700000000001</v>
      </c>
      <c r="J805">
        <v>121.15</v>
      </c>
      <c r="K805" t="str">
        <f>HYPERLINK("http://geossdi.dmp.wa.gov.au/NVCLDataServices/mosaic.html?datasetid=aad8e97b-07f5-41b2-be70-9cb05c46d91","20MNDD0001_Core Image")</f>
        <v>20MNDD0001_Core Image</v>
      </c>
    </row>
    <row r="806" spans="1:11" x14ac:dyDescent="0.25">
      <c r="A806" t="str">
        <f>HYPERLINK("http://www.corstruth.com.au/WA/20WNRCD001_cs.png","20WNRCD001_A4")</f>
        <v>20WNRCD001_A4</v>
      </c>
      <c r="B806" t="str">
        <f>HYPERLINK("http://www.corstruth.com.au/WA/PNG2/20WNRCD001_cs.png","20WNRCD001_0.25m Bins")</f>
        <v>20WNRCD001_0.25m Bins</v>
      </c>
      <c r="C806" t="str">
        <f>HYPERLINK("http://www.corstruth.com.au/WA/CSV/20WNRCD001.csv","20WNRCD001_CSV File 1m Bins")</f>
        <v>20WNRCD001_CSV File 1m Bins</v>
      </c>
      <c r="D806" t="s">
        <v>1072</v>
      </c>
      <c r="E806" t="s">
        <v>1</v>
      </c>
      <c r="G806" t="s">
        <v>623</v>
      </c>
      <c r="H806" t="s">
        <v>1073</v>
      </c>
      <c r="I806">
        <v>-27.7438</v>
      </c>
      <c r="J806">
        <v>123.267</v>
      </c>
    </row>
    <row r="807" spans="1:11" x14ac:dyDescent="0.25">
      <c r="A807" t="str">
        <f>HYPERLINK("http://www.corstruth.com.au/WA/20WNRCD002_cs.png","20WNRCD002_A4")</f>
        <v>20WNRCD002_A4</v>
      </c>
      <c r="B807" t="str">
        <f>HYPERLINK("http://www.corstruth.com.au/WA/PNG2/20WNRCD002_cs.png","20WNRCD002_0.25m Bins")</f>
        <v>20WNRCD002_0.25m Bins</v>
      </c>
      <c r="C807" t="str">
        <f>HYPERLINK("http://www.corstruth.com.au/WA/CSV/20WNRCD002.csv","20WNRCD002_CSV File 1m Bins")</f>
        <v>20WNRCD002_CSV File 1m Bins</v>
      </c>
      <c r="D807" t="s">
        <v>1074</v>
      </c>
      <c r="E807" t="s">
        <v>1</v>
      </c>
      <c r="G807" t="s">
        <v>623</v>
      </c>
      <c r="H807" t="s">
        <v>1075</v>
      </c>
      <c r="I807">
        <v>-27.743300000000001</v>
      </c>
      <c r="J807">
        <v>123.26600000000001</v>
      </c>
    </row>
    <row r="808" spans="1:11" x14ac:dyDescent="0.25">
      <c r="A808" t="str">
        <f>HYPERLINK("http://www.corstruth.com.au/WA/PND0110_cs.png","PND0110_A4")</f>
        <v>PND0110_A4</v>
      </c>
      <c r="B808" t="str">
        <f>HYPERLINK("http://www.corstruth.com.au/WA/PNG2/PND0110_cs.png","PND0110_0.25m Bins")</f>
        <v>PND0110_0.25m Bins</v>
      </c>
      <c r="C808" t="str">
        <f>HYPERLINK("http://www.corstruth.com.au/WA/CSV/PND0110.csv","PND0110_CSV File 1m Bins")</f>
        <v>PND0110_CSV File 1m Bins</v>
      </c>
      <c r="D808" t="s">
        <v>1076</v>
      </c>
      <c r="E808" t="s">
        <v>1</v>
      </c>
      <c r="G808" t="s">
        <v>623</v>
      </c>
      <c r="H808" t="s">
        <v>1077</v>
      </c>
      <c r="I808">
        <v>-28.550699999999999</v>
      </c>
      <c r="J808">
        <v>122.251</v>
      </c>
      <c r="K808" t="str">
        <f>HYPERLINK("http://geossdi.dmp.wa.gov.au/NVCLDataServices/mosaic.html?datasetid=f8407357-0aba-4380-9b8f-18daeb90067","PND0110_Core Image")</f>
        <v>PND0110_Core Image</v>
      </c>
    </row>
    <row r="809" spans="1:11" x14ac:dyDescent="0.25">
      <c r="A809" t="str">
        <f>HYPERLINK("http://www.corstruth.com.au/WA/12DHDD0001_cs.png","12DHDD0001_A4")</f>
        <v>12DHDD0001_A4</v>
      </c>
      <c r="B809" t="str">
        <f>HYPERLINK("http://www.corstruth.com.au/WA/PNG2/12DHDD0001_cs.png","12DHDD0001_0.25m Bins")</f>
        <v>12DHDD0001_0.25m Bins</v>
      </c>
      <c r="C809" t="str">
        <f>HYPERLINK("http://www.corstruth.com.au/WA/CSV/12DHDD0001.csv","12DHDD0001_CSV File 1m Bins")</f>
        <v>12DHDD0001_CSV File 1m Bins</v>
      </c>
      <c r="D809" t="s">
        <v>1078</v>
      </c>
      <c r="E809" t="s">
        <v>1</v>
      </c>
      <c r="G809" t="s">
        <v>623</v>
      </c>
      <c r="H809" t="s">
        <v>1079</v>
      </c>
      <c r="I809">
        <v>-28.0185</v>
      </c>
      <c r="J809">
        <v>123.876</v>
      </c>
      <c r="K809" t="str">
        <f>HYPERLINK("http://geossdi.dmp.wa.gov.au/NVCLDataServices/mosaic.html?datasetid=1fd22ca3-4590-4b33-ba37-d8f84d4dc5b","12DHDD0001_Core Image")</f>
        <v>12DHDD0001_Core Image</v>
      </c>
    </row>
    <row r="810" spans="1:11" x14ac:dyDescent="0.25">
      <c r="A810" t="str">
        <f>HYPERLINK("http://www.corstruth.com.au/WA/12DHDD0002_cs.png","12DHDD0002_A4")</f>
        <v>12DHDD0002_A4</v>
      </c>
      <c r="B810" t="str">
        <f>HYPERLINK("http://www.corstruth.com.au/WA/PNG2/12DHDD0002_cs.png","12DHDD0002_0.25m Bins")</f>
        <v>12DHDD0002_0.25m Bins</v>
      </c>
      <c r="C810" t="str">
        <f>HYPERLINK("http://www.corstruth.com.au/WA/CSV/12DHDD0002.csv","12DHDD0002_CSV File 1m Bins")</f>
        <v>12DHDD0002_CSV File 1m Bins</v>
      </c>
      <c r="D810" t="s">
        <v>1080</v>
      </c>
      <c r="E810" t="s">
        <v>1</v>
      </c>
      <c r="G810" t="s">
        <v>623</v>
      </c>
      <c r="H810" t="s">
        <v>1079</v>
      </c>
      <c r="I810">
        <v>-28.0337</v>
      </c>
      <c r="J810">
        <v>123.917</v>
      </c>
      <c r="K810" t="str">
        <f>HYPERLINK("http://geossdi.dmp.wa.gov.au/NVCLDataServices/mosaic.html?datasetid=e2600191-b2dd-41fb-ace1-d36164b8651","12DHDD0002_Core Image")</f>
        <v>12DHDD0002_Core Image</v>
      </c>
    </row>
    <row r="811" spans="1:11" x14ac:dyDescent="0.25">
      <c r="A811" t="str">
        <f>HYPERLINK("http://www.corstruth.com.au/WA/18EMRCD001_cs.png","18EMRCD001_A4")</f>
        <v>18EMRCD001_A4</v>
      </c>
      <c r="B811" t="str">
        <f>HYPERLINK("http://www.corstruth.com.au/WA/PNG2/18EMRCD001_cs.png","18EMRCD001_0.25m Bins")</f>
        <v>18EMRCD001_0.25m Bins</v>
      </c>
      <c r="C811" t="str">
        <f>HYPERLINK("http://www.corstruth.com.au/WA/CSV/18EMRCD001.csv","18EMRCD001_CSV File 1m Bins")</f>
        <v>18EMRCD001_CSV File 1m Bins</v>
      </c>
      <c r="D811" t="s">
        <v>1081</v>
      </c>
      <c r="E811" t="s">
        <v>1</v>
      </c>
      <c r="G811" t="s">
        <v>623</v>
      </c>
      <c r="H811" t="s">
        <v>1082</v>
      </c>
      <c r="I811">
        <v>-28.160900000000002</v>
      </c>
      <c r="J811">
        <v>123.59399999999999</v>
      </c>
      <c r="K811" t="str">
        <f>HYPERLINK("http://geossdi.dmp.wa.gov.au/NVCLDataServices/mosaic.html?datasetid=2624eb8c-8fa5-4027-a4e3-a5d000d81bf","18EMRCD001_Core Image")</f>
        <v>18EMRCD001_Core Image</v>
      </c>
    </row>
    <row r="812" spans="1:11" x14ac:dyDescent="0.25">
      <c r="A812" t="str">
        <f>HYPERLINK("http://www.corstruth.com.au/WA/19EMRCD002_cs.png","19EMRCD002_A4")</f>
        <v>19EMRCD002_A4</v>
      </c>
      <c r="B812" t="str">
        <f>HYPERLINK("http://www.corstruth.com.au/WA/PNG2/19EMRCD002_cs.png","19EMRCD002_0.25m Bins")</f>
        <v>19EMRCD002_0.25m Bins</v>
      </c>
      <c r="C812" t="str">
        <f>HYPERLINK("http://www.corstruth.com.au/WA/CSV/19EMRCD002.csv","19EMRCD002_CSV File 1m Bins")</f>
        <v>19EMRCD002_CSV File 1m Bins</v>
      </c>
      <c r="D812" t="s">
        <v>1083</v>
      </c>
      <c r="E812" t="s">
        <v>1</v>
      </c>
      <c r="G812" t="s">
        <v>623</v>
      </c>
      <c r="H812" t="s">
        <v>1082</v>
      </c>
      <c r="I812">
        <v>-28.160299999999999</v>
      </c>
      <c r="J812">
        <v>123.59</v>
      </c>
      <c r="K812" t="str">
        <f>HYPERLINK("http://geossdi.dmp.wa.gov.au/NVCLDataServices/mosaic.html?datasetid=8eb21376-f454-4c58-b14a-a02c76df0b8","19EMRCD002_Core Image")</f>
        <v>19EMRCD002_Core Image</v>
      </c>
    </row>
    <row r="813" spans="1:11" x14ac:dyDescent="0.25">
      <c r="A813" t="str">
        <f>HYPERLINK("http://www.corstruth.com.au/WA/19EMRCD003_cs.png","19EMRCD003_A4")</f>
        <v>19EMRCD003_A4</v>
      </c>
      <c r="B813" t="str">
        <f>HYPERLINK("http://www.corstruth.com.au/WA/PNG2/19EMRCD003_cs.png","19EMRCD003_0.25m Bins")</f>
        <v>19EMRCD003_0.25m Bins</v>
      </c>
      <c r="C813" t="str">
        <f>HYPERLINK("http://www.corstruth.com.au/WA/CSV/19EMRCD003.csv","19EMRCD003_CSV File 1m Bins")</f>
        <v>19EMRCD003_CSV File 1m Bins</v>
      </c>
      <c r="D813" t="s">
        <v>1084</v>
      </c>
      <c r="E813" t="s">
        <v>1</v>
      </c>
      <c r="G813" t="s">
        <v>623</v>
      </c>
      <c r="H813" t="s">
        <v>1082</v>
      </c>
      <c r="I813">
        <v>-28.1843</v>
      </c>
      <c r="J813">
        <v>123.608</v>
      </c>
      <c r="K813" t="str">
        <f>HYPERLINK("http://geossdi.dmp.wa.gov.au/NVCLDataServices/mosaic.html?datasetid=92d77c82-3b6f-4f23-9aae-9555a889911","19EMRCD003_Core Image")</f>
        <v>19EMRCD003_Core Image</v>
      </c>
    </row>
    <row r="814" spans="1:11" x14ac:dyDescent="0.25">
      <c r="A814" t="str">
        <f>HYPERLINK("http://www.corstruth.com.au/WA/17MVDD001_cs.png","17MVDD001_A4")</f>
        <v>17MVDD001_A4</v>
      </c>
      <c r="B814" t="str">
        <f>HYPERLINK("http://www.corstruth.com.au/WA/PNG2/17MVDD001_cs.png","17MVDD001_0.25m Bins")</f>
        <v>17MVDD001_0.25m Bins</v>
      </c>
      <c r="C814" t="str">
        <f>HYPERLINK("http://www.corstruth.com.au/WA/CSV/17MVDD001.csv","17MVDD001_CSV File 1m Bins")</f>
        <v>17MVDD001_CSV File 1m Bins</v>
      </c>
      <c r="D814" t="s">
        <v>1085</v>
      </c>
      <c r="E814" t="s">
        <v>1</v>
      </c>
      <c r="G814" t="s">
        <v>623</v>
      </c>
      <c r="H814" t="s">
        <v>1086</v>
      </c>
      <c r="I814">
        <v>-28.136500000000002</v>
      </c>
      <c r="J814">
        <v>123.51300000000001</v>
      </c>
      <c r="K814" t="str">
        <f>HYPERLINK("http://geossdi.dmp.wa.gov.au/NVCLDataServices/mosaic.html?datasetid=58b73899-fedd-4a52-8683-6138589d2c6","17MVDD001_Core Image")</f>
        <v>17MVDD001_Core Image</v>
      </c>
    </row>
    <row r="815" spans="1:11" x14ac:dyDescent="0.25">
      <c r="A815" t="str">
        <f>HYPERLINK("http://www.corstruth.com.au/WA/17MVDD002_cs.png","17MVDD002_A4")</f>
        <v>17MVDD002_A4</v>
      </c>
      <c r="B815" t="str">
        <f>HYPERLINK("http://www.corstruth.com.au/WA/PNG2/17MVDD002_cs.png","17MVDD002_0.25m Bins")</f>
        <v>17MVDD002_0.25m Bins</v>
      </c>
      <c r="C815" t="str">
        <f>HYPERLINK("http://www.corstruth.com.au/WA/CSV/17MVDD002.csv","17MVDD002_CSV File 1m Bins")</f>
        <v>17MVDD002_CSV File 1m Bins</v>
      </c>
      <c r="D815" t="s">
        <v>1087</v>
      </c>
      <c r="E815" t="s">
        <v>1</v>
      </c>
      <c r="G815" t="s">
        <v>623</v>
      </c>
      <c r="H815" t="s">
        <v>1086</v>
      </c>
      <c r="I815">
        <v>-28.1357</v>
      </c>
      <c r="J815">
        <v>123.512</v>
      </c>
      <c r="K815" t="str">
        <f>HYPERLINK("http://geossdi.dmp.wa.gov.au/NVCLDataServices/mosaic.html?datasetid=9e650d62-bb19-4e49-ac44-651f8a4e979","17MVDD002_Core Image")</f>
        <v>17MVDD002_Core Image</v>
      </c>
    </row>
    <row r="816" spans="1:11" x14ac:dyDescent="0.25">
      <c r="A816" t="str">
        <f>HYPERLINK("http://www.corstruth.com.au/WA/17MVDD003_cs.png","17MVDD003_A4")</f>
        <v>17MVDD003_A4</v>
      </c>
      <c r="B816" t="str">
        <f>HYPERLINK("http://www.corstruth.com.au/WA/PNG2/17MVDD003_cs.png","17MVDD003_0.25m Bins")</f>
        <v>17MVDD003_0.25m Bins</v>
      </c>
      <c r="C816" t="str">
        <f>HYPERLINK("http://www.corstruth.com.au/WA/CSV/17MVDD003.csv","17MVDD003_CSV File 1m Bins")</f>
        <v>17MVDD003_CSV File 1m Bins</v>
      </c>
      <c r="D816" t="s">
        <v>1088</v>
      </c>
      <c r="E816" t="s">
        <v>1</v>
      </c>
      <c r="G816" t="s">
        <v>623</v>
      </c>
      <c r="H816" t="s">
        <v>1086</v>
      </c>
      <c r="I816">
        <v>-28.137499999999999</v>
      </c>
      <c r="J816">
        <v>123.512</v>
      </c>
      <c r="K816" t="str">
        <f>HYPERLINK("http://geossdi.dmp.wa.gov.au/NVCLDataServices/mosaic.html?datasetid=b15d019d-dd69-4b84-a67e-bedd861e72d","17MVDD003_Core Image")</f>
        <v>17MVDD003_Core Image</v>
      </c>
    </row>
    <row r="817" spans="1:11" x14ac:dyDescent="0.25">
      <c r="A817" t="str">
        <f>HYPERLINK("http://www.corstruth.com.au/WA/17MVDD004_cs.png","17MVDD004_A4")</f>
        <v>17MVDD004_A4</v>
      </c>
      <c r="B817" t="str">
        <f>HYPERLINK("http://www.corstruth.com.au/WA/PNG2/17MVDD004_cs.png","17MVDD004_0.25m Bins")</f>
        <v>17MVDD004_0.25m Bins</v>
      </c>
      <c r="C817" t="str">
        <f>HYPERLINK("http://www.corstruth.com.au/WA/CSV/17MVDD004.csv","17MVDD004_CSV File 1m Bins")</f>
        <v>17MVDD004_CSV File 1m Bins</v>
      </c>
      <c r="D817" t="s">
        <v>1089</v>
      </c>
      <c r="E817" t="s">
        <v>1</v>
      </c>
      <c r="G817" t="s">
        <v>623</v>
      </c>
      <c r="H817" t="s">
        <v>1086</v>
      </c>
      <c r="I817">
        <v>-28.176100000000002</v>
      </c>
      <c r="J817">
        <v>123.53400000000001</v>
      </c>
      <c r="K817" t="str">
        <f>HYPERLINK("http://geossdi.dmp.wa.gov.au/NVCLDataServices/mosaic.html?datasetid=c6bc3cc5-c84a-4ae7-9edd-725cac43921","17MVDD004_Core Image")</f>
        <v>17MVDD004_Core Image</v>
      </c>
    </row>
    <row r="818" spans="1:11" x14ac:dyDescent="0.25">
      <c r="A818" t="str">
        <f>HYPERLINK("http://www.corstruth.com.au/WA/17MVRCD008_cs.png","17MVRCD008_A4")</f>
        <v>17MVRCD008_A4</v>
      </c>
      <c r="B818" t="str">
        <f>HYPERLINK("http://www.corstruth.com.au/WA/PNG2/17MVRCD008_cs.png","17MVRCD008_0.25m Bins")</f>
        <v>17MVRCD008_0.25m Bins</v>
      </c>
      <c r="C818" t="str">
        <f>HYPERLINK("http://www.corstruth.com.au/WA/CSV/17MVRCD008.csv","17MVRCD008_CSV File 1m Bins")</f>
        <v>17MVRCD008_CSV File 1m Bins</v>
      </c>
      <c r="D818" t="s">
        <v>1090</v>
      </c>
      <c r="E818" t="s">
        <v>1</v>
      </c>
      <c r="G818" t="s">
        <v>623</v>
      </c>
      <c r="H818" t="s">
        <v>1086</v>
      </c>
      <c r="I818">
        <v>-28.1387</v>
      </c>
      <c r="J818">
        <v>123.51300000000001</v>
      </c>
      <c r="K818" t="str">
        <f>HYPERLINK("http://geossdi.dmp.wa.gov.au/NVCLDataServices/mosaic.html?datasetid=882b981d-6cc4-43c2-a6c5-d492990c18d","17MVRCD008_Core Image")</f>
        <v>17MVRCD008_Core Image</v>
      </c>
    </row>
    <row r="819" spans="1:11" x14ac:dyDescent="0.25">
      <c r="A819" t="str">
        <f>HYPERLINK("http://www.corstruth.com.au/WA/17MVRCD018_cs.png","17MVRCD018_A4")</f>
        <v>17MVRCD018_A4</v>
      </c>
      <c r="B819" t="str">
        <f>HYPERLINK("http://www.corstruth.com.au/WA/PNG2/17MVRCD018_cs.png","17MVRCD018_0.25m Bins")</f>
        <v>17MVRCD018_0.25m Bins</v>
      </c>
      <c r="C819" t="str">
        <f>HYPERLINK("http://www.corstruth.com.au/WA/CSV/17MVRCD018.csv","17MVRCD018_CSV File 1m Bins")</f>
        <v>17MVRCD018_CSV File 1m Bins</v>
      </c>
      <c r="D819" t="s">
        <v>1091</v>
      </c>
      <c r="E819" t="s">
        <v>1</v>
      </c>
      <c r="G819" t="s">
        <v>623</v>
      </c>
      <c r="H819" t="s">
        <v>1086</v>
      </c>
      <c r="I819">
        <v>-28.115500000000001</v>
      </c>
      <c r="J819">
        <v>123.51300000000001</v>
      </c>
      <c r="K819" t="str">
        <f>HYPERLINK("http://geossdi.dmp.wa.gov.au/NVCLDataServices/mosaic.html?datasetid=150909b8-4b35-4a04-bda2-42a4804b0f7","17MVRCD018_Core Image")</f>
        <v>17MVRCD018_Core Image</v>
      </c>
    </row>
    <row r="820" spans="1:11" x14ac:dyDescent="0.25">
      <c r="A820" t="str">
        <f>HYPERLINK("http://www.corstruth.com.au/WA/ZNDD001_cs.png","ZNDD001_A4")</f>
        <v>ZNDD001_A4</v>
      </c>
      <c r="B820" t="str">
        <f>HYPERLINK("http://www.corstruth.com.au/WA/PNG2/ZNDD001_cs.png","ZNDD001_0.25m Bins")</f>
        <v>ZNDD001_0.25m Bins</v>
      </c>
      <c r="C820" t="str">
        <f>HYPERLINK("http://www.corstruth.com.au/WA/CSV/ZNDD001.csv","ZNDD001_CSV File 1m Bins")</f>
        <v>ZNDD001_CSV File 1m Bins</v>
      </c>
      <c r="D820" t="s">
        <v>1092</v>
      </c>
      <c r="E820" t="s">
        <v>1</v>
      </c>
      <c r="G820" t="s">
        <v>623</v>
      </c>
      <c r="H820" t="s">
        <v>1093</v>
      </c>
      <c r="I820">
        <v>-31.9453</v>
      </c>
      <c r="J820">
        <v>123.411</v>
      </c>
      <c r="K820" t="str">
        <f>HYPERLINK("http://geossdi.dmp.wa.gov.au/NVCLDataServices/mosaic.html?datasetid=59ceb4b9-cd69-4a56-9a4b-d4efbea5e97","ZNDD001_Core Image")</f>
        <v>ZNDD001_Core Image</v>
      </c>
    </row>
    <row r="821" spans="1:11" x14ac:dyDescent="0.25">
      <c r="A821" t="str">
        <f>HYPERLINK("http://www.corstruth.com.au/WA/ZNDD002_cs.png","ZNDD002_A4")</f>
        <v>ZNDD002_A4</v>
      </c>
      <c r="B821" t="str">
        <f>HYPERLINK("http://www.corstruth.com.au/WA/PNG2/ZNDD002_cs.png","ZNDD002_0.25m Bins")</f>
        <v>ZNDD002_0.25m Bins</v>
      </c>
      <c r="C821" t="str">
        <f>HYPERLINK("http://www.corstruth.com.au/WA/CSV/ZNDD002.csv","ZNDD002_CSV File 1m Bins")</f>
        <v>ZNDD002_CSV File 1m Bins</v>
      </c>
      <c r="D821" t="s">
        <v>1094</v>
      </c>
      <c r="E821" t="s">
        <v>1</v>
      </c>
      <c r="G821" t="s">
        <v>623</v>
      </c>
      <c r="H821" t="s">
        <v>1093</v>
      </c>
      <c r="I821">
        <v>-31.970099999999999</v>
      </c>
      <c r="J821">
        <v>123.411</v>
      </c>
      <c r="K821" t="str">
        <f>HYPERLINK("http://geossdi.dmp.wa.gov.au/NVCLDataServices/mosaic.html?datasetid=d5989b57-a6ce-4751-9003-4bb748f495f","ZNDD002_Core Image")</f>
        <v>ZNDD002_Core Image</v>
      </c>
    </row>
    <row r="822" spans="1:11" x14ac:dyDescent="0.25">
      <c r="A822" t="str">
        <f>HYPERLINK("http://www.corstruth.com.au/WA/ZNDD003_cs.png","ZNDD003_A4")</f>
        <v>ZNDD003_A4</v>
      </c>
      <c r="B822" t="str">
        <f>HYPERLINK("http://www.corstruth.com.au/WA/PNG2/ZNDD003_cs.png","ZNDD003_0.25m Bins")</f>
        <v>ZNDD003_0.25m Bins</v>
      </c>
      <c r="C822" t="str">
        <f>HYPERLINK("http://www.corstruth.com.au/WA/CSV/ZNDD003.csv","ZNDD003_CSV File 1m Bins")</f>
        <v>ZNDD003_CSV File 1m Bins</v>
      </c>
      <c r="D822" t="s">
        <v>1095</v>
      </c>
      <c r="E822" t="s">
        <v>1</v>
      </c>
      <c r="G822" t="s">
        <v>623</v>
      </c>
      <c r="H822" t="s">
        <v>1093</v>
      </c>
      <c r="I822">
        <v>-31.976700000000001</v>
      </c>
      <c r="J822">
        <v>123.405</v>
      </c>
      <c r="K822" t="str">
        <f>HYPERLINK("http://geossdi.dmp.wa.gov.au/NVCLDataServices/mosaic.html?datasetid=f41a47db-c276-4f81-9cee-a92ef7dd31d","ZNDD003_Core Image")</f>
        <v>ZNDD003_Core Image</v>
      </c>
    </row>
    <row r="823" spans="1:11" x14ac:dyDescent="0.25">
      <c r="A823" t="str">
        <f>HYPERLINK("http://www.corstruth.com.au/WA/ZNDD004_cs.png","ZNDD004_A4")</f>
        <v>ZNDD004_A4</v>
      </c>
      <c r="B823" t="str">
        <f>HYPERLINK("http://www.corstruth.com.au/WA/PNG2/ZNDD004_cs.png","ZNDD004_0.25m Bins")</f>
        <v>ZNDD004_0.25m Bins</v>
      </c>
      <c r="C823" t="str">
        <f>HYPERLINK("http://www.corstruth.com.au/WA/CSV/ZNDD004.csv","ZNDD004_CSV File 1m Bins")</f>
        <v>ZNDD004_CSV File 1m Bins</v>
      </c>
      <c r="D823" t="s">
        <v>1096</v>
      </c>
      <c r="E823" t="s">
        <v>1</v>
      </c>
      <c r="G823" t="s">
        <v>623</v>
      </c>
      <c r="H823" t="s">
        <v>1093</v>
      </c>
      <c r="I823">
        <v>-31.960599999999999</v>
      </c>
      <c r="J823">
        <v>123.431</v>
      </c>
      <c r="K823" t="str">
        <f>HYPERLINK("http://geossdi.dmp.wa.gov.au/NVCLDataServices/mosaic.html?datasetid=f1c651cc-d7ba-4103-ab4e-4a757889c56","ZNDD004_Core Image")</f>
        <v>ZNDD004_Core Image</v>
      </c>
    </row>
    <row r="824" spans="1:11" x14ac:dyDescent="0.25">
      <c r="A824" t="str">
        <f>HYPERLINK("http://www.corstruth.com.au/WA/ZNDD005_cs.png","ZNDD005_A4")</f>
        <v>ZNDD005_A4</v>
      </c>
      <c r="B824" t="str">
        <f>HYPERLINK("http://www.corstruth.com.au/WA/PNG2/ZNDD005_cs.png","ZNDD005_0.25m Bins")</f>
        <v>ZNDD005_0.25m Bins</v>
      </c>
      <c r="C824" t="str">
        <f>HYPERLINK("http://www.corstruth.com.au/WA/CSV/ZNDD005.csv","ZNDD005_CSV File 1m Bins")</f>
        <v>ZNDD005_CSV File 1m Bins</v>
      </c>
      <c r="D824" t="s">
        <v>1097</v>
      </c>
      <c r="E824" t="s">
        <v>1</v>
      </c>
      <c r="G824" t="s">
        <v>623</v>
      </c>
      <c r="H824" t="s">
        <v>1093</v>
      </c>
      <c r="I824">
        <v>-31.963999999999999</v>
      </c>
      <c r="J824">
        <v>123.42400000000001</v>
      </c>
      <c r="K824" t="str">
        <f>HYPERLINK("http://geossdi.dmp.wa.gov.au/NVCLDataServices/mosaic.html?datasetid=f9cb4ea5-cbb3-4f91-9372-11729a6556e","ZNDD005_Core Image")</f>
        <v>ZNDD005_Core Image</v>
      </c>
    </row>
    <row r="825" spans="1:11" x14ac:dyDescent="0.25">
      <c r="A825" t="str">
        <f>HYPERLINK("http://www.corstruth.com.au/WA/HY2_cs.png","HY2_A4")</f>
        <v>HY2_A4</v>
      </c>
      <c r="B825" t="str">
        <f>HYPERLINK("http://www.corstruth.com.au/WA/PNG2/HY2_cs.png","HY2_0.25m Bins")</f>
        <v>HY2_0.25m Bins</v>
      </c>
      <c r="C825" t="str">
        <f>HYPERLINK("http://www.corstruth.com.au/WA/CSV/HY2.csv","HY2_CSV File 1m Bins")</f>
        <v>HY2_CSV File 1m Bins</v>
      </c>
      <c r="D825" t="s">
        <v>1098</v>
      </c>
      <c r="E825" t="s">
        <v>1</v>
      </c>
      <c r="G825" t="s">
        <v>1099</v>
      </c>
      <c r="H825" t="s">
        <v>1100</v>
      </c>
      <c r="I825">
        <v>-24.6493</v>
      </c>
      <c r="J825">
        <v>118.569</v>
      </c>
      <c r="K825" t="str">
        <f>HYPERLINK("http://geossdi.dmp.wa.gov.au/NVCLDataServices/mosaic.html?datasetid=499290e4-74e1-4be4-9f89-ba393d29ca6","HY2_Core Image")</f>
        <v>HY2_Core Image</v>
      </c>
    </row>
    <row r="826" spans="1:11" x14ac:dyDescent="0.25">
      <c r="A826" t="str">
        <f>HYPERLINK("http://www.corstruth.com.au/WA/17BBDD004_cs.png","17BBDD004_A4")</f>
        <v>17BBDD004_A4</v>
      </c>
      <c r="B826" t="str">
        <f>HYPERLINK("http://www.corstruth.com.au/WA/PNG2/17BBDD004_cs.png","17BBDD004_0.25m Bins")</f>
        <v>17BBDD004_0.25m Bins</v>
      </c>
      <c r="C826" t="str">
        <f>HYPERLINK("http://www.corstruth.com.au/WA/CSV/17BBDD004.csv","17BBDD004_CSV File 1m Bins")</f>
        <v>17BBDD004_CSV File 1m Bins</v>
      </c>
      <c r="D826" t="s">
        <v>1101</v>
      </c>
      <c r="E826" t="s">
        <v>1</v>
      </c>
      <c r="G826" t="s">
        <v>1099</v>
      </c>
      <c r="H826" t="s">
        <v>1102</v>
      </c>
      <c r="I826">
        <v>-23.4404</v>
      </c>
      <c r="J826">
        <v>116.492</v>
      </c>
      <c r="K826" t="str">
        <f>HYPERLINK("http://geossdi.dmp.wa.gov.au/NVCLDataServices/mosaic.html?datasetid=e06cd8f4-dc49-4e2c-b3d4-02ee70c1488","17BBDD004_Core Image")</f>
        <v>17BBDD004_Core Image</v>
      </c>
    </row>
    <row r="827" spans="1:11" x14ac:dyDescent="0.25">
      <c r="A827" t="str">
        <f>HYPERLINK("http://www.corstruth.com.au/WA/17BBDD002_cs.png","17BBDD002_A4")</f>
        <v>17BBDD002_A4</v>
      </c>
      <c r="B827" t="str">
        <f>HYPERLINK("http://www.corstruth.com.au/WA/PNG2/17BBDD002_cs.png","17BBDD002_0.25m Bins")</f>
        <v>17BBDD002_0.25m Bins</v>
      </c>
      <c r="C827" t="str">
        <f>HYPERLINK("http://www.corstruth.com.au/WA/CSV/17BBDD002.csv","17BBDD002_CSV File 1m Bins")</f>
        <v>17BBDD002_CSV File 1m Bins</v>
      </c>
      <c r="D827" t="s">
        <v>1103</v>
      </c>
      <c r="E827" t="s">
        <v>1</v>
      </c>
      <c r="G827" t="s">
        <v>1099</v>
      </c>
      <c r="H827" t="s">
        <v>1104</v>
      </c>
      <c r="I827">
        <v>-23.531300000000002</v>
      </c>
      <c r="J827">
        <v>116.61</v>
      </c>
      <c r="K827" t="str">
        <f>HYPERLINK("http://geossdi.dmp.wa.gov.au/NVCLDataServices/mosaic.html?datasetid=1f12c965-0d62-486c-b144-98339bb6afc","17BBDD002_Core Image")</f>
        <v>17BBDD002_Core Image</v>
      </c>
    </row>
    <row r="828" spans="1:11" x14ac:dyDescent="0.25">
      <c r="A828" t="str">
        <f>HYPERLINK("http://www.corstruth.com.au/WA/DD97BC14_cs.png","DD97BC14_A4")</f>
        <v>DD97BC14_A4</v>
      </c>
      <c r="B828" t="str">
        <f>HYPERLINK("http://www.corstruth.com.au/WA/PNG2/DD97BC14_cs.png","DD97BC14_0.25m Bins")</f>
        <v>DD97BC14_0.25m Bins</v>
      </c>
      <c r="C828" t="str">
        <f>HYPERLINK("http://www.corstruth.com.au/WA/CSV/DD97BC14.csv","DD97BC14_CSV File 1m Bins")</f>
        <v>DD97BC14_CSV File 1m Bins</v>
      </c>
      <c r="D828" t="s">
        <v>1105</v>
      </c>
      <c r="E828" t="s">
        <v>1</v>
      </c>
      <c r="G828" t="s">
        <v>1099</v>
      </c>
      <c r="H828" t="s">
        <v>1106</v>
      </c>
      <c r="I828">
        <v>-24.275600000000001</v>
      </c>
      <c r="J828">
        <v>118.795</v>
      </c>
      <c r="K828" t="str">
        <f>HYPERLINK("http://geossdi.dmp.wa.gov.au/NVCLDataServices/mosaic.html?datasetid=5b8cfa60-1d3e-44e2-bd89-9f596bc5126","DD97BC14_Core Image")</f>
        <v>DD97BC14_Core Image</v>
      </c>
    </row>
    <row r="829" spans="1:11" x14ac:dyDescent="0.25">
      <c r="A829" t="str">
        <f>HYPERLINK("http://www.corstruth.com.au/WA/DD97BC16_cs.png","DD97BC16_A4")</f>
        <v>DD97BC16_A4</v>
      </c>
      <c r="B829" t="str">
        <f>HYPERLINK("http://www.corstruth.com.au/WA/PNG2/DD97BC16_cs.png","DD97BC16_0.25m Bins")</f>
        <v>DD97BC16_0.25m Bins</v>
      </c>
      <c r="C829" t="str">
        <f>HYPERLINK("http://www.corstruth.com.au/WA/CSV/DD97BC16.csv","DD97BC16_CSV File 1m Bins")</f>
        <v>DD97BC16_CSV File 1m Bins</v>
      </c>
      <c r="D829" t="s">
        <v>1107</v>
      </c>
      <c r="E829" t="s">
        <v>1</v>
      </c>
      <c r="G829" t="s">
        <v>1099</v>
      </c>
      <c r="H829" t="s">
        <v>1106</v>
      </c>
      <c r="I829">
        <v>-24.2943</v>
      </c>
      <c r="J829">
        <v>118.749</v>
      </c>
      <c r="K829" t="str">
        <f>HYPERLINK("http://geossdi.dmp.wa.gov.au/NVCLDataServices/mosaic.html?datasetid=62353069-cef8-4bb5-9630-4597a965555","DD97BC16_Core Image")</f>
        <v>DD97BC16_Core Image</v>
      </c>
    </row>
    <row r="830" spans="1:11" x14ac:dyDescent="0.25">
      <c r="A830" t="str">
        <f>HYPERLINK("http://www.corstruth.com.au/WA/BDD001_cs.png","BDD001_A4")</f>
        <v>BDD001_A4</v>
      </c>
      <c r="B830" t="str">
        <f>HYPERLINK("http://www.corstruth.com.au/WA/PNG2/BDD001_cs.png","BDD001_0.25m Bins")</f>
        <v>BDD001_0.25m Bins</v>
      </c>
      <c r="C830" t="str">
        <f>HYPERLINK("http://www.corstruth.com.au/WA/CSV/BDD001.csv","BDD001_CSV File 1m Bins")</f>
        <v>BDD001_CSV File 1m Bins</v>
      </c>
      <c r="D830" t="s">
        <v>1108</v>
      </c>
      <c r="E830" t="s">
        <v>1</v>
      </c>
      <c r="G830" t="s">
        <v>1099</v>
      </c>
      <c r="H830" t="s">
        <v>1109</v>
      </c>
      <c r="I830">
        <v>-23.962900000000001</v>
      </c>
      <c r="J830">
        <v>119.736</v>
      </c>
      <c r="K830" t="str">
        <f>HYPERLINK("http://geossdi.dmp.wa.gov.au/NVCLDataServices/mosaic.html?datasetid=29ee7fc7-f315-4169-a432-90b953e2fa4","BDD001_Core Image")</f>
        <v>BDD001_Core Image</v>
      </c>
    </row>
    <row r="831" spans="1:11" x14ac:dyDescent="0.25">
      <c r="A831" t="str">
        <f>HYPERLINK("http://www.corstruth.com.au/WA/BDD002_cs.png","BDD002_A4")</f>
        <v>BDD002_A4</v>
      </c>
      <c r="B831" t="str">
        <f>HYPERLINK("http://www.corstruth.com.au/WA/PNG2/BDD002_cs.png","BDD002_0.25m Bins")</f>
        <v>BDD002_0.25m Bins</v>
      </c>
      <c r="C831" t="str">
        <f>HYPERLINK("http://www.corstruth.com.au/WA/CSV/BDD002.csv","BDD002_CSV File 1m Bins")</f>
        <v>BDD002_CSV File 1m Bins</v>
      </c>
      <c r="D831" t="s">
        <v>1110</v>
      </c>
      <c r="E831" t="s">
        <v>1</v>
      </c>
      <c r="G831" t="s">
        <v>1099</v>
      </c>
      <c r="H831" t="s">
        <v>1109</v>
      </c>
      <c r="I831">
        <v>-23.975999999999999</v>
      </c>
      <c r="J831">
        <v>119.593</v>
      </c>
      <c r="K831" t="str">
        <f>HYPERLINK("http://geossdi.dmp.wa.gov.au/NVCLDataServices/mosaic.html?datasetid=5745aa5a-5629-40ef-a03f-8c0ee5e8acb","BDD002_Core Image")</f>
        <v>BDD002_Core Image</v>
      </c>
    </row>
    <row r="832" spans="1:11" x14ac:dyDescent="0.25">
      <c r="A832" t="str">
        <f>HYPERLINK("http://www.corstruth.com.au/WA/BDD003_cs.png","BDD003_A4")</f>
        <v>BDD003_A4</v>
      </c>
      <c r="B832" t="str">
        <f>HYPERLINK("http://www.corstruth.com.au/WA/PNG2/BDD003_cs.png","BDD003_0.25m Bins")</f>
        <v>BDD003_0.25m Bins</v>
      </c>
      <c r="C832" t="str">
        <f>HYPERLINK("http://www.corstruth.com.au/WA/CSV/BDD003.csv","BDD003_CSV File 1m Bins")</f>
        <v>BDD003_CSV File 1m Bins</v>
      </c>
      <c r="D832" t="s">
        <v>1111</v>
      </c>
      <c r="E832" t="s">
        <v>1</v>
      </c>
      <c r="G832" t="s">
        <v>1099</v>
      </c>
      <c r="H832" t="s">
        <v>1109</v>
      </c>
      <c r="I832">
        <v>-23.969799999999999</v>
      </c>
      <c r="J832">
        <v>119.639</v>
      </c>
      <c r="K832" t="str">
        <f>HYPERLINK("http://geossdi.dmp.wa.gov.au/NVCLDataServices/mosaic.html?datasetid=46a999bb-9247-425c-84b8-9bb7a9f53d4","BDD003_Core Image")</f>
        <v>BDD003_Core Image</v>
      </c>
    </row>
    <row r="833" spans="1:11" x14ac:dyDescent="0.25">
      <c r="A833" t="str">
        <f>HYPERLINK("http://www.corstruth.com.au/WA/CD1_cs.png","CD1_A4")</f>
        <v>CD1_A4</v>
      </c>
      <c r="B833" t="str">
        <f>HYPERLINK("http://www.corstruth.com.au/WA/PNG2/CD1_cs.png","CD1_0.25m Bins")</f>
        <v>CD1_0.25m Bins</v>
      </c>
      <c r="C833" t="str">
        <f>HYPERLINK("http://www.corstruth.com.au/WA/CSV/CD1.csv","CD1_CSV File 1m Bins")</f>
        <v>CD1_CSV File 1m Bins</v>
      </c>
      <c r="D833" t="s">
        <v>1112</v>
      </c>
      <c r="E833" t="s">
        <v>1</v>
      </c>
      <c r="G833" t="s">
        <v>1099</v>
      </c>
      <c r="H833" t="s">
        <v>1113</v>
      </c>
      <c r="I833">
        <v>-24.631599999999999</v>
      </c>
      <c r="J833">
        <v>118.696</v>
      </c>
      <c r="K833" t="str">
        <f>HYPERLINK("http://geossdi.dmp.wa.gov.au/NVCLDataServices/mosaic.html?datasetid=8d410195-6855-4bba-b5a9-563d55dae3f","CD1_Core Image")</f>
        <v>CD1_Core Image</v>
      </c>
    </row>
    <row r="834" spans="1:11" x14ac:dyDescent="0.25">
      <c r="A834" t="str">
        <f>HYPERLINK("http://www.corstruth.com.au/WA/Mount_Vernon_1_cs.png","Mount Vernon 1_A4")</f>
        <v>Mount Vernon 1_A4</v>
      </c>
      <c r="B834" t="str">
        <f>HYPERLINK("http://www.corstruth.com.au/WA/PNG2/Mount_Vernon_1_cs.png","Mount Vernon 1_0.25m Bins")</f>
        <v>Mount Vernon 1_0.25m Bins</v>
      </c>
      <c r="C834" t="str">
        <f>HYPERLINK("http://www.corstruth.com.au/WA/CSV/Mount_Vernon_1.csv","Mount Vernon 1_CSV File 1m Bins")</f>
        <v>Mount Vernon 1_CSV File 1m Bins</v>
      </c>
      <c r="D834" t="s">
        <v>1114</v>
      </c>
      <c r="E834" t="s">
        <v>1</v>
      </c>
      <c r="G834" t="s">
        <v>1099</v>
      </c>
      <c r="H834" t="s">
        <v>1115</v>
      </c>
      <c r="I834">
        <v>-24.3049</v>
      </c>
      <c r="J834">
        <v>118.19199999999999</v>
      </c>
      <c r="K834" t="str">
        <f>HYPERLINK("http://geossdi.dmp.wa.gov.au/NVCLDataServices/mosaic.html?datasetid=4831f62c-49e6-4b1b-8072-b51dd990878","Mount Vernon 1_Core Image")</f>
        <v>Mount Vernon 1_Core Image</v>
      </c>
    </row>
    <row r="835" spans="1:11" x14ac:dyDescent="0.25">
      <c r="A835" t="str">
        <f>HYPERLINK("http://www.corstruth.com.au/WA/Mount_Vernon_2_cs.png","Mount Vernon 2_A4")</f>
        <v>Mount Vernon 2_A4</v>
      </c>
      <c r="B835" t="str">
        <f>HYPERLINK("http://www.corstruth.com.au/WA/PNG2/Mount_Vernon_2_cs.png","Mount Vernon 2_0.25m Bins")</f>
        <v>Mount Vernon 2_0.25m Bins</v>
      </c>
      <c r="C835" t="str">
        <f>HYPERLINK("http://www.corstruth.com.au/WA/CSV/Mount_Vernon_2.csv","Mount Vernon 2_CSV File 1m Bins")</f>
        <v>Mount Vernon 2_CSV File 1m Bins</v>
      </c>
      <c r="D835" t="s">
        <v>1116</v>
      </c>
      <c r="E835" t="s">
        <v>1</v>
      </c>
      <c r="G835" t="s">
        <v>1099</v>
      </c>
      <c r="H835" t="s">
        <v>1115</v>
      </c>
      <c r="I835">
        <v>-24.3063</v>
      </c>
      <c r="J835">
        <v>118.191</v>
      </c>
      <c r="K835" t="str">
        <f>HYPERLINK("http://geossdi.dmp.wa.gov.au/NVCLDataServices/mosaic.html?datasetid=fc0232b9-9e11-40c9-838e-0b44fe3ba02","Mount Vernon 2_Core Image")</f>
        <v>Mount Vernon 2_Core Image</v>
      </c>
    </row>
    <row r="836" spans="1:11" x14ac:dyDescent="0.25">
      <c r="A836" t="str">
        <f>HYPERLINK("http://www.corstruth.com.au/WA/Mount_Vernon_3_cs.png","Mount Vernon 3_A4")</f>
        <v>Mount Vernon 3_A4</v>
      </c>
      <c r="B836" t="str">
        <f>HYPERLINK("http://www.corstruth.com.au/WA/PNG2/Mount_Vernon_3_cs.png","Mount Vernon 3_0.25m Bins")</f>
        <v>Mount Vernon 3_0.25m Bins</v>
      </c>
      <c r="C836" t="str">
        <f>HYPERLINK("http://www.corstruth.com.au/WA/CSV/Mount_Vernon_3.csv","Mount Vernon 3_CSV File 1m Bins")</f>
        <v>Mount Vernon 3_CSV File 1m Bins</v>
      </c>
      <c r="D836" t="s">
        <v>1117</v>
      </c>
      <c r="E836" t="s">
        <v>1</v>
      </c>
      <c r="G836" t="s">
        <v>1099</v>
      </c>
      <c r="H836" t="s">
        <v>1115</v>
      </c>
      <c r="I836">
        <v>-24.308299999999999</v>
      </c>
      <c r="J836">
        <v>118.166</v>
      </c>
      <c r="K836" t="str">
        <f>HYPERLINK("http://geossdi.dmp.wa.gov.au/NVCLDataServices/mosaic.html?datasetid=549d4e85-6f47-4ad2-8dbd-15b457d9470","Mount Vernon 3_Core Image")</f>
        <v>Mount Vernon 3_Core Image</v>
      </c>
    </row>
    <row r="837" spans="1:11" x14ac:dyDescent="0.25">
      <c r="A837" t="str">
        <f>HYPERLINK("http://www.corstruth.com.au/WA/Ejarno_1_cuttings_cs.png","Ejarno 1_cuttings_A4")</f>
        <v>Ejarno 1_cuttings_A4</v>
      </c>
      <c r="B837" t="str">
        <f>HYPERLINK("http://www.corstruth.com.au/WA/PNG2/Ejarno_1_cuttings_cs.png","Ejarno 1_cuttings_0.25m Bins")</f>
        <v>Ejarno 1_cuttings_0.25m Bins</v>
      </c>
      <c r="C837" t="str">
        <f>HYPERLINK("http://www.corstruth.com.au/WA/CSV/Ejarno_1_cuttings.csv","Ejarno 1_cuttings_CSV File 1m Bins")</f>
        <v>Ejarno 1_cuttings_CSV File 1m Bins</v>
      </c>
      <c r="D837" t="s">
        <v>1118</v>
      </c>
      <c r="E837" t="s">
        <v>1</v>
      </c>
      <c r="H837" t="s">
        <v>1119</v>
      </c>
      <c r="I837">
        <v>-29.313800000000001</v>
      </c>
      <c r="J837">
        <v>115.077</v>
      </c>
      <c r="K837" t="str">
        <f>HYPERLINK("http://geossdi.dmp.wa.gov.au/NVCLDataServices/mosaic.html?datasetid=f88e90ab-6cac-4092-8bd3-3d652ea915a","Ejarno 1_cuttings_Core Image")</f>
        <v>Ejarno 1_cuttings_Core Image</v>
      </c>
    </row>
    <row r="838" spans="1:11" x14ac:dyDescent="0.25">
      <c r="A838" t="str">
        <f>HYPERLINK("http://www.corstruth.com.au/WA/Eremia_1_cuttings_cs.png","Eremia 1_cuttings_A4")</f>
        <v>Eremia 1_cuttings_A4</v>
      </c>
      <c r="B838" t="str">
        <f>HYPERLINK("http://www.corstruth.com.au/WA/PNG2/Eremia_1_cuttings_cs.png","Eremia 1_cuttings_0.25m Bins")</f>
        <v>Eremia 1_cuttings_0.25m Bins</v>
      </c>
      <c r="C838" t="str">
        <f>HYPERLINK("http://www.corstruth.com.au/WA/CSV/Eremia_1_cuttings.csv","Eremia 1_cuttings_CSV File 1m Bins")</f>
        <v>Eremia 1_cuttings_CSV File 1m Bins</v>
      </c>
      <c r="D838" t="s">
        <v>1120</v>
      </c>
      <c r="E838" t="s">
        <v>1</v>
      </c>
      <c r="H838" t="s">
        <v>1121</v>
      </c>
      <c r="I838">
        <v>-29.3093</v>
      </c>
      <c r="J838">
        <v>115.018</v>
      </c>
      <c r="K838" t="str">
        <f>HYPERLINK("http://geossdi.dmp.wa.gov.au/NVCLDataServices/mosaic.html?datasetid=323b52b0-b7b4-458c-9176-def8ecea051","Eremia 1_cuttings_Core Image")</f>
        <v>Eremia 1_cuttings_Core Image</v>
      </c>
    </row>
    <row r="839" spans="1:11" x14ac:dyDescent="0.25">
      <c r="A839" t="str">
        <f>HYPERLINK("http://www.corstruth.com.au/WA/Erregulla_1_cuttings_cs.png","Erregulla 1_cuttings_A4")</f>
        <v>Erregulla 1_cuttings_A4</v>
      </c>
      <c r="B839" t="str">
        <f>HYPERLINK("http://www.corstruth.com.au/WA/PNG2/Erregulla_1_cuttings_cs.png","Erregulla 1_cuttings_0.25m Bins")</f>
        <v>Erregulla 1_cuttings_0.25m Bins</v>
      </c>
      <c r="C839" t="str">
        <f>HYPERLINK("http://www.corstruth.com.au/WA/CSV/Erregulla_1_cuttings.csv","Erregulla 1_cuttings_CSV File 1m Bins")</f>
        <v>Erregulla 1_cuttings_CSV File 1m Bins</v>
      </c>
      <c r="D839" t="s">
        <v>1122</v>
      </c>
      <c r="E839" t="s">
        <v>1</v>
      </c>
      <c r="H839" t="s">
        <v>1123</v>
      </c>
      <c r="I839">
        <v>-29.376000000000001</v>
      </c>
      <c r="J839">
        <v>115.399</v>
      </c>
      <c r="K839" t="str">
        <f>HYPERLINK("http://geossdi.dmp.wa.gov.au/NVCLDataServices/mosaic.html?datasetid=937cc83d-a18b-45a9-818d-bcf213417e3","Erregulla 1_cuttings_Core Image")</f>
        <v>Erregulla 1_cuttings_Core Image</v>
      </c>
    </row>
    <row r="840" spans="1:11" x14ac:dyDescent="0.25">
      <c r="A840" t="str">
        <f>HYPERLINK("http://www.corstruth.com.au/WA/MAD011_cs.png","MAD011_A4")</f>
        <v>MAD011_A4</v>
      </c>
      <c r="B840" t="str">
        <f>HYPERLINK("http://www.corstruth.com.au/WA/PNG2/MAD011_cs.png","MAD011_0.25m Bins")</f>
        <v>MAD011_0.25m Bins</v>
      </c>
      <c r="C840" t="str">
        <f>HYPERLINK("http://www.corstruth.com.au/WA/CSV/MAD011.csv","MAD011_CSV File 1m Bins")</f>
        <v>MAD011_CSV File 1m Bins</v>
      </c>
      <c r="D840" t="s">
        <v>1124</v>
      </c>
      <c r="E840" t="s">
        <v>1</v>
      </c>
      <c r="G840" t="s">
        <v>1125</v>
      </c>
      <c r="H840" t="s">
        <v>1126</v>
      </c>
      <c r="I840">
        <v>-31.03</v>
      </c>
      <c r="J840">
        <v>127.123</v>
      </c>
      <c r="K840" t="str">
        <f>HYPERLINK("http://geossdi.dmp.wa.gov.au/NVCLDataServices/mosaic.html?datasetid=95940c27-0537-46bd-a6a2-f5a0e33e2a1","MAD011_Core Image")</f>
        <v>MAD011_Core Image</v>
      </c>
    </row>
    <row r="841" spans="1:11" x14ac:dyDescent="0.25">
      <c r="A841" t="str">
        <f>HYPERLINK("http://www.corstruth.com.au/WA/FOR008_cs.png","FOR008_A4")</f>
        <v>FOR008_A4</v>
      </c>
      <c r="B841" t="str">
        <f>HYPERLINK("http://www.corstruth.com.au/WA/PNG2/FOR008_cs.png","FOR008_0.25m Bins")</f>
        <v>FOR008_0.25m Bins</v>
      </c>
      <c r="C841" t="str">
        <f>HYPERLINK("http://www.corstruth.com.au/WA/CSV/FOR008.csv","FOR008_CSV File 1m Bins")</f>
        <v>FOR008_CSV File 1m Bins</v>
      </c>
      <c r="D841" t="s">
        <v>1127</v>
      </c>
      <c r="E841" t="s">
        <v>1</v>
      </c>
      <c r="G841" t="s">
        <v>1125</v>
      </c>
      <c r="H841" t="s">
        <v>1126</v>
      </c>
      <c r="I841">
        <v>-30.828900000000001</v>
      </c>
      <c r="J841">
        <v>128.68600000000001</v>
      </c>
      <c r="K841" t="str">
        <f>HYPERLINK("http://geossdi.dmp.wa.gov.au/NVCLDataServices/mosaic.html?datasetid=eec7db1b-9e4e-4b7c-abed-d4e2e8ae4de","FOR008_Core Image")</f>
        <v>FOR008_Core Image</v>
      </c>
    </row>
    <row r="842" spans="1:11" x14ac:dyDescent="0.25">
      <c r="A842" t="str">
        <f>HYPERLINK("http://www.corstruth.com.au/WA/FOR012_cs.png","FOR012_A4")</f>
        <v>FOR012_A4</v>
      </c>
      <c r="B842" t="str">
        <f>HYPERLINK("http://www.corstruth.com.au/WA/PNG2/FOR012_cs.png","FOR012_0.25m Bins")</f>
        <v>FOR012_0.25m Bins</v>
      </c>
      <c r="C842" t="str">
        <f>HYPERLINK("http://www.corstruth.com.au/WA/CSV/FOR012.csv","FOR012_CSV File 1m Bins")</f>
        <v>FOR012_CSV File 1m Bins</v>
      </c>
      <c r="D842" t="s">
        <v>1128</v>
      </c>
      <c r="E842" t="s">
        <v>1</v>
      </c>
      <c r="G842" t="s">
        <v>1125</v>
      </c>
      <c r="H842" t="s">
        <v>1126</v>
      </c>
      <c r="I842">
        <v>-31.300699999999999</v>
      </c>
      <c r="J842">
        <v>127.986</v>
      </c>
      <c r="K842" t="str">
        <f>HYPERLINK("http://geossdi.dmp.wa.gov.au/NVCLDataServices/mosaic.html?datasetid=15d7bbac-cfc7-4f0b-bcb6-c00481142c2","FOR012_Core Image")</f>
        <v>FOR012_Core Image</v>
      </c>
    </row>
    <row r="843" spans="1:11" x14ac:dyDescent="0.25">
      <c r="A843" t="str">
        <f>HYPERLINK("http://www.corstruth.com.au/WA/NDDH001_chips_cs.png","NDDH001_chips_A4")</f>
        <v>NDDH001_chips_A4</v>
      </c>
      <c r="B843" t="str">
        <f>HYPERLINK("http://www.corstruth.com.au/WA/PNG2/NDDH001_chips_cs.png","NDDH001_chips_0.25m Bins")</f>
        <v>NDDH001_chips_0.25m Bins</v>
      </c>
      <c r="C843" t="str">
        <f>HYPERLINK("http://www.corstruth.com.au/WA/CSV/NDDH001_chips.csv","NDDH001_chips_CSV File 1m Bins")</f>
        <v>NDDH001_chips_CSV File 1m Bins</v>
      </c>
      <c r="D843" t="s">
        <v>1129</v>
      </c>
      <c r="E843" t="s">
        <v>1</v>
      </c>
      <c r="G843" t="s">
        <v>1125</v>
      </c>
      <c r="H843" t="s">
        <v>1130</v>
      </c>
      <c r="I843">
        <v>-30.240400000000001</v>
      </c>
      <c r="J843">
        <v>125.36799999999999</v>
      </c>
      <c r="K843" t="str">
        <f>HYPERLINK("http://geossdi.dmp.wa.gov.au/NVCLDataServices/mosaic.html?datasetid=5368a816-7691-4ae3-8136-8dc30d93cba","NDDH001_chips_Core Image")</f>
        <v>NDDH001_chips_Core Image</v>
      </c>
    </row>
    <row r="844" spans="1:11" x14ac:dyDescent="0.25">
      <c r="A844" t="str">
        <f>HYPERLINK("http://www.corstruth.com.au/WA/FOR004_cs.png","FOR004_A4")</f>
        <v>FOR004_A4</v>
      </c>
      <c r="B844" t="str">
        <f>HYPERLINK("http://www.corstruth.com.au/WA/PNG2/FOR004_cs.png","FOR004_0.25m Bins")</f>
        <v>FOR004_0.25m Bins</v>
      </c>
      <c r="C844" t="str">
        <f>HYPERLINK("http://www.corstruth.com.au/WA/CSV/FOR004.csv","FOR004_CSV File 1m Bins")</f>
        <v>FOR004_CSV File 1m Bins</v>
      </c>
      <c r="D844" t="s">
        <v>1131</v>
      </c>
      <c r="E844" t="s">
        <v>1</v>
      </c>
      <c r="G844" t="s">
        <v>1125</v>
      </c>
      <c r="H844" t="s">
        <v>1132</v>
      </c>
      <c r="I844">
        <v>-31.280100000000001</v>
      </c>
      <c r="J844">
        <v>128.554</v>
      </c>
      <c r="K844" t="str">
        <f>HYPERLINK("http://geossdi.dmp.wa.gov.au/NVCLDataServices/mosaic.html?datasetid=bb4c5e0a-43cb-4c4b-9fb8-84792df21c9","FOR004_Core Image")</f>
        <v>FOR004_Core Image</v>
      </c>
    </row>
    <row r="845" spans="1:11" x14ac:dyDescent="0.25">
      <c r="A845" t="str">
        <f>HYPERLINK("http://www.corstruth.com.au/WA/FOR010_cs.png","FOR010_A4")</f>
        <v>FOR010_A4</v>
      </c>
      <c r="B845" t="str">
        <f>HYPERLINK("http://www.corstruth.com.au/WA/PNG2/FOR010_cs.png","FOR010_0.25m Bins")</f>
        <v>FOR010_0.25m Bins</v>
      </c>
      <c r="C845" t="str">
        <f>HYPERLINK("http://www.corstruth.com.au/WA/CSV/FOR010.csv","FOR010_CSV File 1m Bins")</f>
        <v>FOR010_CSV File 1m Bins</v>
      </c>
      <c r="D845" t="s">
        <v>1133</v>
      </c>
      <c r="E845" t="s">
        <v>1</v>
      </c>
      <c r="G845" t="s">
        <v>1125</v>
      </c>
      <c r="H845" t="s">
        <v>1132</v>
      </c>
      <c r="I845">
        <v>-30.518599999999999</v>
      </c>
      <c r="J845">
        <v>128.36600000000001</v>
      </c>
      <c r="K845" t="str">
        <f>HYPERLINK("http://geossdi.dmp.wa.gov.au/NVCLDataServices/mosaic.html?datasetid=bde8d030-4476-489b-8bc2-4782b4ddcf8","FOR010_Core Image")</f>
        <v>FOR010_Core Image</v>
      </c>
    </row>
    <row r="846" spans="1:11" x14ac:dyDescent="0.25">
      <c r="A846" t="str">
        <f>HYPERLINK("http://www.corstruth.com.au/WA/FOR011_cs.png","FOR011_A4")</f>
        <v>FOR011_A4</v>
      </c>
      <c r="B846" t="str">
        <f>HYPERLINK("http://www.corstruth.com.au/WA/PNG2/FOR011_cs.png","FOR011_0.25m Bins")</f>
        <v>FOR011_0.25m Bins</v>
      </c>
      <c r="C846" t="str">
        <f>HYPERLINK("http://www.corstruth.com.au/WA/CSV/FOR011.csv","FOR011_CSV File 1m Bins")</f>
        <v>FOR011_CSV File 1m Bins</v>
      </c>
      <c r="D846" t="s">
        <v>1134</v>
      </c>
      <c r="E846" t="s">
        <v>1</v>
      </c>
      <c r="G846" t="s">
        <v>1125</v>
      </c>
      <c r="H846" t="s">
        <v>1132</v>
      </c>
      <c r="I846">
        <v>-30.6172</v>
      </c>
      <c r="J846">
        <v>128.17599999999999</v>
      </c>
      <c r="K846" t="str">
        <f>HYPERLINK("http://geossdi.dmp.wa.gov.au/NVCLDataServices/mosaic.html?datasetid=bdc24a32-8074-43ee-bc78-00fc25df919","FOR011_Core Image")</f>
        <v>FOR011_Core Image</v>
      </c>
    </row>
    <row r="847" spans="1:11" x14ac:dyDescent="0.25">
      <c r="A847" t="str">
        <f>HYPERLINK("http://www.corstruth.com.au/WA/MAD002_cs.png","MAD002_A4")</f>
        <v>MAD002_A4</v>
      </c>
      <c r="B847" t="str">
        <f>HYPERLINK("http://www.corstruth.com.au/WA/PNG2/MAD002_cs.png","MAD002_0.25m Bins")</f>
        <v>MAD002_0.25m Bins</v>
      </c>
      <c r="C847" t="str">
        <f>HYPERLINK("http://www.corstruth.com.au/WA/CSV/MAD002.csv","MAD002_CSV File 1m Bins")</f>
        <v>MAD002_CSV File 1m Bins</v>
      </c>
      <c r="D847" t="s">
        <v>1135</v>
      </c>
      <c r="E847" t="s">
        <v>1</v>
      </c>
      <c r="G847" t="s">
        <v>1125</v>
      </c>
      <c r="H847" t="s">
        <v>1132</v>
      </c>
      <c r="I847">
        <v>-30.9757</v>
      </c>
      <c r="J847">
        <v>125.831</v>
      </c>
      <c r="K847" t="str">
        <f>HYPERLINK("http://geossdi.dmp.wa.gov.au/NVCLDataServices/mosaic.html?datasetid=5cae34ac-99f7-47a3-b50c-90637fecf58","MAD002_Core Image")</f>
        <v>MAD002_Core Image</v>
      </c>
    </row>
    <row r="848" spans="1:11" x14ac:dyDescent="0.25">
      <c r="A848" t="str">
        <f>HYPERLINK("http://www.corstruth.com.au/WA/MAD014_cs.png","MAD014_A4")</f>
        <v>MAD014_A4</v>
      </c>
      <c r="B848" t="str">
        <f>HYPERLINK("http://www.corstruth.com.au/WA/PNG2/MAD014_cs.png","MAD014_0.25m Bins")</f>
        <v>MAD014_0.25m Bins</v>
      </c>
      <c r="C848" t="str">
        <f>HYPERLINK("http://www.corstruth.com.au/WA/CSV/MAD014.csv","MAD014_CSV File 1m Bins")</f>
        <v>MAD014_CSV File 1m Bins</v>
      </c>
      <c r="D848" t="s">
        <v>1136</v>
      </c>
      <c r="E848" t="s">
        <v>1</v>
      </c>
      <c r="G848" t="s">
        <v>1125</v>
      </c>
      <c r="H848" t="s">
        <v>1132</v>
      </c>
      <c r="I848">
        <v>-30.4786</v>
      </c>
      <c r="J848">
        <v>127.086</v>
      </c>
      <c r="K848" t="str">
        <f>HYPERLINK("http://geossdi.dmp.wa.gov.au/NVCLDataServices/mosaic.html?datasetid=02607c8e-6941-4f3b-9c7f-08e24129da1","MAD014_Core Image")</f>
        <v>MAD014_Core Image</v>
      </c>
    </row>
    <row r="849" spans="1:11" x14ac:dyDescent="0.25">
      <c r="A849" t="str">
        <f>HYPERLINK("http://www.corstruth.com.au/WA/LNGD003_cs.png","LNGD003_A4")</f>
        <v>LNGD003_A4</v>
      </c>
      <c r="B849" t="str">
        <f>HYPERLINK("http://www.corstruth.com.au/WA/PNG2/LNGD003_cs.png","LNGD003_0.25m Bins")</f>
        <v>LNGD003_0.25m Bins</v>
      </c>
      <c r="C849" t="str">
        <f>HYPERLINK("http://www.corstruth.com.au/WA/CSV/LNGD003.csv","LNGD003_CSV File 1m Bins")</f>
        <v>LNGD003_CSV File 1m Bins</v>
      </c>
      <c r="D849" t="s">
        <v>1137</v>
      </c>
      <c r="E849" t="s">
        <v>1</v>
      </c>
      <c r="G849" t="s">
        <v>1125</v>
      </c>
      <c r="H849" t="s">
        <v>1138</v>
      </c>
      <c r="I849">
        <v>-30.816199999999998</v>
      </c>
      <c r="J849">
        <v>126.408</v>
      </c>
      <c r="K849" t="str">
        <f>HYPERLINK("http://geossdi.dmp.wa.gov.au/NVCLDataServices/mosaic.html?datasetid=c104b7e3-dd73-422d-82ce-ecac05056b9","LNGD003_Core Image")</f>
        <v>LNGD003_Core Image</v>
      </c>
    </row>
    <row r="850" spans="1:11" x14ac:dyDescent="0.25">
      <c r="A850" t="str">
        <f>HYPERLINK("http://www.corstruth.com.au/WA/LNGD003A_cs.png","LNGD003A_A4")</f>
        <v>LNGD003A_A4</v>
      </c>
      <c r="B850" t="str">
        <f>HYPERLINK("http://www.corstruth.com.au/WA/PNG2/LNGD003A_cs.png","LNGD003A_0.25m Bins")</f>
        <v>LNGD003A_0.25m Bins</v>
      </c>
      <c r="C850" t="str">
        <f>HYPERLINK("http://www.corstruth.com.au/WA/CSV/LNGD003A.csv","LNGD003A_CSV File 1m Bins")</f>
        <v>LNGD003A_CSV File 1m Bins</v>
      </c>
      <c r="D850" t="s">
        <v>1139</v>
      </c>
      <c r="E850" t="s">
        <v>1</v>
      </c>
      <c r="G850" t="s">
        <v>1125</v>
      </c>
      <c r="H850" t="s">
        <v>1138</v>
      </c>
      <c r="I850">
        <v>-30.816199999999998</v>
      </c>
      <c r="J850">
        <v>126.408</v>
      </c>
      <c r="K850" t="str">
        <f>HYPERLINK("http://geossdi.dmp.wa.gov.au/NVCLDataServices/mosaic.html?datasetid=9b8bd582-f4f6-4446-81ca-a4326e07817","LNGD003A_Core Image")</f>
        <v>LNGD003A_Core Image</v>
      </c>
    </row>
    <row r="851" spans="1:11" x14ac:dyDescent="0.25">
      <c r="A851" t="str">
        <f>HYPERLINK("http://www.corstruth.com.au/WA/MORCD001_cs.png","MORCD001_A4")</f>
        <v>MORCD001_A4</v>
      </c>
      <c r="B851" t="str">
        <f>HYPERLINK("http://www.corstruth.com.au/WA/PNG2/MORCD001_cs.png","MORCD001_0.25m Bins")</f>
        <v>MORCD001_0.25m Bins</v>
      </c>
      <c r="C851" t="str">
        <f>HYPERLINK("http://www.corstruth.com.au/WA/CSV/MORCD001.csv","MORCD001_CSV File 1m Bins")</f>
        <v>MORCD001_CSV File 1m Bins</v>
      </c>
      <c r="D851" t="s">
        <v>1140</v>
      </c>
      <c r="E851" t="s">
        <v>1</v>
      </c>
      <c r="G851" t="s">
        <v>1125</v>
      </c>
      <c r="H851" t="s">
        <v>1141</v>
      </c>
      <c r="I851">
        <v>-31.9114</v>
      </c>
      <c r="J851">
        <v>127.416</v>
      </c>
      <c r="K851" t="str">
        <f>HYPERLINK("http://geossdi.dmp.wa.gov.au/NVCLDataServices/mosaic.html?datasetid=8bf8f528-e544-4f0f-9128-df7ad1df911","MORCD001_Core Image")</f>
        <v>MORCD001_Core Image</v>
      </c>
    </row>
    <row r="852" spans="1:11" x14ac:dyDescent="0.25">
      <c r="A852" t="str">
        <f>HYPERLINK("http://www.corstruth.com.au/WA/MORCD002_cs.png","MORCD002_A4")</f>
        <v>MORCD002_A4</v>
      </c>
      <c r="B852" t="str">
        <f>HYPERLINK("http://www.corstruth.com.au/WA/PNG2/MORCD002_cs.png","MORCD002_0.25m Bins")</f>
        <v>MORCD002_0.25m Bins</v>
      </c>
      <c r="C852" t="str">
        <f>HYPERLINK("http://www.corstruth.com.au/WA/CSV/MORCD002.csv","MORCD002_CSV File 1m Bins")</f>
        <v>MORCD002_CSV File 1m Bins</v>
      </c>
      <c r="D852" t="s">
        <v>1142</v>
      </c>
      <c r="E852" t="s">
        <v>1</v>
      </c>
      <c r="G852" t="s">
        <v>1125</v>
      </c>
      <c r="H852" t="s">
        <v>1141</v>
      </c>
      <c r="I852">
        <v>-31.9133</v>
      </c>
      <c r="J852">
        <v>127.416</v>
      </c>
      <c r="K852" t="str">
        <f>HYPERLINK("http://geossdi.dmp.wa.gov.au/NVCLDataServices/mosaic.html?datasetid=5068288b-0b81-46a4-be6c-ea25aa73d89","MORCD002_Core Image")</f>
        <v>MORCD002_Core Image</v>
      </c>
    </row>
    <row r="853" spans="1:11" x14ac:dyDescent="0.25">
      <c r="A853" t="str">
        <f>HYPERLINK("http://www.corstruth.com.au/WA/CBD19002_cs.png","CBD19002_A4")</f>
        <v>CBD19002_A4</v>
      </c>
      <c r="B853" t="str">
        <f>HYPERLINK("http://www.corstruth.com.au/WA/PNG2/CBD19002_cs.png","CBD19002_0.25m Bins")</f>
        <v>CBD19002_0.25m Bins</v>
      </c>
      <c r="C853" t="str">
        <f>HYPERLINK("http://www.corstruth.com.au/WA/CSV/CBD19002.csv","CBD19002_CSV File 1m Bins")</f>
        <v>CBD19002_CSV File 1m Bins</v>
      </c>
      <c r="D853" t="s">
        <v>1143</v>
      </c>
      <c r="E853" t="s">
        <v>1</v>
      </c>
      <c r="G853" t="s">
        <v>1125</v>
      </c>
      <c r="H853" t="s">
        <v>1144</v>
      </c>
      <c r="I853">
        <v>-31.525400000000001</v>
      </c>
      <c r="J853">
        <v>126.43600000000001</v>
      </c>
    </row>
    <row r="854" spans="1:11" x14ac:dyDescent="0.25">
      <c r="A854" t="str">
        <f>HYPERLINK("http://www.corstruth.com.au/WA/CBD19002_chips_cs.png","CBD19002_chips_A4")</f>
        <v>CBD19002_chips_A4</v>
      </c>
      <c r="B854" t="str">
        <f>HYPERLINK("http://www.corstruth.com.au/WA/PNG2/CBD19002_chips_cs.png","CBD19002_chips_0.25m Bins")</f>
        <v>CBD19002_chips_0.25m Bins</v>
      </c>
      <c r="C854" t="str">
        <f>HYPERLINK("http://www.corstruth.com.au/WA/CSV/CBD19002_chips.csv","CBD19002_chips_CSV File 1m Bins")</f>
        <v>CBD19002_chips_CSV File 1m Bins</v>
      </c>
      <c r="D854" t="s">
        <v>1143</v>
      </c>
      <c r="E854" t="s">
        <v>1</v>
      </c>
      <c r="G854" t="s">
        <v>1125</v>
      </c>
      <c r="H854" t="s">
        <v>1144</v>
      </c>
      <c r="I854">
        <v>-31.525400000000001</v>
      </c>
      <c r="J854">
        <v>126.43600000000001</v>
      </c>
    </row>
    <row r="855" spans="1:11" x14ac:dyDescent="0.25">
      <c r="A855" t="str">
        <f>HYPERLINK("http://www.corstruth.com.au/WA/Eurangoa_1_cuttings_cs.png","Eurangoa 1_cuttings_A4")</f>
        <v>Eurangoa 1_cuttings_A4</v>
      </c>
      <c r="B855" t="str">
        <f>HYPERLINK("http://www.corstruth.com.au/WA/PNG2/Eurangoa_1_cuttings_cs.png","Eurangoa 1_cuttings_0.25m Bins")</f>
        <v>Eurangoa 1_cuttings_0.25m Bins</v>
      </c>
      <c r="C855" t="str">
        <f>HYPERLINK("http://www.corstruth.com.au/WA/CSV/Eurangoa_1_cuttings.csv","Eurangoa 1_cuttings_CSV File 1m Bins")</f>
        <v>Eurangoa 1_cuttings_CSV File 1m Bins</v>
      </c>
      <c r="D855" t="s">
        <v>1145</v>
      </c>
      <c r="E855" t="s">
        <v>1</v>
      </c>
      <c r="H855" t="s">
        <v>1146</v>
      </c>
      <c r="I855">
        <v>-29.126000000000001</v>
      </c>
      <c r="J855">
        <v>115.139</v>
      </c>
      <c r="K855" t="str">
        <f>HYPERLINK("http://geossdi.dmp.wa.gov.au/NVCLDataServices/mosaic.html?datasetid=2969d270-f2ee-487e-846b-806a3c3bb45","Eurangoa 1_cuttings_Core Image")</f>
        <v>Eurangoa 1_cuttings_Core Image</v>
      </c>
    </row>
    <row r="856" spans="1:11" x14ac:dyDescent="0.25">
      <c r="A856" t="str">
        <f>HYPERLINK("http://www.corstruth.com.au/WA/Eurangoa_1_cuttings2_cs.png","Eurangoa 1_cuttings2_A4")</f>
        <v>Eurangoa 1_cuttings2_A4</v>
      </c>
      <c r="B856" t="str">
        <f>HYPERLINK("http://www.corstruth.com.au/WA/PNG2/Eurangoa_1_cuttings2_cs.png","Eurangoa 1_cuttings2_0.25m Bins")</f>
        <v>Eurangoa 1_cuttings2_0.25m Bins</v>
      </c>
      <c r="C856" t="str">
        <f>HYPERLINK("http://www.corstruth.com.au/WA/CSV/Eurangoa_1_cuttings2.csv","Eurangoa 1_cuttings2_CSV File 1m Bins")</f>
        <v>Eurangoa 1_cuttings2_CSV File 1m Bins</v>
      </c>
      <c r="D856" t="s">
        <v>1145</v>
      </c>
      <c r="E856" t="s">
        <v>1</v>
      </c>
      <c r="H856" t="s">
        <v>1146</v>
      </c>
      <c r="I856">
        <v>-29.126000000000001</v>
      </c>
      <c r="J856">
        <v>115.139</v>
      </c>
      <c r="K856" t="str">
        <f>HYPERLINK("http://geossdi.dmp.wa.gov.au/NVCLDataServices/mosaic.html?datasetid=d20bb5ce-105a-4fd7-a548-ca25adb30f0","Eurangoa 1_cuttings2_Core Image")</f>
        <v>Eurangoa 1_cuttings2_Core Image</v>
      </c>
    </row>
    <row r="857" spans="1:11" x14ac:dyDescent="0.25">
      <c r="A857" t="str">
        <f>HYPERLINK("http://www.corstruth.com.au/WA/Evandra_1_cuttings_cs.png","Evandra 1_cuttings_A4")</f>
        <v>Evandra 1_cuttings_A4</v>
      </c>
      <c r="B857" t="str">
        <f>HYPERLINK("http://www.corstruth.com.au/WA/PNG2/Evandra_1_cuttings_cs.png","Evandra 1_cuttings_0.25m Bins")</f>
        <v>Evandra 1_cuttings_0.25m Bins</v>
      </c>
      <c r="C857" t="str">
        <f>HYPERLINK("http://www.corstruth.com.au/WA/CSV/Evandra_1_cuttings.csv","Evandra 1_cuttings_CSV File 1m Bins")</f>
        <v>Evandra 1_cuttings_CSV File 1m Bins</v>
      </c>
      <c r="D857" t="s">
        <v>1147</v>
      </c>
      <c r="E857" t="s">
        <v>1</v>
      </c>
      <c r="H857" t="s">
        <v>1148</v>
      </c>
      <c r="I857">
        <v>-29.348299999999998</v>
      </c>
      <c r="J857">
        <v>115.021</v>
      </c>
      <c r="K857" t="str">
        <f>HYPERLINK("http://geossdi.dmp.wa.gov.au/NVCLDataServices/mosaic.html?datasetid=89771ff9-a003-4408-88db-7fdb0cefc1f","Evandra 1_cuttings_Core Image")</f>
        <v>Evandra 1_cuttings_Core Image</v>
      </c>
    </row>
    <row r="858" spans="1:11" x14ac:dyDescent="0.25">
      <c r="A858" t="str">
        <f>HYPERLINK("http://www.corstruth.com.au/WA/ABDP3_cs.png","ABDP3_A4")</f>
        <v>ABDP3_A4</v>
      </c>
      <c r="B858" t="str">
        <f>HYPERLINK("http://www.corstruth.com.au/WA/PNG2/ABDP3_cs.png","ABDP3_0.25m Bins")</f>
        <v>ABDP3_0.25m Bins</v>
      </c>
      <c r="C858" t="str">
        <f>HYPERLINK("http://www.corstruth.com.au/WA/CSV/ABDP3.csv","ABDP3_CSV File 1m Bins")</f>
        <v>ABDP3_CSV File 1m Bins</v>
      </c>
      <c r="D858" t="s">
        <v>1149</v>
      </c>
      <c r="E858" t="s">
        <v>1</v>
      </c>
      <c r="G858" t="s">
        <v>1150</v>
      </c>
      <c r="H858" t="s">
        <v>1151</v>
      </c>
      <c r="I858">
        <v>-21.406099999999999</v>
      </c>
      <c r="J858">
        <v>120.241</v>
      </c>
      <c r="K858" t="str">
        <f>HYPERLINK("http://geossdi.dmp.wa.gov.au/NVCLDataServices/mosaic.html?datasetid=97521155-158f-4de5-9855-338d2c1308c","ABDP3_Core Image")</f>
        <v>ABDP3_Core Image</v>
      </c>
    </row>
    <row r="859" spans="1:11" x14ac:dyDescent="0.25">
      <c r="A859" t="str">
        <f>HYPERLINK("http://www.corstruth.com.au/WA/ABDP4_cs.png","ABDP4_A4")</f>
        <v>ABDP4_A4</v>
      </c>
      <c r="B859" t="str">
        <f>HYPERLINK("http://www.corstruth.com.au/WA/PNG2/ABDP4_cs.png","ABDP4_0.25m Bins")</f>
        <v>ABDP4_0.25m Bins</v>
      </c>
      <c r="C859" t="str">
        <f>HYPERLINK("http://www.corstruth.com.au/WA/CSV/ABDP4.csv","ABDP4_CSV File 1m Bins")</f>
        <v>ABDP4_CSV File 1m Bins</v>
      </c>
      <c r="D859" t="s">
        <v>1152</v>
      </c>
      <c r="E859" t="s">
        <v>1</v>
      </c>
      <c r="G859" t="s">
        <v>1150</v>
      </c>
      <c r="H859" t="s">
        <v>1151</v>
      </c>
      <c r="I859">
        <v>-21.3203</v>
      </c>
      <c r="J859">
        <v>120.402</v>
      </c>
      <c r="K859" t="str">
        <f>HYPERLINK("http://geossdi.dmp.wa.gov.au/NVCLDataServices/mosaic.html?datasetid=8bbb4b01-9e7c-4416-a6b1-0188b388529","ABDP4_Core Image")</f>
        <v>ABDP4_Core Image</v>
      </c>
    </row>
    <row r="860" spans="1:11" x14ac:dyDescent="0.25">
      <c r="A860" t="str">
        <f>HYPERLINK("http://www.corstruth.com.au/WA/ABDP6_cs.png","ABDP6_A4")</f>
        <v>ABDP6_A4</v>
      </c>
      <c r="B860" t="str">
        <f>HYPERLINK("http://www.corstruth.com.au/WA/PNG2/ABDP6_cs.png","ABDP6_0.25m Bins")</f>
        <v>ABDP6_0.25m Bins</v>
      </c>
      <c r="C860" t="str">
        <f>HYPERLINK("http://www.corstruth.com.au/WA/CSV/ABDP6.csv","ABDP6_CSV File 1m Bins")</f>
        <v>ABDP6_CSV File 1m Bins</v>
      </c>
      <c r="D860" t="s">
        <v>1153</v>
      </c>
      <c r="E860" t="s">
        <v>1</v>
      </c>
      <c r="G860" t="s">
        <v>1150</v>
      </c>
      <c r="H860" t="s">
        <v>1151</v>
      </c>
      <c r="I860">
        <v>-20.8903</v>
      </c>
      <c r="J860">
        <v>117.89100000000001</v>
      </c>
      <c r="K860" t="str">
        <f>HYPERLINK("http://geossdi.dmp.wa.gov.au/NVCLDataServices/mosaic.html?datasetid=5f8c113b-9524-4a56-b21b-d9409674a02","ABDP6_Core Image")</f>
        <v>ABDP6_Core Image</v>
      </c>
    </row>
    <row r="861" spans="1:11" x14ac:dyDescent="0.25">
      <c r="A861" t="str">
        <f>HYPERLINK("http://www.corstruth.com.au/WA/18ABAD01_cs.png","18ABAD01_A4")</f>
        <v>18ABAD01_A4</v>
      </c>
      <c r="B861" t="str">
        <f>HYPERLINK("http://www.corstruth.com.au/WA/PNG2/18ABAD01_cs.png","18ABAD01_0.25m Bins")</f>
        <v>18ABAD01_0.25m Bins</v>
      </c>
      <c r="C861" t="str">
        <f>HYPERLINK("http://www.corstruth.com.au/WA/CSV/18ABAD01.csv","18ABAD01_CSV File 1m Bins")</f>
        <v>18ABAD01_CSV File 1m Bins</v>
      </c>
      <c r="D861" t="s">
        <v>1154</v>
      </c>
      <c r="E861" t="s">
        <v>1</v>
      </c>
      <c r="G861" t="s">
        <v>1150</v>
      </c>
      <c r="H861" t="s">
        <v>1155</v>
      </c>
      <c r="I861">
        <v>-21.3657</v>
      </c>
      <c r="J861">
        <v>116.80800000000001</v>
      </c>
      <c r="K861" t="str">
        <f>HYPERLINK("http://geossdi.dmp.wa.gov.au/NVCLDataServices/mosaic.html?datasetid=9a666126-9922-4b5f-8c52-5cb75dcd561","18ABAD01_Core Image")</f>
        <v>18ABAD01_Core Image</v>
      </c>
    </row>
    <row r="862" spans="1:11" x14ac:dyDescent="0.25">
      <c r="A862" t="str">
        <f>HYPERLINK("http://www.corstruth.com.au/WA/18ABAD02_cs.png","18ABAD02_A4")</f>
        <v>18ABAD02_A4</v>
      </c>
      <c r="B862" t="str">
        <f>HYPERLINK("http://www.corstruth.com.au/WA/PNG2/18ABAD02_cs.png","18ABAD02_0.25m Bins")</f>
        <v>18ABAD02_0.25m Bins</v>
      </c>
      <c r="C862" t="str">
        <f>HYPERLINK("http://www.corstruth.com.au/WA/CSV/18ABAD02.csv","18ABAD02_CSV File 1m Bins")</f>
        <v>18ABAD02_CSV File 1m Bins</v>
      </c>
      <c r="D862" t="s">
        <v>1156</v>
      </c>
      <c r="E862" t="s">
        <v>1</v>
      </c>
      <c r="G862" t="s">
        <v>1150</v>
      </c>
      <c r="H862" t="s">
        <v>1155</v>
      </c>
      <c r="I862">
        <v>-21.3704</v>
      </c>
      <c r="J862">
        <v>116.776</v>
      </c>
      <c r="K862" t="str">
        <f>HYPERLINK("http://geossdi.dmp.wa.gov.au/NVCLDataServices/mosaic.html?datasetid=7db5b663-28ce-4ed8-868f-b784c8f1428","18ABAD02_Core Image")</f>
        <v>18ABAD02_Core Image</v>
      </c>
    </row>
    <row r="863" spans="1:11" x14ac:dyDescent="0.25">
      <c r="A863" t="str">
        <f>HYPERLINK("http://www.corstruth.com.au/WA/DD84MF1_cs.png","DD84MF1_A4")</f>
        <v>DD84MF1_A4</v>
      </c>
      <c r="B863" t="str">
        <f>HYPERLINK("http://www.corstruth.com.au/WA/PNG2/DD84MF1_cs.png","DD84MF1_0.25m Bins")</f>
        <v>DD84MF1_0.25m Bins</v>
      </c>
      <c r="C863" t="str">
        <f>HYPERLINK("http://www.corstruth.com.au/WA/CSV/DD84MF1.csv","DD84MF1_CSV File 1m Bins")</f>
        <v>DD84MF1_CSV File 1m Bins</v>
      </c>
      <c r="D863" t="s">
        <v>1157</v>
      </c>
      <c r="E863" t="s">
        <v>1</v>
      </c>
      <c r="G863" t="s">
        <v>1150</v>
      </c>
      <c r="H863" t="s">
        <v>1158</v>
      </c>
      <c r="I863">
        <v>-21.456199999999999</v>
      </c>
      <c r="J863">
        <v>116.85299999999999</v>
      </c>
      <c r="K863" t="str">
        <f>HYPERLINK("http://geossdi.dmp.wa.gov.au/NVCLDataServices/mosaic.html?datasetid=2714f556-807b-4d34-80ed-477af0bb4d2","DD84MF1_Core Image")</f>
        <v>DD84MF1_Core Image</v>
      </c>
    </row>
    <row r="864" spans="1:11" x14ac:dyDescent="0.25">
      <c r="A864" t="str">
        <f>HYPERLINK("http://www.corstruth.com.au/WA/DDH84SH1_cs.png","DDH84SH1_A4")</f>
        <v>DDH84SH1_A4</v>
      </c>
      <c r="B864" t="str">
        <f>HYPERLINK("http://www.corstruth.com.au/WA/PNG2/DDH84SH1_cs.png","DDH84SH1_0.25m Bins")</f>
        <v>DDH84SH1_0.25m Bins</v>
      </c>
      <c r="C864" t="str">
        <f>HYPERLINK("http://www.corstruth.com.au/WA/CSV/DDH84SH1.csv","DDH84SH1_CSV File 1m Bins")</f>
        <v>DDH84SH1_CSV File 1m Bins</v>
      </c>
      <c r="D864" t="s">
        <v>1159</v>
      </c>
      <c r="E864" t="s">
        <v>1</v>
      </c>
      <c r="G864" t="s">
        <v>1150</v>
      </c>
      <c r="H864" t="s">
        <v>1160</v>
      </c>
      <c r="I864">
        <v>-21.709299999999999</v>
      </c>
      <c r="J864">
        <v>117.681</v>
      </c>
      <c r="K864" t="str">
        <f>HYPERLINK("http://geossdi.dmp.wa.gov.au/NVCLDataServices/mosaic.html?datasetid=36399681-b7a9-45e4-b6e5-aab2db9dadb","DDH84SH1_Core Image")</f>
        <v>DDH84SH1_Core Image</v>
      </c>
    </row>
    <row r="865" spans="1:11" x14ac:dyDescent="0.25">
      <c r="A865" t="str">
        <f>HYPERLINK("http://www.corstruth.com.au/WA/Freshwater_Point_1_cuttings_cs.png","Freshwater Point 1_cuttings_A4")</f>
        <v>Freshwater Point 1_cuttings_A4</v>
      </c>
      <c r="B865" t="str">
        <f>HYPERLINK("http://www.corstruth.com.au/WA/PNG2/Freshwater_Point_1_cuttings_cs.png","Freshwater Point 1_cuttings_0.25m Bins")</f>
        <v>Freshwater Point 1_cuttings_0.25m Bins</v>
      </c>
      <c r="C865" t="str">
        <f>HYPERLINK("http://www.corstruth.com.au/WA/CSV/Freshwater_Point_1_cuttings.csv","Freshwater Point 1_cuttings_CSV File 1m Bins")</f>
        <v>Freshwater Point 1_cuttings_CSV File 1m Bins</v>
      </c>
      <c r="D865" t="s">
        <v>1161</v>
      </c>
      <c r="E865" t="s">
        <v>1</v>
      </c>
      <c r="H865" t="s">
        <v>1162</v>
      </c>
      <c r="I865">
        <v>-29.5595</v>
      </c>
      <c r="J865">
        <v>114.999</v>
      </c>
      <c r="K865" t="str">
        <f>HYPERLINK("http://geossdi.dmp.wa.gov.au/NVCLDataServices/mosaic.html?datasetid=6764767c-2db2-4b5c-9f47-e4f2e12febc","Freshwater Point 1_cuttings_Core Image")</f>
        <v>Freshwater Point 1_cuttings_Core Image</v>
      </c>
    </row>
    <row r="866" spans="1:11" x14ac:dyDescent="0.25">
      <c r="A866" t="str">
        <f>HYPERLINK("http://www.corstruth.com.au/WA/FD1_cs.png","FD1_A4")</f>
        <v>FD1_A4</v>
      </c>
      <c r="B866" t="str">
        <f>HYPERLINK("http://www.corstruth.com.au/WA/PNG2/FD1_cs.png","FD1_0.25m Bins")</f>
        <v>FD1_0.25m Bins</v>
      </c>
      <c r="C866" t="str">
        <f>HYPERLINK("http://www.corstruth.com.au/WA/CSV/FD1.csv","FD1_CSV File 1m Bins")</f>
        <v>FD1_CSV File 1m Bins</v>
      </c>
      <c r="D866" t="s">
        <v>1163</v>
      </c>
      <c r="E866" t="s">
        <v>1</v>
      </c>
      <c r="G866" t="s">
        <v>1164</v>
      </c>
      <c r="H866" t="s">
        <v>1165</v>
      </c>
      <c r="I866">
        <v>-24.1144</v>
      </c>
      <c r="J866">
        <v>116.79600000000001</v>
      </c>
      <c r="K866" t="str">
        <f>HYPERLINK("http://geossdi.dmp.wa.gov.au/NVCLDataServices/mosaic.html?datasetid=d1219d8b-c0ea-45a1-8cdf-37d5e076c07","FD1_Core Image")</f>
        <v>FD1_Core Image</v>
      </c>
    </row>
    <row r="867" spans="1:11" x14ac:dyDescent="0.25">
      <c r="A867" t="str">
        <f>HYPERLINK("http://www.corstruth.com.au/WA/GBD011_cs.png","GBD011_A4")</f>
        <v>GBD011_A4</v>
      </c>
      <c r="B867" t="str">
        <f>HYPERLINK("http://www.corstruth.com.au/WA/PNG2/GBD011_cs.png","GBD011_0.25m Bins")</f>
        <v>GBD011_0.25m Bins</v>
      </c>
      <c r="C867" t="str">
        <f>HYPERLINK("http://www.corstruth.com.au/WA/CSV/GBD011.csv","GBD011_CSV File 1m Bins")</f>
        <v>GBD011_CSV File 1m Bins</v>
      </c>
      <c r="E867" t="s">
        <v>1</v>
      </c>
      <c r="G867" t="s">
        <v>1164</v>
      </c>
      <c r="H867" t="s">
        <v>1166</v>
      </c>
      <c r="I867">
        <v>-25.3706</v>
      </c>
      <c r="J867">
        <v>116.151</v>
      </c>
      <c r="K867" t="str">
        <f>HYPERLINK("http://geossdi.dmp.wa.gov.au/NVCLDataServices/mosaic.html?datasetid=7bd01bcd-52c4-4bbb-85a9-41545d5a74d","GBD011_Core Image")</f>
        <v>GBD011_Core Image</v>
      </c>
    </row>
    <row r="868" spans="1:11" x14ac:dyDescent="0.25">
      <c r="A868" t="str">
        <f>HYPERLINK("http://www.corstruth.com.au/WA/GBD012_cs.png","GBD012_A4")</f>
        <v>GBD012_A4</v>
      </c>
      <c r="B868" t="str">
        <f>HYPERLINK("http://www.corstruth.com.au/WA/PNG2/GBD012_cs.png","GBD012_0.25m Bins")</f>
        <v>GBD012_0.25m Bins</v>
      </c>
      <c r="C868" t="str">
        <f>HYPERLINK("http://www.corstruth.com.au/WA/CSV/GBD012.csv","GBD012_CSV File 1m Bins")</f>
        <v>GBD012_CSV File 1m Bins</v>
      </c>
      <c r="E868" t="s">
        <v>1</v>
      </c>
      <c r="G868" t="s">
        <v>1164</v>
      </c>
      <c r="H868" t="s">
        <v>1166</v>
      </c>
      <c r="I868">
        <v>-25.3706</v>
      </c>
      <c r="J868">
        <v>116.151</v>
      </c>
      <c r="K868" t="str">
        <f>HYPERLINK("http://geossdi.dmp.wa.gov.au/NVCLDataServices/mosaic.html?datasetid=133eabab-cc9d-44c6-88ee-6ad3b307043","GBD012_Core Image")</f>
        <v>GBD012_Core Image</v>
      </c>
    </row>
    <row r="869" spans="1:11" x14ac:dyDescent="0.25">
      <c r="A869" t="str">
        <f>HYPERLINK("http://www.corstruth.com.au/WA/GBD013_cs.png","GBD013_A4")</f>
        <v>GBD013_A4</v>
      </c>
      <c r="B869" t="str">
        <f>HYPERLINK("http://www.corstruth.com.au/WA/PNG2/GBD013_cs.png","GBD013_0.25m Bins")</f>
        <v>GBD013_0.25m Bins</v>
      </c>
      <c r="C869" t="str">
        <f>HYPERLINK("http://www.corstruth.com.au/WA/CSV/GBD013.csv","GBD013_CSV File 1m Bins")</f>
        <v>GBD013_CSV File 1m Bins</v>
      </c>
      <c r="E869" t="s">
        <v>1</v>
      </c>
      <c r="G869" t="s">
        <v>1164</v>
      </c>
      <c r="H869" t="s">
        <v>1166</v>
      </c>
      <c r="I869">
        <v>-25.370699999999999</v>
      </c>
      <c r="J869">
        <v>116.152</v>
      </c>
      <c r="K869" t="str">
        <f>HYPERLINK("http://geossdi.dmp.wa.gov.au/NVCLDataServices/mosaic.html?datasetid=f245020e-a630-4ad9-bd79-9ea398f32d6","GBD013_Core Image")</f>
        <v>GBD013_Core Image</v>
      </c>
    </row>
    <row r="870" spans="1:11" x14ac:dyDescent="0.25">
      <c r="A870" t="str">
        <f>HYPERLINK("http://www.corstruth.com.au/WA/GBD014_cs.png","GBD014_A4")</f>
        <v>GBD014_A4</v>
      </c>
      <c r="B870" t="str">
        <f>HYPERLINK("http://www.corstruth.com.au/WA/PNG2/GBD014_cs.png","GBD014_0.25m Bins")</f>
        <v>GBD014_0.25m Bins</v>
      </c>
      <c r="C870" t="str">
        <f>HYPERLINK("http://www.corstruth.com.au/WA/CSV/GBD014.csv","GBD014_CSV File 1m Bins")</f>
        <v>GBD014_CSV File 1m Bins</v>
      </c>
      <c r="E870" t="s">
        <v>1</v>
      </c>
      <c r="G870" t="s">
        <v>1164</v>
      </c>
      <c r="H870" t="s">
        <v>1166</v>
      </c>
      <c r="I870">
        <v>-25.370699999999999</v>
      </c>
      <c r="J870">
        <v>116.151</v>
      </c>
      <c r="K870" t="str">
        <f>HYPERLINK("http://geossdi.dmp.wa.gov.au/NVCLDataServices/mosaic.html?datasetid=9fe8850e-8f89-4a23-af07-ac1d26dee83","GBD014_Core Image")</f>
        <v>GBD014_Core Image</v>
      </c>
    </row>
    <row r="871" spans="1:11" x14ac:dyDescent="0.25">
      <c r="A871" t="str">
        <f>HYPERLINK("http://www.corstruth.com.au/WA/GBD016_cs.png","GBD016_A4")</f>
        <v>GBD016_A4</v>
      </c>
      <c r="B871" t="str">
        <f>HYPERLINK("http://www.corstruth.com.au/WA/PNG2/GBD016_cs.png","GBD016_0.25m Bins")</f>
        <v>GBD016_0.25m Bins</v>
      </c>
      <c r="C871" t="str">
        <f>HYPERLINK("http://www.corstruth.com.au/WA/CSV/GBD016.csv","GBD016_CSV File 1m Bins")</f>
        <v>GBD016_CSV File 1m Bins</v>
      </c>
      <c r="E871" t="s">
        <v>1</v>
      </c>
      <c r="G871" t="s">
        <v>1164</v>
      </c>
      <c r="H871" t="s">
        <v>1166</v>
      </c>
      <c r="I871">
        <v>-25.371200000000002</v>
      </c>
      <c r="J871">
        <v>116.151</v>
      </c>
      <c r="K871" t="str">
        <f>HYPERLINK("http://geossdi.dmp.wa.gov.au/NVCLDataServices/mosaic.html?datasetid=4056b46c-4813-4bea-ab9b-3b4bd371e44","GBD016_Core Image")</f>
        <v>GBD016_Core Image</v>
      </c>
    </row>
    <row r="872" spans="1:11" x14ac:dyDescent="0.25">
      <c r="A872" t="str">
        <f>HYPERLINK("http://www.corstruth.com.au/WA/GBD031_cs.png","GBD031_A4")</f>
        <v>GBD031_A4</v>
      </c>
      <c r="B872" t="str">
        <f>HYPERLINK("http://www.corstruth.com.au/WA/PNG2/GBD031_cs.png","GBD031_0.25m Bins")</f>
        <v>GBD031_0.25m Bins</v>
      </c>
      <c r="C872" t="str">
        <f>HYPERLINK("http://www.corstruth.com.au/WA/CSV/GBD031.csv","GBD031_CSV File 1m Bins")</f>
        <v>GBD031_CSV File 1m Bins</v>
      </c>
      <c r="E872" t="s">
        <v>1</v>
      </c>
      <c r="G872" t="s">
        <v>1164</v>
      </c>
      <c r="H872" t="s">
        <v>1166</v>
      </c>
      <c r="I872">
        <v>-25.391500000000001</v>
      </c>
      <c r="J872">
        <v>116.1</v>
      </c>
      <c r="K872" t="str">
        <f>HYPERLINK("http://geossdi.dmp.wa.gov.au/NVCLDataServices/mosaic.html?datasetid=37c0f706-08a5-4bcf-b32d-19929ea45c9","GBD031_Core Image")</f>
        <v>GBD031_Core Image</v>
      </c>
    </row>
    <row r="873" spans="1:11" x14ac:dyDescent="0.25">
      <c r="A873" t="str">
        <f>HYPERLINK("http://www.corstruth.com.au/WA/GBD040_cs.png","GBD040_A4")</f>
        <v>GBD040_A4</v>
      </c>
      <c r="B873" t="str">
        <f>HYPERLINK("http://www.corstruth.com.au/WA/PNG2/GBD040_cs.png","GBD040_0.25m Bins")</f>
        <v>GBD040_0.25m Bins</v>
      </c>
      <c r="C873" t="str">
        <f>HYPERLINK("http://www.corstruth.com.au/WA/CSV/GBD040.csv","GBD040_CSV File 1m Bins")</f>
        <v>GBD040_CSV File 1m Bins</v>
      </c>
      <c r="E873" t="s">
        <v>1</v>
      </c>
      <c r="G873" t="s">
        <v>1164</v>
      </c>
      <c r="H873" t="s">
        <v>1166</v>
      </c>
      <c r="I873">
        <v>-25.39</v>
      </c>
      <c r="J873">
        <v>116.101</v>
      </c>
      <c r="K873" t="str">
        <f>HYPERLINK("http://geossdi.dmp.wa.gov.au/NVCLDataServices/mosaic.html?datasetid=12a99b99-1c93-46e9-a79c-49aaa8c340b","GBD040_Core Image")</f>
        <v>GBD040_Core Image</v>
      </c>
    </row>
    <row r="874" spans="1:11" x14ac:dyDescent="0.25">
      <c r="A874" t="str">
        <f>HYPERLINK("http://www.corstruth.com.au/WA/CHORC-01_cs.png","CHORC-01_A4")</f>
        <v>CHORC-01_A4</v>
      </c>
      <c r="B874" t="str">
        <f>HYPERLINK("http://www.corstruth.com.au/WA/PNG2/CHORC-01_cs.png","CHORC-01_0.25m Bins")</f>
        <v>CHORC-01_0.25m Bins</v>
      </c>
      <c r="C874" t="str">
        <f>HYPERLINK("http://www.corstruth.com.au/WA/CSV/CHORC-01.csv","CHORC-01_CSV File 1m Bins")</f>
        <v>CHORC-01_CSV File 1m Bins</v>
      </c>
      <c r="D874" t="s">
        <v>1167</v>
      </c>
      <c r="E874" t="s">
        <v>1</v>
      </c>
      <c r="G874" t="s">
        <v>1164</v>
      </c>
      <c r="H874" t="s">
        <v>1168</v>
      </c>
      <c r="I874">
        <v>-23.590599999999998</v>
      </c>
      <c r="J874">
        <v>115.723</v>
      </c>
      <c r="K874" t="str">
        <f>HYPERLINK("http://geossdi.dmp.wa.gov.au/NVCLDataServices/mosaic.html?datasetid=8e795efd-ac4e-45dd-867b-d43809f53d4","CHORC-01_Core Image")</f>
        <v>CHORC-01_Core Image</v>
      </c>
    </row>
    <row r="875" spans="1:11" x14ac:dyDescent="0.25">
      <c r="A875" t="str">
        <f>HYPERLINK("http://www.corstruth.com.au/WA/CHORC-02_cs.png","CHORC-02_A4")</f>
        <v>CHORC-02_A4</v>
      </c>
      <c r="B875" t="str">
        <f>HYPERLINK("http://www.corstruth.com.au/WA/PNG2/CHORC-02_cs.png","CHORC-02_0.25m Bins")</f>
        <v>CHORC-02_0.25m Bins</v>
      </c>
      <c r="C875" t="str">
        <f>HYPERLINK("http://www.corstruth.com.au/WA/CSV/CHORC-02.csv","CHORC-02_CSV File 1m Bins")</f>
        <v>CHORC-02_CSV File 1m Bins</v>
      </c>
      <c r="D875" t="s">
        <v>1169</v>
      </c>
      <c r="E875" t="s">
        <v>1</v>
      </c>
      <c r="G875" t="s">
        <v>1164</v>
      </c>
      <c r="H875" t="s">
        <v>1168</v>
      </c>
      <c r="I875">
        <v>-23.592600000000001</v>
      </c>
      <c r="J875">
        <v>115.726</v>
      </c>
      <c r="K875" t="str">
        <f>HYPERLINK("http://geossdi.dmp.wa.gov.au/NVCLDataServices/mosaic.html?datasetid=5b6ae5dd-a9cb-471d-b01d-4b93fc47e00","CHORC-02_Core Image")</f>
        <v>CHORC-02_Core Image</v>
      </c>
    </row>
    <row r="876" spans="1:11" x14ac:dyDescent="0.25">
      <c r="A876" t="str">
        <f>HYPERLINK("http://www.corstruth.com.au/WA/HRYRCD-01_cs.png","HRYRCD-01_A4")</f>
        <v>HRYRCD-01_A4</v>
      </c>
      <c r="B876" t="str">
        <f>HYPERLINK("http://www.corstruth.com.au/WA/PNG2/HRYRCD-01_cs.png","HRYRCD-01_0.25m Bins")</f>
        <v>HRYRCD-01_0.25m Bins</v>
      </c>
      <c r="C876" t="str">
        <f>HYPERLINK("http://www.corstruth.com.au/WA/CSV/HRYRCD-01.csv","HRYRCD-01_CSV File 1m Bins")</f>
        <v>HRYRCD-01_CSV File 1m Bins</v>
      </c>
      <c r="D876" t="s">
        <v>1170</v>
      </c>
      <c r="E876" t="s">
        <v>1</v>
      </c>
      <c r="G876" t="s">
        <v>1164</v>
      </c>
      <c r="H876" t="s">
        <v>1171</v>
      </c>
      <c r="I876">
        <v>-23.6738</v>
      </c>
      <c r="J876">
        <v>115.95099999999999</v>
      </c>
      <c r="K876" t="str">
        <f>HYPERLINK("http://geossdi.dmp.wa.gov.au/NVCLDataServices/mosaic.html?datasetid=3fd038c6-c5b7-4457-8989-3c5f4ee3d10","HRYRCD-01_Core Image")</f>
        <v>HRYRCD-01_Core Image</v>
      </c>
    </row>
    <row r="877" spans="1:11" x14ac:dyDescent="0.25">
      <c r="A877" t="str">
        <f>HYPERLINK("http://www.corstruth.com.au/WA/MBXDD-01_cs.png","MBXDD-01_A4")</f>
        <v>MBXDD-01_A4</v>
      </c>
      <c r="B877" t="str">
        <f>HYPERLINK("http://www.corstruth.com.au/WA/PNG2/MBXDD-01_cs.png","MBXDD-01_0.25m Bins")</f>
        <v>MBXDD-01_0.25m Bins</v>
      </c>
      <c r="C877" t="str">
        <f>HYPERLINK("http://www.corstruth.com.au/WA/CSV/MBXDD-01.csv","MBXDD-01_CSV File 1m Bins")</f>
        <v>MBXDD-01_CSV File 1m Bins</v>
      </c>
      <c r="D877" t="s">
        <v>1172</v>
      </c>
      <c r="E877" t="s">
        <v>1</v>
      </c>
      <c r="G877" t="s">
        <v>1164</v>
      </c>
      <c r="H877" t="s">
        <v>1173</v>
      </c>
      <c r="I877">
        <v>-23.546700000000001</v>
      </c>
      <c r="J877">
        <v>115.691</v>
      </c>
      <c r="K877" t="str">
        <f>HYPERLINK("http://geossdi.dmp.wa.gov.au/NVCLDataServices/mosaic.html?datasetid=b479c469-d078-47db-b956-e85867586f8","MBXDD-01_Core Image")</f>
        <v>MBXDD-01_Core Image</v>
      </c>
    </row>
    <row r="878" spans="1:11" x14ac:dyDescent="0.25">
      <c r="A878" t="str">
        <f>HYPERLINK("http://www.corstruth.com.au/WA/MSD_4_cs.png","MSD 4_A4")</f>
        <v>MSD 4_A4</v>
      </c>
      <c r="B878" t="str">
        <f>HYPERLINK("http://www.corstruth.com.au/WA/PNG2/MSD_4_cs.png","MSD 4_0.25m Bins")</f>
        <v>MSD 4_0.25m Bins</v>
      </c>
      <c r="C878" t="str">
        <f>HYPERLINK("http://www.corstruth.com.au/WA/CSV/MSD_4.csv","MSD 4_CSV File 1m Bins")</f>
        <v>MSD 4_CSV File 1m Bins</v>
      </c>
      <c r="D878" t="s">
        <v>1174</v>
      </c>
      <c r="E878" t="s">
        <v>1</v>
      </c>
      <c r="G878" t="s">
        <v>1164</v>
      </c>
      <c r="H878" t="s">
        <v>1175</v>
      </c>
      <c r="I878">
        <v>-29.8246</v>
      </c>
      <c r="J878">
        <v>127.345</v>
      </c>
      <c r="K878" t="str">
        <f>HYPERLINK("http://geossdi.dmp.wa.gov.au/NVCLDataServices/mosaic.html?datasetid=8e7bf53c-fa0d-48ef-8da3-c1de2573501","MSD 4_Core Image")</f>
        <v>MSD 4_Core Image</v>
      </c>
    </row>
    <row r="879" spans="1:11" x14ac:dyDescent="0.25">
      <c r="A879" t="str">
        <f>HYPERLINK("http://www.corstruth.com.au/WA/MSD_5_cs.png","MSD 5_A4")</f>
        <v>MSD 5_A4</v>
      </c>
      <c r="B879" t="str">
        <f>HYPERLINK("http://www.corstruth.com.au/WA/PNG2/MSD_5_cs.png","MSD 5_0.25m Bins")</f>
        <v>MSD 5_0.25m Bins</v>
      </c>
      <c r="C879" t="str">
        <f>HYPERLINK("http://www.corstruth.com.au/WA/CSV/MSD_5.csv","MSD 5_CSV File 1m Bins")</f>
        <v>MSD 5_CSV File 1m Bins</v>
      </c>
      <c r="D879" t="s">
        <v>1176</v>
      </c>
      <c r="E879" t="s">
        <v>1</v>
      </c>
      <c r="G879" t="s">
        <v>1164</v>
      </c>
      <c r="H879" t="s">
        <v>1175</v>
      </c>
      <c r="I879">
        <v>-24.235199999999999</v>
      </c>
      <c r="J879">
        <v>115.953</v>
      </c>
      <c r="K879" t="str">
        <f>HYPERLINK("http://geossdi.dmp.wa.gov.au/NVCLDataServices/mosaic.html?datasetid=e709be4d-15ee-4844-8b7e-978b3ca12ea","MSD 5_Core Image")</f>
        <v>MSD 5_Core Image</v>
      </c>
    </row>
    <row r="880" spans="1:11" x14ac:dyDescent="0.25">
      <c r="A880" t="str">
        <f>HYPERLINK("http://www.corstruth.com.au/WA/MSD_6_cs.png","MSD 6_A4")</f>
        <v>MSD 6_A4</v>
      </c>
      <c r="B880" t="str">
        <f>HYPERLINK("http://www.corstruth.com.au/WA/PNG2/MSD_6_cs.png","MSD 6_0.25m Bins")</f>
        <v>MSD 6_0.25m Bins</v>
      </c>
      <c r="C880" t="str">
        <f>HYPERLINK("http://www.corstruth.com.au/WA/CSV/MSD_6.csv","MSD 6_CSV File 1m Bins")</f>
        <v>MSD 6_CSV File 1m Bins</v>
      </c>
      <c r="D880" t="s">
        <v>1177</v>
      </c>
      <c r="E880" t="s">
        <v>1</v>
      </c>
      <c r="G880" t="s">
        <v>1164</v>
      </c>
      <c r="H880" t="s">
        <v>1175</v>
      </c>
      <c r="I880">
        <v>-24.234200000000001</v>
      </c>
      <c r="J880">
        <v>115.952</v>
      </c>
      <c r="K880" t="str">
        <f>HYPERLINK("http://geossdi.dmp.wa.gov.au/NVCLDataServices/mosaic.html?datasetid=7864bc04-74c9-4bac-b244-e8f59a0a176","MSD 6_Core Image")</f>
        <v>MSD 6_Core Image</v>
      </c>
    </row>
    <row r="881" spans="1:11" x14ac:dyDescent="0.25">
      <c r="A881" t="str">
        <f>HYPERLINK("http://www.corstruth.com.au/WA/MSD_7_cs.png","MSD 7_A4")</f>
        <v>MSD 7_A4</v>
      </c>
      <c r="B881" t="str">
        <f>HYPERLINK("http://www.corstruth.com.au/WA/PNG2/MSD_7_cs.png","MSD 7_0.25m Bins")</f>
        <v>MSD 7_0.25m Bins</v>
      </c>
      <c r="C881" t="str">
        <f>HYPERLINK("http://www.corstruth.com.au/WA/CSV/MSD_7.csv","MSD 7_CSV File 1m Bins")</f>
        <v>MSD 7_CSV File 1m Bins</v>
      </c>
      <c r="D881" t="s">
        <v>1178</v>
      </c>
      <c r="E881" t="s">
        <v>1</v>
      </c>
      <c r="G881" t="s">
        <v>1164</v>
      </c>
      <c r="H881" t="s">
        <v>1175</v>
      </c>
      <c r="I881">
        <v>-24.236899999999999</v>
      </c>
      <c r="J881">
        <v>115.956</v>
      </c>
      <c r="K881" t="str">
        <f>HYPERLINK("http://geossdi.dmp.wa.gov.au/NVCLDataServices/mosaic.html?datasetid=a41020a5-43c3-416d-a525-04c6a068d89","MSD 7_Core Image")</f>
        <v>MSD 7_Core Image</v>
      </c>
    </row>
    <row r="882" spans="1:11" x14ac:dyDescent="0.25">
      <c r="A882" t="str">
        <f>HYPERLINK("http://www.corstruth.com.au/WA/MSD_8_cs.png","MSD 8_A4")</f>
        <v>MSD 8_A4</v>
      </c>
      <c r="B882" t="str">
        <f>HYPERLINK("http://www.corstruth.com.au/WA/PNG2/MSD_8_cs.png","MSD 8_0.25m Bins")</f>
        <v>MSD 8_0.25m Bins</v>
      </c>
      <c r="C882" t="str">
        <f>HYPERLINK("http://www.corstruth.com.au/WA/CSV/MSD_8.csv","MSD 8_CSV File 1m Bins")</f>
        <v>MSD 8_CSV File 1m Bins</v>
      </c>
      <c r="D882" t="s">
        <v>1179</v>
      </c>
      <c r="E882" t="s">
        <v>1</v>
      </c>
      <c r="G882" t="s">
        <v>1164</v>
      </c>
      <c r="H882" t="s">
        <v>1175</v>
      </c>
      <c r="I882">
        <v>-24.238700000000001</v>
      </c>
      <c r="J882">
        <v>115.95699999999999</v>
      </c>
      <c r="K882" t="str">
        <f>HYPERLINK("http://geossdi.dmp.wa.gov.au/NVCLDataServices/mosaic.html?datasetid=f8b65097-d15c-4f39-bd9f-6feb2a17229","MSD 8_Core Image")</f>
        <v>MSD 8_Core Image</v>
      </c>
    </row>
    <row r="883" spans="1:11" x14ac:dyDescent="0.25">
      <c r="A883" t="str">
        <f>HYPERLINK("http://www.corstruth.com.au/WA/MSD_9_cs.png","MSD 9_A4")</f>
        <v>MSD 9_A4</v>
      </c>
      <c r="B883" t="str">
        <f>HYPERLINK("http://www.corstruth.com.au/WA/PNG2/MSD_9_cs.png","MSD 9_0.25m Bins")</f>
        <v>MSD 9_0.25m Bins</v>
      </c>
      <c r="C883" t="str">
        <f>HYPERLINK("http://www.corstruth.com.au/WA/CSV/MSD_9.csv","MSD 9_CSV File 1m Bins")</f>
        <v>MSD 9_CSV File 1m Bins</v>
      </c>
      <c r="D883" t="s">
        <v>1180</v>
      </c>
      <c r="E883" t="s">
        <v>1</v>
      </c>
      <c r="G883" t="s">
        <v>1164</v>
      </c>
      <c r="H883" t="s">
        <v>1175</v>
      </c>
      <c r="I883">
        <v>-24.2377</v>
      </c>
      <c r="J883">
        <v>115.956</v>
      </c>
      <c r="K883" t="str">
        <f>HYPERLINK("http://geossdi.dmp.wa.gov.au/NVCLDataServices/mosaic.html?datasetid=d82fda2b-5e51-47f1-b008-c2f899e65e2","MSD 9_Core Image")</f>
        <v>MSD 9_Core Image</v>
      </c>
    </row>
    <row r="884" spans="1:11" x14ac:dyDescent="0.25">
      <c r="A884" t="str">
        <f>HYPERLINK("http://www.corstruth.com.au/WA/MSD1_cs.png","MSD1_A4")</f>
        <v>MSD1_A4</v>
      </c>
      <c r="B884" t="str">
        <f>HYPERLINK("http://www.corstruth.com.au/WA/PNG2/MSD1_cs.png","MSD1_0.25m Bins")</f>
        <v>MSD1_0.25m Bins</v>
      </c>
      <c r="C884" t="str">
        <f>HYPERLINK("http://www.corstruth.com.au/WA/CSV/MSD1.csv","MSD1_CSV File 1m Bins")</f>
        <v>MSD1_CSV File 1m Bins</v>
      </c>
      <c r="D884" t="s">
        <v>1181</v>
      </c>
      <c r="E884" t="s">
        <v>1</v>
      </c>
      <c r="G884" t="s">
        <v>1164</v>
      </c>
      <c r="H884" t="s">
        <v>1182</v>
      </c>
      <c r="I884">
        <v>-24.235600000000002</v>
      </c>
      <c r="J884">
        <v>115.955</v>
      </c>
      <c r="K884" t="str">
        <f>HYPERLINK("http://geossdi.dmp.wa.gov.au/NVCLDataServices/mosaic.html?datasetid=741dcd73-c4a9-4e29-b7af-726121a74aa","MSD1_Core Image")</f>
        <v>MSD1_Core Image</v>
      </c>
    </row>
    <row r="885" spans="1:11" x14ac:dyDescent="0.25">
      <c r="A885" t="str">
        <f>HYPERLINK("http://www.corstruth.com.au/WA/MSD2_cs.png","MSD2_A4")</f>
        <v>MSD2_A4</v>
      </c>
      <c r="B885" t="str">
        <f>HYPERLINK("http://www.corstruth.com.au/WA/PNG2/MSD2_cs.png","MSD2_0.25m Bins")</f>
        <v>MSD2_0.25m Bins</v>
      </c>
      <c r="C885" t="str">
        <f>HYPERLINK("http://www.corstruth.com.au/WA/CSV/MSD2.csv","MSD2_CSV File 1m Bins")</f>
        <v>MSD2_CSV File 1m Bins</v>
      </c>
      <c r="D885" t="s">
        <v>1183</v>
      </c>
      <c r="E885" t="s">
        <v>1</v>
      </c>
      <c r="G885" t="s">
        <v>1164</v>
      </c>
      <c r="H885" t="s">
        <v>1182</v>
      </c>
      <c r="I885">
        <v>-24.235399999999998</v>
      </c>
      <c r="J885">
        <v>115.955</v>
      </c>
      <c r="K885" t="str">
        <f>HYPERLINK("http://geossdi.dmp.wa.gov.au/NVCLDataServices/mosaic.html?datasetid=2a519951-7722-4950-8fe6-4923c528920","MSD2_Core Image")</f>
        <v>MSD2_Core Image</v>
      </c>
    </row>
    <row r="886" spans="1:11" x14ac:dyDescent="0.25">
      <c r="A886" t="str">
        <f>HYPERLINK("http://www.corstruth.com.au/WA/MSD3_cs.png","MSD3_A4")</f>
        <v>MSD3_A4</v>
      </c>
      <c r="B886" t="str">
        <f>HYPERLINK("http://www.corstruth.com.au/WA/PNG2/MSD3_cs.png","MSD3_0.25m Bins")</f>
        <v>MSD3_0.25m Bins</v>
      </c>
      <c r="C886" t="str">
        <f>HYPERLINK("http://www.corstruth.com.au/WA/CSV/MSD3.csv","MSD3_CSV File 1m Bins")</f>
        <v>MSD3_CSV File 1m Bins</v>
      </c>
      <c r="D886" t="s">
        <v>1184</v>
      </c>
      <c r="E886" t="s">
        <v>1</v>
      </c>
      <c r="G886" t="s">
        <v>1164</v>
      </c>
      <c r="H886" t="s">
        <v>1182</v>
      </c>
      <c r="I886">
        <v>-24.235199999999999</v>
      </c>
      <c r="J886">
        <v>115.955</v>
      </c>
      <c r="K886" t="str">
        <f>HYPERLINK("http://geossdi.dmp.wa.gov.au/NVCLDataServices/mosaic.html?datasetid=db7f0b9b-1338-46ff-85b8-800f570f83b","MSD3_Core Image")</f>
        <v>MSD3_Core Image</v>
      </c>
    </row>
    <row r="887" spans="1:11" x14ac:dyDescent="0.25">
      <c r="A887" t="str">
        <f>HYPERLINK("http://www.corstruth.com.au/WA/MWDD001_cs.png","MWDD001_A4")</f>
        <v>MWDD001_A4</v>
      </c>
      <c r="B887" t="str">
        <f>HYPERLINK("http://www.corstruth.com.au/WA/PNG2/MWDD001_cs.png","MWDD001_0.25m Bins")</f>
        <v>MWDD001_0.25m Bins</v>
      </c>
      <c r="C887" t="str">
        <f>HYPERLINK("http://www.corstruth.com.au/WA/CSV/MWDD001.csv","MWDD001_CSV File 1m Bins")</f>
        <v>MWDD001_CSV File 1m Bins</v>
      </c>
      <c r="D887" t="s">
        <v>1185</v>
      </c>
      <c r="E887" t="s">
        <v>1</v>
      </c>
      <c r="G887" t="s">
        <v>1164</v>
      </c>
      <c r="H887" t="s">
        <v>1186</v>
      </c>
      <c r="I887">
        <v>-24.884599999999999</v>
      </c>
      <c r="J887">
        <v>116.041</v>
      </c>
      <c r="K887" t="str">
        <f>HYPERLINK("http://geossdi.dmp.wa.gov.au/NVCLDataServices/mosaic.html?datasetid=15aa30a0-5e50-4cd4-b15d-5fc7cd95284","MWDD001_Core Image")</f>
        <v>MWDD001_Core Image</v>
      </c>
    </row>
    <row r="888" spans="1:11" x14ac:dyDescent="0.25">
      <c r="A888" t="str">
        <f>HYPERLINK("http://www.corstruth.com.au/WA/MWDD002_cs.png","MWDD002_A4")</f>
        <v>MWDD002_A4</v>
      </c>
      <c r="B888" t="str">
        <f>HYPERLINK("http://www.corstruth.com.au/WA/PNG2/MWDD002_cs.png","MWDD002_0.25m Bins")</f>
        <v>MWDD002_0.25m Bins</v>
      </c>
      <c r="C888" t="str">
        <f>HYPERLINK("http://www.corstruth.com.au/WA/CSV/MWDD002.csv","MWDD002_CSV File 1m Bins")</f>
        <v>MWDD002_CSV File 1m Bins</v>
      </c>
      <c r="D888" t="s">
        <v>1187</v>
      </c>
      <c r="E888" t="s">
        <v>1</v>
      </c>
      <c r="G888" t="s">
        <v>1164</v>
      </c>
      <c r="H888" t="s">
        <v>1186</v>
      </c>
      <c r="I888">
        <v>-24.885000000000002</v>
      </c>
      <c r="J888">
        <v>116.044</v>
      </c>
      <c r="K888" t="str">
        <f>HYPERLINK("http://geossdi.dmp.wa.gov.au/NVCLDataServices/mosaic.html?datasetid=877b2b5f-cac9-480a-be07-7bd210cf2ea","MWDD002_Core Image")</f>
        <v>MWDD002_Core Image</v>
      </c>
    </row>
    <row r="889" spans="1:11" x14ac:dyDescent="0.25">
      <c r="A889" t="str">
        <f>HYPERLINK("http://www.corstruth.com.au/WA/HYRC001_[chips]_cs.png","HYRC001 [chips]_A4")</f>
        <v>HYRC001 [chips]_A4</v>
      </c>
      <c r="B889" t="str">
        <f>HYPERLINK("http://www.corstruth.com.au/WA/PNG2/HYRC001_[chips]_cs.png","HYRC001 [chips]_0.25m Bins")</f>
        <v>HYRC001 [chips]_0.25m Bins</v>
      </c>
      <c r="C889" t="str">
        <f>HYPERLINK("http://www.corstruth.com.au/WA/CSV/HYRC001_[chips].csv","HYRC001 [chips]_CSV File 1m Bins")</f>
        <v>HYRC001 [chips]_CSV File 1m Bins</v>
      </c>
      <c r="D889" t="s">
        <v>59</v>
      </c>
      <c r="E889" t="s">
        <v>1</v>
      </c>
      <c r="G889" t="s">
        <v>1164</v>
      </c>
      <c r="H889" t="s">
        <v>1188</v>
      </c>
      <c r="I889">
        <v>-23.873999999999999</v>
      </c>
      <c r="J889">
        <v>116.157</v>
      </c>
      <c r="K889" t="str">
        <f>HYPERLINK("http://geossdi.dmp.wa.gov.au/NVCLDataServices/mosaic.html?datasetid=9361b9de-8bf0-4ce2-b5ff-f5a6762909b","HYRC001 [chips]_Core Image")</f>
        <v>HYRC001 [chips]_Core Image</v>
      </c>
    </row>
    <row r="890" spans="1:11" x14ac:dyDescent="0.25">
      <c r="A890" t="str">
        <f>HYPERLINK("http://www.corstruth.com.au/WA/SWMB001d_[chips]_cs.png","SWMB001d [chips]_A4")</f>
        <v>SWMB001d [chips]_A4</v>
      </c>
      <c r="B890" t="str">
        <f>HYPERLINK("http://www.corstruth.com.au/WA/PNG2/SWMB001d_[chips]_cs.png","SWMB001d [chips]_0.25m Bins")</f>
        <v>SWMB001d [chips]_0.25m Bins</v>
      </c>
      <c r="C890" t="str">
        <f>HYPERLINK("http://www.corstruth.com.au/WA/CSV/SWMB001d_[chips].csv","SWMB001d [chips]_CSV File 1m Bins")</f>
        <v>SWMB001d [chips]_CSV File 1m Bins</v>
      </c>
      <c r="D890" t="s">
        <v>59</v>
      </c>
      <c r="E890" t="s">
        <v>1</v>
      </c>
      <c r="G890" t="s">
        <v>1164</v>
      </c>
      <c r="H890" t="s">
        <v>1188</v>
      </c>
      <c r="I890">
        <v>-23.873999999999999</v>
      </c>
      <c r="J890">
        <v>116.158</v>
      </c>
      <c r="K890" t="str">
        <f>HYPERLINK("http://geossdi.dmp.wa.gov.au/NVCLDataServices/mosaic.html?datasetid=321f6983-2cad-46ff-9825-2fe1a18403b","SWMB001d [chips]_Core Image")</f>
        <v>SWMB001d [chips]_Core Image</v>
      </c>
    </row>
    <row r="891" spans="1:11" x14ac:dyDescent="0.25">
      <c r="A891" t="str">
        <f>HYPERLINK("http://www.corstruth.com.au/WA/SWMB002d_[chips]_cs.png","SWMB002d [chips]_A4")</f>
        <v>SWMB002d [chips]_A4</v>
      </c>
      <c r="B891" t="str">
        <f>HYPERLINK("http://www.corstruth.com.au/WA/PNG2/SWMB002d_[chips]_cs.png","SWMB002d [chips]_0.25m Bins")</f>
        <v>SWMB002d [chips]_0.25m Bins</v>
      </c>
      <c r="C891" t="str">
        <f>HYPERLINK("http://www.corstruth.com.au/WA/CSV/SWMB002d_[chips].csv","SWMB002d [chips]_CSV File 1m Bins")</f>
        <v>SWMB002d [chips]_CSV File 1m Bins</v>
      </c>
      <c r="D891" t="s">
        <v>59</v>
      </c>
      <c r="E891" t="s">
        <v>1</v>
      </c>
      <c r="G891" t="s">
        <v>1164</v>
      </c>
      <c r="H891" t="s">
        <v>1188</v>
      </c>
      <c r="I891">
        <v>-23.873699999999999</v>
      </c>
      <c r="J891">
        <v>116.157</v>
      </c>
      <c r="K891" t="str">
        <f>HYPERLINK("http://geossdi.dmp.wa.gov.au/NVCLDataServices/mosaic.html?datasetid=7a2922f1-f602-4cec-bd3d-53a37f17350","SWMB002d [chips]_Core Image")</f>
        <v>SWMB002d [chips]_Core Image</v>
      </c>
    </row>
    <row r="892" spans="1:11" x14ac:dyDescent="0.25">
      <c r="A892" t="str">
        <f>HYPERLINK("http://www.corstruth.com.au/WA/SWMB004s_[chips]_cs.png","SWMB004s [chips]_A4")</f>
        <v>SWMB004s [chips]_A4</v>
      </c>
      <c r="B892" t="str">
        <f>HYPERLINK("http://www.corstruth.com.au/WA/PNG2/SWMB004s_[chips]_cs.png","SWMB004s [chips]_0.25m Bins")</f>
        <v>SWMB004s [chips]_0.25m Bins</v>
      </c>
      <c r="C892" t="str">
        <f>HYPERLINK("http://www.corstruth.com.au/WA/CSV/SWMB004s_[chips].csv","SWMB004s [chips]_CSV File 1m Bins")</f>
        <v>SWMB004s [chips]_CSV File 1m Bins</v>
      </c>
      <c r="D892" t="s">
        <v>59</v>
      </c>
      <c r="E892" t="s">
        <v>1</v>
      </c>
      <c r="G892" t="s">
        <v>1164</v>
      </c>
      <c r="H892" t="s">
        <v>1188</v>
      </c>
      <c r="I892">
        <v>-23.874199999999998</v>
      </c>
      <c r="J892">
        <v>116.158</v>
      </c>
      <c r="K892" t="str">
        <f>HYPERLINK("http://geossdi.dmp.wa.gov.au/NVCLDataServices/mosaic.html?datasetid=3f889c5e-e9c3-417e-b1d4-0db00a91951","SWMB004s [chips]_Core Image")</f>
        <v>SWMB004s [chips]_Core Image</v>
      </c>
    </row>
    <row r="893" spans="1:11" x14ac:dyDescent="0.25">
      <c r="A893" t="str">
        <f>HYPERLINK("http://www.corstruth.com.au/WA/SWMB005d_[chips]_cs.png","SWMB005d [chips]_A4")</f>
        <v>SWMB005d [chips]_A4</v>
      </c>
      <c r="B893" t="str">
        <f>HYPERLINK("http://www.corstruth.com.au/WA/PNG2/SWMB005d_[chips]_cs.png","SWMB005d [chips]_0.25m Bins")</f>
        <v>SWMB005d [chips]_0.25m Bins</v>
      </c>
      <c r="C893" t="str">
        <f>HYPERLINK("http://www.corstruth.com.au/WA/CSV/SWMB005d_[chips].csv","SWMB005d [chips]_CSV File 1m Bins")</f>
        <v>SWMB005d [chips]_CSV File 1m Bins</v>
      </c>
      <c r="D893" t="s">
        <v>59</v>
      </c>
      <c r="E893" t="s">
        <v>1</v>
      </c>
      <c r="G893" t="s">
        <v>1164</v>
      </c>
      <c r="H893" t="s">
        <v>1188</v>
      </c>
      <c r="I893">
        <v>-23.8705</v>
      </c>
      <c r="J893">
        <v>116.163</v>
      </c>
      <c r="K893" t="str">
        <f>HYPERLINK("http://geossdi.dmp.wa.gov.au/NVCLDataServices/mosaic.html?datasetid=6e997074-817f-436d-ba93-4c3ca3e66cd","SWMB005d [chips]_Core Image")</f>
        <v>SWMB005d [chips]_Core Image</v>
      </c>
    </row>
    <row r="894" spans="1:11" x14ac:dyDescent="0.25">
      <c r="A894" t="str">
        <f>HYPERLINK("http://www.corstruth.com.au/WA/SWMB006d_[chips]_cs.png","SWMB006d [chips]_A4")</f>
        <v>SWMB006d [chips]_A4</v>
      </c>
      <c r="B894" t="str">
        <f>HYPERLINK("http://www.corstruth.com.au/WA/PNG2/SWMB006d_[chips]_cs.png","SWMB006d [chips]_0.25m Bins")</f>
        <v>SWMB006d [chips]_0.25m Bins</v>
      </c>
      <c r="C894" t="str">
        <f>HYPERLINK("http://www.corstruth.com.au/WA/CSV/SWMB006d_[chips].csv","SWMB006d [chips]_CSV File 1m Bins")</f>
        <v>SWMB006d [chips]_CSV File 1m Bins</v>
      </c>
      <c r="D894" t="s">
        <v>59</v>
      </c>
      <c r="E894" t="s">
        <v>1</v>
      </c>
      <c r="G894" t="s">
        <v>1164</v>
      </c>
      <c r="H894" t="s">
        <v>1188</v>
      </c>
      <c r="I894">
        <v>-23.878499999999999</v>
      </c>
      <c r="J894">
        <v>116.152</v>
      </c>
      <c r="K894" t="str">
        <f>HYPERLINK("http://geossdi.dmp.wa.gov.au/NVCLDataServices/mosaic.html?datasetid=3980dfdb-c409-4587-ad5c-45afbf9baff","SWMB006d [chips]_Core Image")</f>
        <v>SWMB006d [chips]_Core Image</v>
      </c>
    </row>
    <row r="895" spans="1:11" x14ac:dyDescent="0.25">
      <c r="A895" t="str">
        <f>HYPERLINK("http://www.corstruth.com.au/WA/SWMB007d_[chips]_cs.png","SWMB007d [chips]_A4")</f>
        <v>SWMB007d [chips]_A4</v>
      </c>
      <c r="B895" t="str">
        <f>HYPERLINK("http://www.corstruth.com.au/WA/PNG2/SWMB007d_[chips]_cs.png","SWMB007d [chips]_0.25m Bins")</f>
        <v>SWMB007d [chips]_0.25m Bins</v>
      </c>
      <c r="C895" t="str">
        <f>HYPERLINK("http://www.corstruth.com.au/WA/CSV/SWMB007d_[chips].csv","SWMB007d [chips]_CSV File 1m Bins")</f>
        <v>SWMB007d [chips]_CSV File 1m Bins</v>
      </c>
      <c r="D895" t="s">
        <v>59</v>
      </c>
      <c r="E895" t="s">
        <v>1</v>
      </c>
      <c r="G895" t="s">
        <v>1164</v>
      </c>
      <c r="H895" t="s">
        <v>1188</v>
      </c>
      <c r="I895">
        <v>-23.880600000000001</v>
      </c>
      <c r="J895">
        <v>116.142</v>
      </c>
      <c r="K895" t="str">
        <f>HYPERLINK("http://geossdi.dmp.wa.gov.au/NVCLDataServices/mosaic.html?datasetid=c958e63e-31df-4469-9683-c85b1a48c51","SWMB007d [chips]_Core Image")</f>
        <v>SWMB007d [chips]_Core Image</v>
      </c>
    </row>
    <row r="896" spans="1:11" x14ac:dyDescent="0.25">
      <c r="A896" t="str">
        <f>HYPERLINK("http://www.corstruth.com.au/WA/SWMB007s_[chips]_cs.png","SWMB007s [chips]_A4")</f>
        <v>SWMB007s [chips]_A4</v>
      </c>
      <c r="B896" t="str">
        <f>HYPERLINK("http://www.corstruth.com.au/WA/PNG2/SWMB007s_[chips]_cs.png","SWMB007s [chips]_0.25m Bins")</f>
        <v>SWMB007s [chips]_0.25m Bins</v>
      </c>
      <c r="C896" t="str">
        <f>HYPERLINK("http://www.corstruth.com.au/WA/CSV/SWMB007s_[chips].csv","SWMB007s [chips]_CSV File 1m Bins")</f>
        <v>SWMB007s [chips]_CSV File 1m Bins</v>
      </c>
      <c r="D896" t="s">
        <v>59</v>
      </c>
      <c r="E896" t="s">
        <v>1</v>
      </c>
      <c r="G896" t="s">
        <v>1164</v>
      </c>
      <c r="H896" t="s">
        <v>1188</v>
      </c>
      <c r="I896">
        <v>-23.880400000000002</v>
      </c>
      <c r="J896">
        <v>116.142</v>
      </c>
      <c r="K896" t="str">
        <f>HYPERLINK("http://geossdi.dmp.wa.gov.au/NVCLDataServices/mosaic.html?datasetid=2b788034-41e9-4b63-a885-05f9a7227f7","SWMB007s [chips]_Core Image")</f>
        <v>SWMB007s [chips]_Core Image</v>
      </c>
    </row>
    <row r="897" spans="1:11" x14ac:dyDescent="0.25">
      <c r="A897" t="str">
        <f>HYPERLINK("http://www.corstruth.com.au/WA/SWMB008d_[chips]_cs.png","SWMB008d [chips]_A4")</f>
        <v>SWMB008d [chips]_A4</v>
      </c>
      <c r="B897" t="str">
        <f>HYPERLINK("http://www.corstruth.com.au/WA/PNG2/SWMB008d_[chips]_cs.png","SWMB008d [chips]_0.25m Bins")</f>
        <v>SWMB008d [chips]_0.25m Bins</v>
      </c>
      <c r="C897" t="str">
        <f>HYPERLINK("http://www.corstruth.com.au/WA/CSV/SWMB008d_[chips].csv","SWMB008d [chips]_CSV File 1m Bins")</f>
        <v>SWMB008d [chips]_CSV File 1m Bins</v>
      </c>
      <c r="D897" t="s">
        <v>59</v>
      </c>
      <c r="E897" t="s">
        <v>1</v>
      </c>
      <c r="G897" t="s">
        <v>1164</v>
      </c>
      <c r="H897" t="s">
        <v>1188</v>
      </c>
      <c r="I897">
        <v>-23.879899999999999</v>
      </c>
      <c r="J897">
        <v>116.148</v>
      </c>
      <c r="K897" t="str">
        <f>HYPERLINK("http://geossdi.dmp.wa.gov.au/NVCLDataServices/mosaic.html?datasetid=24cab809-de47-4716-a811-3392c38c09b","SWMB008d [chips]_Core Image")</f>
        <v>SWMB008d [chips]_Core Image</v>
      </c>
    </row>
    <row r="898" spans="1:11" x14ac:dyDescent="0.25">
      <c r="A898" t="str">
        <f>HYPERLINK("http://www.corstruth.com.au/WA/GRCD0001_cs.png","GRCD0001_A4")</f>
        <v>GRCD0001_A4</v>
      </c>
      <c r="B898" t="str">
        <f>HYPERLINK("http://www.corstruth.com.au/WA/PNG2/GRCD0001_cs.png","GRCD0001_0.25m Bins")</f>
        <v>GRCD0001_0.25m Bins</v>
      </c>
      <c r="C898" t="str">
        <f>HYPERLINK("http://www.corstruth.com.au/WA/CSV/GRCD0001.csv","GRCD0001_CSV File 1m Bins")</f>
        <v>GRCD0001_CSV File 1m Bins</v>
      </c>
      <c r="D898" t="s">
        <v>1189</v>
      </c>
      <c r="E898" t="s">
        <v>1</v>
      </c>
      <c r="G898" t="s">
        <v>1190</v>
      </c>
      <c r="H898" t="s">
        <v>1191</v>
      </c>
      <c r="I898">
        <v>-20.0869</v>
      </c>
      <c r="J898">
        <v>128.922</v>
      </c>
    </row>
    <row r="899" spans="1:11" x14ac:dyDescent="0.25">
      <c r="A899" t="str">
        <f>HYPERLINK("http://www.corstruth.com.au/WA/GRCD0002_cs.png","GRCD0002_A4")</f>
        <v>GRCD0002_A4</v>
      </c>
      <c r="B899" t="str">
        <f>HYPERLINK("http://www.corstruth.com.au/WA/PNG2/GRCD0002_cs.png","GRCD0002_0.25m Bins")</f>
        <v>GRCD0002_0.25m Bins</v>
      </c>
      <c r="C899" t="str">
        <f>HYPERLINK("http://www.corstruth.com.au/WA/CSV/GRCD0002.csv","GRCD0002_CSV File 1m Bins")</f>
        <v>GRCD0002_CSV File 1m Bins</v>
      </c>
      <c r="D899" t="s">
        <v>1192</v>
      </c>
      <c r="E899" t="s">
        <v>1</v>
      </c>
      <c r="G899" t="s">
        <v>1190</v>
      </c>
      <c r="H899" t="s">
        <v>1191</v>
      </c>
      <c r="I899">
        <v>-20.085999999999999</v>
      </c>
      <c r="J899">
        <v>128.91999999999999</v>
      </c>
    </row>
    <row r="900" spans="1:11" x14ac:dyDescent="0.25">
      <c r="A900" t="str">
        <f>HYPERLINK("http://www.corstruth.com.au/WA/Hakia_1_cuttings_cs.png","Hakia 1_cuttings_A4")</f>
        <v>Hakia 1_cuttings_A4</v>
      </c>
      <c r="B900" t="str">
        <f>HYPERLINK("http://www.corstruth.com.au/WA/PNG2/Hakia_1_cuttings_cs.png","Hakia 1_cuttings_0.25m Bins")</f>
        <v>Hakia 1_cuttings_0.25m Bins</v>
      </c>
      <c r="C900" t="str">
        <f>HYPERLINK("http://www.corstruth.com.au/WA/CSV/Hakia_1_cuttings.csv","Hakia 1_cuttings_CSV File 1m Bins")</f>
        <v>Hakia 1_cuttings_CSV File 1m Bins</v>
      </c>
      <c r="D900" t="s">
        <v>1193</v>
      </c>
      <c r="E900" t="s">
        <v>1</v>
      </c>
      <c r="H900" t="s">
        <v>1194</v>
      </c>
      <c r="I900">
        <v>-29.215900000000001</v>
      </c>
      <c r="J900">
        <v>115.096</v>
      </c>
      <c r="K900" t="str">
        <f>HYPERLINK("http://geossdi.dmp.wa.gov.au/NVCLDataServices/mosaic.html?datasetid=06319753-c8fa-40e3-8098-25521c30256","Hakia 1_cuttings_Core Image")</f>
        <v>Hakia 1_cuttings_Core Image</v>
      </c>
    </row>
    <row r="901" spans="1:11" x14ac:dyDescent="0.25">
      <c r="A901" t="str">
        <f>HYPERLINK("http://www.corstruth.com.au/WA/Hakia_2_cuttings_cs.png","Hakia 2_cuttings_A4")</f>
        <v>Hakia 2_cuttings_A4</v>
      </c>
      <c r="B901" t="str">
        <f>HYPERLINK("http://www.corstruth.com.au/WA/PNG2/Hakia_2_cuttings_cs.png","Hakia 2_cuttings_0.25m Bins")</f>
        <v>Hakia 2_cuttings_0.25m Bins</v>
      </c>
      <c r="C901" t="str">
        <f>HYPERLINK("http://www.corstruth.com.au/WA/CSV/Hakia_2_cuttings.csv","Hakia 2_cuttings_CSV File 1m Bins")</f>
        <v>Hakia 2_cuttings_CSV File 1m Bins</v>
      </c>
      <c r="D901" t="s">
        <v>1195</v>
      </c>
      <c r="E901" t="s">
        <v>1</v>
      </c>
      <c r="H901" t="s">
        <v>1194</v>
      </c>
      <c r="I901">
        <v>-29.240500000000001</v>
      </c>
      <c r="J901">
        <v>115.09099999999999</v>
      </c>
      <c r="K901" t="str">
        <f>HYPERLINK("http://geossdi.dmp.wa.gov.au/NVCLDataServices/mosaic.html?datasetid=2e03b97c-409f-4682-8d19-645bc8f78ba","Hakia 2_cuttings_Core Image")</f>
        <v>Hakia 2_cuttings_Core Image</v>
      </c>
    </row>
    <row r="902" spans="1:11" x14ac:dyDescent="0.25">
      <c r="A902" t="str">
        <f>HYPERLINK("http://www.corstruth.com.au/WA/Hakia_2_cuttings2_cs.png","Hakia 2_cuttings2_A4")</f>
        <v>Hakia 2_cuttings2_A4</v>
      </c>
      <c r="B902" t="str">
        <f>HYPERLINK("http://www.corstruth.com.au/WA/PNG2/Hakia_2_cuttings2_cs.png","Hakia 2_cuttings2_0.25m Bins")</f>
        <v>Hakia 2_cuttings2_0.25m Bins</v>
      </c>
      <c r="C902" t="str">
        <f>HYPERLINK("http://www.corstruth.com.au/WA/CSV/Hakia_2_cuttings2.csv","Hakia 2_cuttings2_CSV File 1m Bins")</f>
        <v>Hakia 2_cuttings2_CSV File 1m Bins</v>
      </c>
      <c r="D902" t="s">
        <v>1195</v>
      </c>
      <c r="E902" t="s">
        <v>1</v>
      </c>
      <c r="H902" t="s">
        <v>1194</v>
      </c>
      <c r="I902">
        <v>-29.240500000000001</v>
      </c>
      <c r="J902">
        <v>115.09099999999999</v>
      </c>
      <c r="K902" t="str">
        <f>HYPERLINK("http://geossdi.dmp.wa.gov.au/NVCLDataServices/mosaic.html?datasetid=528ed0ac-ab8e-4292-86ec-ba38522e7c1","Hakia 2_cuttings2_Core Image")</f>
        <v>Hakia 2_cuttings2_Core Image</v>
      </c>
    </row>
    <row r="903" spans="1:11" x14ac:dyDescent="0.25">
      <c r="A903" t="str">
        <f>HYPERLINK("http://www.corstruth.com.au/WA/PDD434_cs.png","PDD434_A4")</f>
        <v>PDD434_A4</v>
      </c>
      <c r="B903" t="str">
        <f>HYPERLINK("http://www.corstruth.com.au/WA/PNG2/PDD434_cs.png","PDD434_0.25m Bins")</f>
        <v>PDD434_0.25m Bins</v>
      </c>
      <c r="C903" t="str">
        <f>HYPERLINK("http://www.corstruth.com.au/WA/CSV/PDD434.csv","PDD434_CSV File 1m Bins")</f>
        <v>PDD434_CSV File 1m Bins</v>
      </c>
      <c r="D903" t="s">
        <v>1196</v>
      </c>
      <c r="E903" t="s">
        <v>1</v>
      </c>
      <c r="G903" t="s">
        <v>1197</v>
      </c>
      <c r="H903" t="s">
        <v>1198</v>
      </c>
      <c r="I903">
        <v>-23.7333</v>
      </c>
      <c r="J903">
        <v>119.334</v>
      </c>
      <c r="K903" t="str">
        <f>HYPERLINK("http://geossdi.dmp.wa.gov.au/NVCLDataServices/mosaic.html?datasetid=ddb1d607-b5fe-41dd-aed7-b94107ecab6","PDD434_Core Image")</f>
        <v>PDD434_Core Image</v>
      </c>
    </row>
    <row r="904" spans="1:11" x14ac:dyDescent="0.25">
      <c r="A904" t="str">
        <f>HYPERLINK("http://www.corstruth.com.au/WA/ABDP9_cs.png","ABDP9_A4")</f>
        <v>ABDP9_A4</v>
      </c>
      <c r="B904" t="str">
        <f>HYPERLINK("http://www.corstruth.com.au/WA/PNG2/ABDP9_cs.png","ABDP9_0.25m Bins")</f>
        <v>ABDP9_0.25m Bins</v>
      </c>
      <c r="C904" t="str">
        <f>HYPERLINK("http://www.corstruth.com.au/WA/CSV/ABDP9.csv","ABDP9_CSV File 1m Bins")</f>
        <v>ABDP9_CSV File 1m Bins</v>
      </c>
      <c r="D904" t="s">
        <v>1199</v>
      </c>
      <c r="E904" t="s">
        <v>1</v>
      </c>
      <c r="G904" t="s">
        <v>1197</v>
      </c>
      <c r="H904" t="s">
        <v>1200</v>
      </c>
      <c r="I904">
        <v>-21.991599999999998</v>
      </c>
      <c r="J904">
        <v>117.42</v>
      </c>
      <c r="K904" t="str">
        <f>HYPERLINK("http://geossdi.dmp.wa.gov.au/NVCLDataServices/mosaic.html?datasetid=32d1fbfe-f3c6-4234-bb61-5f4d2bf07b6","ABDP9_Core Image")</f>
        <v>ABDP9_Core Image</v>
      </c>
    </row>
    <row r="905" spans="1:11" x14ac:dyDescent="0.25">
      <c r="A905" t="str">
        <f>HYPERLINK("http://www.corstruth.com.au/WA/AIDP2_cs.png","AIDP2_A4")</f>
        <v>AIDP2_A4</v>
      </c>
      <c r="B905" t="str">
        <f>HYPERLINK("http://www.corstruth.com.au/WA/PNG2/AIDP2_cs.png","AIDP2_0.25m Bins")</f>
        <v>AIDP2_0.25m Bins</v>
      </c>
      <c r="C905" t="str">
        <f>HYPERLINK("http://www.corstruth.com.au/WA/CSV/AIDP2.csv","AIDP2_CSV File 1m Bins")</f>
        <v>AIDP2_CSV File 1m Bins</v>
      </c>
      <c r="D905" t="s">
        <v>1201</v>
      </c>
      <c r="E905" t="s">
        <v>1</v>
      </c>
      <c r="G905" t="s">
        <v>1197</v>
      </c>
      <c r="H905" t="s">
        <v>1202</v>
      </c>
      <c r="I905">
        <v>-21.2788</v>
      </c>
      <c r="J905">
        <v>120.836</v>
      </c>
      <c r="K905" t="str">
        <f>HYPERLINK("http://geossdi.dmp.wa.gov.au/NVCLDataServices/mosaic.html?datasetid=e35e94a3-67c1-47f9-b09a-29c7eb4ef4d","AIDP2_Core Image")</f>
        <v>AIDP2_Core Image</v>
      </c>
    </row>
    <row r="906" spans="1:11" x14ac:dyDescent="0.25">
      <c r="A906" t="str">
        <f>HYPERLINK("http://www.corstruth.com.au/WA/AIDP3_cs.png","AIDP3_A4")</f>
        <v>AIDP3_A4</v>
      </c>
      <c r="B906" t="str">
        <f>HYPERLINK("http://www.corstruth.com.au/WA/PNG2/AIDP3_cs.png","AIDP3_0.25m Bins")</f>
        <v>AIDP3_0.25m Bins</v>
      </c>
      <c r="C906" t="str">
        <f>HYPERLINK("http://www.corstruth.com.au/WA/CSV/AIDP3.csv","AIDP3_CSV File 1m Bins")</f>
        <v>AIDP3_CSV File 1m Bins</v>
      </c>
      <c r="D906" t="s">
        <v>1203</v>
      </c>
      <c r="E906" t="s">
        <v>1</v>
      </c>
      <c r="G906" t="s">
        <v>1197</v>
      </c>
      <c r="H906" t="s">
        <v>1202</v>
      </c>
      <c r="I906">
        <v>-21.775700000000001</v>
      </c>
      <c r="J906">
        <v>117.57</v>
      </c>
      <c r="K906" t="str">
        <f>HYPERLINK("http://geossdi.dmp.wa.gov.au/NVCLDataServices/mosaic.html?datasetid=7d6d9c4c-668e-4aad-b631-1a1201ba6a9","AIDP3_Core Image")</f>
        <v>AIDP3_Core Image</v>
      </c>
    </row>
    <row r="907" spans="1:11" x14ac:dyDescent="0.25">
      <c r="A907" t="str">
        <f>HYPERLINK("http://www.corstruth.com.au/WA/DD84BMW1_cs.png","DD84BMW1_A4")</f>
        <v>DD84BMW1_A4</v>
      </c>
      <c r="B907" t="str">
        <f>HYPERLINK("http://www.corstruth.com.au/WA/PNG2/DD84BMW1_cs.png","DD84BMW1_0.25m Bins")</f>
        <v>DD84BMW1_0.25m Bins</v>
      </c>
      <c r="C907" t="str">
        <f>HYPERLINK("http://www.corstruth.com.au/WA/CSV/DD84BMW1.csv","DD84BMW1_CSV File 1m Bins")</f>
        <v>DD84BMW1_CSV File 1m Bins</v>
      </c>
      <c r="D907" t="s">
        <v>1204</v>
      </c>
      <c r="E907" t="s">
        <v>1</v>
      </c>
      <c r="G907" t="s">
        <v>1197</v>
      </c>
      <c r="H907" t="s">
        <v>1158</v>
      </c>
      <c r="I907">
        <v>-23.023099999999999</v>
      </c>
      <c r="J907">
        <v>117.696</v>
      </c>
      <c r="K907" t="str">
        <f>HYPERLINK("http://geossdi.dmp.wa.gov.au/NVCLDataServices/mosaic.html?datasetid=6c26f0f8-1f18-4b4d-884a-a3ddc50364c","DD84BMW1_Core Image")</f>
        <v>DD84BMW1_Core Image</v>
      </c>
    </row>
    <row r="908" spans="1:11" x14ac:dyDescent="0.25">
      <c r="A908" t="str">
        <f>HYPERLINK("http://www.corstruth.com.au/WA/DD85BMW2A_cs.png","DD85BMW2A_A4")</f>
        <v>DD85BMW2A_A4</v>
      </c>
      <c r="B908" t="str">
        <f>HYPERLINK("http://www.corstruth.com.au/WA/PNG2/DD85BMW2A_cs.png","DD85BMW2A_0.25m Bins")</f>
        <v>DD85BMW2A_0.25m Bins</v>
      </c>
      <c r="C908" t="str">
        <f>HYPERLINK("http://www.corstruth.com.au/WA/CSV/DD85BMW2A.csv","DD85BMW2A_CSV File 1m Bins")</f>
        <v>DD85BMW2A_CSV File 1m Bins</v>
      </c>
      <c r="D908" t="s">
        <v>1205</v>
      </c>
      <c r="E908" t="s">
        <v>1</v>
      </c>
      <c r="G908" t="s">
        <v>1197</v>
      </c>
      <c r="H908" t="s">
        <v>1158</v>
      </c>
      <c r="I908">
        <v>-23.1187</v>
      </c>
      <c r="J908">
        <v>117.673</v>
      </c>
      <c r="K908" t="str">
        <f>HYPERLINK("http://geossdi.dmp.wa.gov.au/NVCLDataServices/mosaic.html?datasetid=7ac99239-ae88-4efa-aab1-48695c0c16a","DD85BMW2A_Core Image")</f>
        <v>DD85BMW2A_Core Image</v>
      </c>
    </row>
    <row r="909" spans="1:11" x14ac:dyDescent="0.25">
      <c r="A909" t="str">
        <f>HYPERLINK("http://www.corstruth.com.au/WA/DD85BMW2B_cs.png","DD85BMW2B_A4")</f>
        <v>DD85BMW2B_A4</v>
      </c>
      <c r="B909" t="str">
        <f>HYPERLINK("http://www.corstruth.com.au/WA/PNG2/DD85BMW2B_cs.png","DD85BMW2B_0.25m Bins")</f>
        <v>DD85BMW2B_0.25m Bins</v>
      </c>
      <c r="C909" t="str">
        <f>HYPERLINK("http://www.corstruth.com.au/WA/CSV/DD85BMW2B.csv","DD85BMW2B_CSV File 1m Bins")</f>
        <v>DD85BMW2B_CSV File 1m Bins</v>
      </c>
      <c r="D909" t="s">
        <v>1206</v>
      </c>
      <c r="E909" t="s">
        <v>1</v>
      </c>
      <c r="G909" t="s">
        <v>1197</v>
      </c>
      <c r="H909" t="s">
        <v>1158</v>
      </c>
      <c r="I909">
        <v>-23.1187</v>
      </c>
      <c r="J909">
        <v>117.673</v>
      </c>
      <c r="K909" t="str">
        <f>HYPERLINK("http://geossdi.dmp.wa.gov.au/NVCLDataServices/mosaic.html?datasetid=293e3199-780d-4987-aeb1-f930bf45e4c","DD85BMW2B_Core Image")</f>
        <v>DD85BMW2B_Core Image</v>
      </c>
    </row>
    <row r="910" spans="1:11" x14ac:dyDescent="0.25">
      <c r="A910" t="str">
        <f>HYPERLINK("http://www.corstruth.com.au/WA/DD85BMW2C_cs.png","DD85BMW2C_A4")</f>
        <v>DD85BMW2C_A4</v>
      </c>
      <c r="B910" t="str">
        <f>HYPERLINK("http://www.corstruth.com.au/WA/PNG2/DD85BMW2C_cs.png","DD85BMW2C_0.25m Bins")</f>
        <v>DD85BMW2C_0.25m Bins</v>
      </c>
      <c r="C910" t="str">
        <f>HYPERLINK("http://www.corstruth.com.au/WA/CSV/DD85BMW2C.csv","DD85BMW2C_CSV File 1m Bins")</f>
        <v>DD85BMW2C_CSV File 1m Bins</v>
      </c>
      <c r="D910" t="s">
        <v>1207</v>
      </c>
      <c r="E910" t="s">
        <v>1</v>
      </c>
      <c r="G910" t="s">
        <v>1197</v>
      </c>
      <c r="H910" t="s">
        <v>1158</v>
      </c>
      <c r="I910">
        <v>-23.1187</v>
      </c>
      <c r="J910">
        <v>117.673</v>
      </c>
      <c r="K910" t="str">
        <f>HYPERLINK("http://geossdi.dmp.wa.gov.au/NVCLDataServices/mosaic.html?datasetid=e3210483-2efb-4b36-b689-9e553c1b0fe","DD85BMW2C_Core Image")</f>
        <v>DD85BMW2C_Core Image</v>
      </c>
    </row>
    <row r="911" spans="1:11" x14ac:dyDescent="0.25">
      <c r="A911" t="str">
        <f>HYPERLINK("http://www.corstruth.com.au/WA/DD86WRL1_cs.png","DD86WRL1_A4")</f>
        <v>DD86WRL1_A4</v>
      </c>
      <c r="B911" t="str">
        <f>HYPERLINK("http://www.corstruth.com.au/WA/PNG2/DD86WRL1_cs.png","DD86WRL1_0.25m Bins")</f>
        <v>DD86WRL1_0.25m Bins</v>
      </c>
      <c r="C911" t="str">
        <f>HYPERLINK("http://www.corstruth.com.au/WA/CSV/DD86WRL1.csv","DD86WRL1_CSV File 1m Bins")</f>
        <v>DD86WRL1_CSV File 1m Bins</v>
      </c>
      <c r="D911" t="s">
        <v>1208</v>
      </c>
      <c r="E911" t="s">
        <v>1</v>
      </c>
      <c r="G911" t="s">
        <v>1197</v>
      </c>
      <c r="H911" t="s">
        <v>1158</v>
      </c>
      <c r="I911">
        <v>-22.191700000000001</v>
      </c>
      <c r="J911">
        <v>118.21</v>
      </c>
      <c r="K911" t="str">
        <f>HYPERLINK("http://geossdi.dmp.wa.gov.au/NVCLDataServices/mosaic.html?datasetid=e598b8a1-7871-41e6-9c7b-3508d6c1414","DD86WRL1_Core Image")</f>
        <v>DD86WRL1_Core Image</v>
      </c>
    </row>
    <row r="912" spans="1:11" x14ac:dyDescent="0.25">
      <c r="A912" t="str">
        <f>HYPERLINK("http://www.corstruth.com.au/WA/DGM1_(W47A)_cs.png","DGM1 (W47A)_A4")</f>
        <v>DGM1 (W47A)_A4</v>
      </c>
      <c r="B912" t="str">
        <f>HYPERLINK("http://www.corstruth.com.au/WA/PNG2/DGM1_(W47A)_cs.png","DGM1 (W47A)_0.25m Bins")</f>
        <v>DGM1 (W47A)_0.25m Bins</v>
      </c>
      <c r="C912" t="str">
        <f>HYPERLINK("http://www.corstruth.com.au/WA/CSV/DGM1_(W47A).csv","DGM1 (W47A)_CSV File 1m Bins")</f>
        <v>DGM1 (W47A)_CSV File 1m Bins</v>
      </c>
      <c r="D912" t="s">
        <v>1209</v>
      </c>
      <c r="E912" t="s">
        <v>1</v>
      </c>
      <c r="G912" t="s">
        <v>1197</v>
      </c>
      <c r="H912" t="s">
        <v>1210</v>
      </c>
      <c r="I912">
        <v>-22.333300000000001</v>
      </c>
      <c r="J912">
        <v>118.233</v>
      </c>
      <c r="K912" t="str">
        <f>HYPERLINK("http://geossdi.dmp.wa.gov.au/NVCLDataServices/mosaic.html?datasetid=b27e6eda-d9dd-49f7-a845-e5d41d4e7e9","DGM1 (W47A)_Core Image")</f>
        <v>DGM1 (W47A)_Core Image</v>
      </c>
    </row>
    <row r="913" spans="1:11" x14ac:dyDescent="0.25">
      <c r="A913" t="str">
        <f>HYPERLINK("http://www.corstruth.com.au/WA/ECD0001_cs.png","ECD0001_A4")</f>
        <v>ECD0001_A4</v>
      </c>
      <c r="B913" t="str">
        <f>HYPERLINK("http://www.corstruth.com.au/WA/PNG2/ECD0001_cs.png","ECD0001_0.25m Bins")</f>
        <v>ECD0001_0.25m Bins</v>
      </c>
      <c r="C913" t="str">
        <f>HYPERLINK("http://www.corstruth.com.au/WA/CSV/ECD0001.csv","ECD0001_CSV File 1m Bins")</f>
        <v>ECD0001_CSV File 1m Bins</v>
      </c>
      <c r="D913" t="s">
        <v>1211</v>
      </c>
      <c r="E913" t="s">
        <v>1</v>
      </c>
      <c r="G913" t="s">
        <v>1197</v>
      </c>
      <c r="H913" t="s">
        <v>1212</v>
      </c>
      <c r="I913">
        <v>-22.7179</v>
      </c>
      <c r="J913">
        <v>120.04300000000001</v>
      </c>
      <c r="K913" t="str">
        <f>HYPERLINK("http://geossdi.dmp.wa.gov.au/NVCLDataServices/mosaic.html?datasetid=6038956e-d03b-4976-b08e-b42aaf2189c","ECD0001_Core Image")</f>
        <v>ECD0001_Core Image</v>
      </c>
    </row>
    <row r="914" spans="1:11" x14ac:dyDescent="0.25">
      <c r="A914" t="str">
        <f>HYPERLINK("http://www.corstruth.com.au/WA/DDH84SV2_cs.png","DDH84SV2_A4")</f>
        <v>DDH84SV2_A4</v>
      </c>
      <c r="B914" t="str">
        <f>HYPERLINK("http://www.corstruth.com.au/WA/PNG2/DDH84SV2_cs.png","DDH84SV2_0.25m Bins")</f>
        <v>DDH84SV2_0.25m Bins</v>
      </c>
      <c r="C914" t="str">
        <f>HYPERLINK("http://www.corstruth.com.au/WA/CSV/DDH84SV2.csv","DDH84SV2_CSV File 1m Bins")</f>
        <v>DDH84SV2_CSV File 1m Bins</v>
      </c>
      <c r="D914" t="s">
        <v>1213</v>
      </c>
      <c r="E914" t="s">
        <v>1</v>
      </c>
      <c r="G914" t="s">
        <v>1197</v>
      </c>
      <c r="H914" t="s">
        <v>1214</v>
      </c>
      <c r="I914">
        <v>-21.552499999999998</v>
      </c>
      <c r="J914">
        <v>118.053</v>
      </c>
      <c r="K914" t="str">
        <f>HYPERLINK("http://geossdi.dmp.wa.gov.au/NVCLDataServices/mosaic.html?datasetid=62148212-e24b-4748-942b-65d6694db8a","DDH84SV2_Core Image")</f>
        <v>DDH84SV2_Core Image</v>
      </c>
    </row>
    <row r="915" spans="1:11" x14ac:dyDescent="0.25">
      <c r="A915" t="str">
        <f>HYPERLINK("http://www.corstruth.com.au/WA/DDH83_FVG1_cs.png","DDH83 FVG1_A4")</f>
        <v>DDH83 FVG1_A4</v>
      </c>
      <c r="B915" t="str">
        <f>HYPERLINK("http://www.corstruth.com.au/WA/PNG2/DDH83_FVG1_cs.png","DDH83 FVG1_0.25m Bins")</f>
        <v>DDH83 FVG1_0.25m Bins</v>
      </c>
      <c r="C915" t="str">
        <f>HYPERLINK("http://www.corstruth.com.au/WA/CSV/DDH83_FVG1.csv","DDH83 FVG1_CSV File 1m Bins")</f>
        <v>DDH83 FVG1_CSV File 1m Bins</v>
      </c>
      <c r="D915" t="s">
        <v>1215</v>
      </c>
      <c r="E915" t="s">
        <v>1</v>
      </c>
      <c r="G915" t="s">
        <v>1197</v>
      </c>
      <c r="H915" t="s">
        <v>1216</v>
      </c>
      <c r="I915">
        <v>-22.5608</v>
      </c>
      <c r="J915">
        <v>119.49299999999999</v>
      </c>
      <c r="K915" t="str">
        <f>HYPERLINK("http://geossdi.dmp.wa.gov.au/NVCLDataServices/mosaic.html?datasetid=8bc8033f-db5f-4853-9519-3dc3376e11f","DDH83 FVG1_Core Image")</f>
        <v>DDH83 FVG1_Core Image</v>
      </c>
    </row>
    <row r="916" spans="1:11" x14ac:dyDescent="0.25">
      <c r="A916" t="str">
        <f>HYPERLINK("http://www.corstruth.com.au/WA/GC08HD40005_cs.png","GC08HD40005_A4")</f>
        <v>GC08HD40005_A4</v>
      </c>
      <c r="B916" t="str">
        <f>HYPERLINK("http://www.corstruth.com.au/WA/PNG2/GC08HD40005_cs.png","GC08HD40005_0.25m Bins")</f>
        <v>GC08HD40005_0.25m Bins</v>
      </c>
      <c r="C916" t="str">
        <f>HYPERLINK("http://www.corstruth.com.au/WA/CSV/GC08HD40005.csv","GC08HD40005_CSV File 1m Bins")</f>
        <v>GC08HD40005_CSV File 1m Bins</v>
      </c>
      <c r="D916" t="s">
        <v>1217</v>
      </c>
      <c r="E916" t="s">
        <v>1</v>
      </c>
      <c r="G916" t="s">
        <v>1197</v>
      </c>
      <c r="H916" t="s">
        <v>1218</v>
      </c>
      <c r="I916">
        <v>-23.146699999999999</v>
      </c>
      <c r="J916">
        <v>119.574</v>
      </c>
    </row>
    <row r="917" spans="1:11" x14ac:dyDescent="0.25">
      <c r="A917" t="str">
        <f>HYPERLINK("http://www.corstruth.com.au/WA/GD10H1N011_cs.png","GD10H1N011_A4")</f>
        <v>GD10H1N011_A4</v>
      </c>
      <c r="B917" t="str">
        <f>HYPERLINK("http://www.corstruth.com.au/WA/PNG2/GD10H1N011_cs.png","GD10H1N011_0.25m Bins")</f>
        <v>GD10H1N011_0.25m Bins</v>
      </c>
      <c r="C917" t="str">
        <f>HYPERLINK("http://www.corstruth.com.au/WA/CSV/GD10H1N011.csv","GD10H1N011_CSV File 1m Bins")</f>
        <v>GD10H1N011_CSV File 1m Bins</v>
      </c>
      <c r="D917" t="s">
        <v>1219</v>
      </c>
      <c r="E917" t="s">
        <v>1</v>
      </c>
      <c r="G917" t="s">
        <v>1197</v>
      </c>
      <c r="H917" t="s">
        <v>1218</v>
      </c>
      <c r="I917">
        <v>-22.9499</v>
      </c>
      <c r="J917">
        <v>119.116</v>
      </c>
    </row>
    <row r="918" spans="1:11" x14ac:dyDescent="0.25">
      <c r="A918" t="str">
        <f>HYPERLINK("http://www.corstruth.com.au/WA/GD13EA0009_cs.png","GD13EA0009_A4")</f>
        <v>GD13EA0009_A4</v>
      </c>
      <c r="B918" t="str">
        <f>HYPERLINK("http://www.corstruth.com.au/WA/PNG2/GD13EA0009_cs.png","GD13EA0009_0.25m Bins")</f>
        <v>GD13EA0009_0.25m Bins</v>
      </c>
      <c r="C918" t="str">
        <f>HYPERLINK("http://www.corstruth.com.au/WA/CSV/GD13EA0009.csv","GD13EA0009_CSV File 1m Bins")</f>
        <v>GD13EA0009_CSV File 1m Bins</v>
      </c>
      <c r="E918" t="s">
        <v>1</v>
      </c>
      <c r="G918" t="s">
        <v>1197</v>
      </c>
      <c r="H918" t="s">
        <v>1218</v>
      </c>
      <c r="I918">
        <v>-23.131799999999998</v>
      </c>
      <c r="J918">
        <v>119.572</v>
      </c>
      <c r="K918" t="str">
        <f>HYPERLINK("http://geossdi.dmp.wa.gov.au/NVCLDataServices/mosaic.html?datasetid=177bdb8f-d67b-4052-a2d3-02b8302d238","GD13EA0009_Core Image")</f>
        <v>GD13EA0009_Core Image</v>
      </c>
    </row>
    <row r="919" spans="1:11" x14ac:dyDescent="0.25">
      <c r="A919" t="str">
        <f>HYPERLINK("http://www.corstruth.com.au/WA/GD13EA0010_cs.png","GD13EA0010_A4")</f>
        <v>GD13EA0010_A4</v>
      </c>
      <c r="B919" t="str">
        <f>HYPERLINK("http://www.corstruth.com.au/WA/PNG2/GD13EA0010_cs.png","GD13EA0010_0.25m Bins")</f>
        <v>GD13EA0010_0.25m Bins</v>
      </c>
      <c r="C919" t="str">
        <f>HYPERLINK("http://www.corstruth.com.au/WA/CSV/GD13EA0010.csv","GD13EA0010_CSV File 1m Bins")</f>
        <v>GD13EA0010_CSV File 1m Bins</v>
      </c>
      <c r="E919" t="s">
        <v>1</v>
      </c>
      <c r="G919" t="s">
        <v>1197</v>
      </c>
      <c r="H919" t="s">
        <v>1218</v>
      </c>
      <c r="I919">
        <v>-23.129200000000001</v>
      </c>
      <c r="J919">
        <v>119.571</v>
      </c>
      <c r="K919" t="str">
        <f>HYPERLINK("http://geossdi.dmp.wa.gov.au/NVCLDataServices/mosaic.html?datasetid=0cd2fdc6-8dde-43da-80e4-48058860f22","GD13EA0010_Core Image")</f>
        <v>GD13EA0010_Core Image</v>
      </c>
    </row>
    <row r="920" spans="1:11" x14ac:dyDescent="0.25">
      <c r="A920" t="str">
        <f>HYPERLINK("http://www.corstruth.com.au/WA/GD13EA0015_cs.png","GD13EA0015_A4")</f>
        <v>GD13EA0015_A4</v>
      </c>
      <c r="B920" t="str">
        <f>HYPERLINK("http://www.corstruth.com.au/WA/PNG2/GD13EA0015_cs.png","GD13EA0015_0.25m Bins")</f>
        <v>GD13EA0015_0.25m Bins</v>
      </c>
      <c r="C920" t="str">
        <f>HYPERLINK("http://www.corstruth.com.au/WA/CSV/GD13EA0015.csv","GD13EA0015_CSV File 1m Bins")</f>
        <v>GD13EA0015_CSV File 1m Bins</v>
      </c>
      <c r="E920" t="s">
        <v>1</v>
      </c>
      <c r="G920" t="s">
        <v>1197</v>
      </c>
      <c r="H920" t="s">
        <v>1218</v>
      </c>
      <c r="I920">
        <v>-23.133500000000002</v>
      </c>
      <c r="J920">
        <v>119.574</v>
      </c>
      <c r="K920" t="str">
        <f>HYPERLINK("http://geossdi.dmp.wa.gov.au/NVCLDataServices/mosaic.html?datasetid=3ba2934b-aa29-4c8a-a521-ff97b84c944","GD13EA0015_Core Image")</f>
        <v>GD13EA0015_Core Image</v>
      </c>
    </row>
    <row r="921" spans="1:11" x14ac:dyDescent="0.25">
      <c r="A921" t="str">
        <f>HYPERLINK("http://www.corstruth.com.au/WA/A688_cs.png","A688_A4")</f>
        <v>A688_A4</v>
      </c>
      <c r="B921" t="str">
        <f>HYPERLINK("http://www.corstruth.com.au/WA/PNG2/A688_cs.png","A688_0.25m Bins")</f>
        <v>A688_0.25m Bins</v>
      </c>
      <c r="C921" t="str">
        <f>HYPERLINK("http://www.corstruth.com.au/WA/CSV/A688.csv","A688_CSV File 1m Bins")</f>
        <v>A688_CSV File 1m Bins</v>
      </c>
      <c r="D921" t="s">
        <v>1220</v>
      </c>
      <c r="E921" t="s">
        <v>1</v>
      </c>
      <c r="G921" t="s">
        <v>1197</v>
      </c>
      <c r="H921" t="s">
        <v>1221</v>
      </c>
      <c r="I921">
        <v>-21.674399999999999</v>
      </c>
      <c r="J921">
        <v>115.877</v>
      </c>
      <c r="K921" t="str">
        <f>HYPERLINK("http://geossdi.dmp.wa.gov.au/NVCLDataServices/mosaic.html?datasetid=4573db18-7bc1-47c4-a643-5f02caeb7d7","A688_Core Image")</f>
        <v>A688_Core Image</v>
      </c>
    </row>
    <row r="922" spans="1:11" x14ac:dyDescent="0.25">
      <c r="A922" t="str">
        <f>HYPERLINK("http://www.corstruth.com.au/WA/DDH84SV1_cs.png","DDH84SV1_A4")</f>
        <v>DDH84SV1_A4</v>
      </c>
      <c r="B922" t="str">
        <f>HYPERLINK("http://www.corstruth.com.au/WA/PNG2/DDH84SV1_cs.png","DDH84SV1_0.25m Bins")</f>
        <v>DDH84SV1_0.25m Bins</v>
      </c>
      <c r="C922" t="str">
        <f>HYPERLINK("http://www.corstruth.com.au/WA/CSV/DDH84SV1.csv","DDH84SV1_CSV File 1m Bins")</f>
        <v>DDH84SV1_CSV File 1m Bins</v>
      </c>
      <c r="D922" t="s">
        <v>1222</v>
      </c>
      <c r="E922" t="s">
        <v>1</v>
      </c>
      <c r="G922" t="s">
        <v>1197</v>
      </c>
      <c r="H922" t="s">
        <v>1223</v>
      </c>
      <c r="I922">
        <v>-21.591999999999999</v>
      </c>
      <c r="J922">
        <v>118.042</v>
      </c>
      <c r="K922" t="str">
        <f>HYPERLINK("http://geossdi.dmp.wa.gov.au/NVCLDataServices/mosaic.html?datasetid=a3633da0-4607-403c-9e2f-f1f3be3a617","DDH84SV1_Core Image")</f>
        <v>DDH84SV1_Core Image</v>
      </c>
    </row>
    <row r="923" spans="1:11" x14ac:dyDescent="0.25">
      <c r="A923" t="str">
        <f>HYPERLINK("http://www.corstruth.com.au/WA/PDD446_cs.png","PDD446_A4")</f>
        <v>PDD446_A4</v>
      </c>
      <c r="B923" t="str">
        <f>HYPERLINK("http://www.corstruth.com.au/WA/PNG2/PDD446_cs.png","PDD446_0.25m Bins")</f>
        <v>PDD446_0.25m Bins</v>
      </c>
      <c r="C923" t="str">
        <f>HYPERLINK("http://www.corstruth.com.au/WA/CSV/PDD446.csv","PDD446_CSV File 1m Bins")</f>
        <v>PDD446_CSV File 1m Bins</v>
      </c>
      <c r="D923" t="s">
        <v>1224</v>
      </c>
      <c r="E923" t="s">
        <v>1</v>
      </c>
      <c r="G923" t="s">
        <v>1197</v>
      </c>
      <c r="H923" t="s">
        <v>1225</v>
      </c>
      <c r="I923">
        <v>-23.718499999999999</v>
      </c>
      <c r="J923">
        <v>119.28100000000001</v>
      </c>
      <c r="K923" t="str">
        <f>HYPERLINK("http://geossdi.dmp.wa.gov.au/NVCLDataServices/mosaic.html?datasetid=0044685d-62ae-4f87-a7df-8a640a0e9a7","PDD446_Core Image")</f>
        <v>PDD446_Core Image</v>
      </c>
    </row>
    <row r="924" spans="1:11" x14ac:dyDescent="0.25">
      <c r="A924" t="str">
        <f>HYPERLINK("http://www.corstruth.com.au/WA/PDD447_cs.png","PDD447_A4")</f>
        <v>PDD447_A4</v>
      </c>
      <c r="B924" t="str">
        <f>HYPERLINK("http://www.corstruth.com.au/WA/PNG2/PDD447_cs.png","PDD447_0.25m Bins")</f>
        <v>PDD447_0.25m Bins</v>
      </c>
      <c r="C924" t="str">
        <f>HYPERLINK("http://www.corstruth.com.au/WA/CSV/PDD447.csv","PDD447_CSV File 1m Bins")</f>
        <v>PDD447_CSV File 1m Bins</v>
      </c>
      <c r="D924" t="s">
        <v>1226</v>
      </c>
      <c r="E924" t="s">
        <v>1</v>
      </c>
      <c r="G924" t="s">
        <v>1197</v>
      </c>
      <c r="H924" t="s">
        <v>1225</v>
      </c>
      <c r="I924">
        <v>-23.713200000000001</v>
      </c>
      <c r="J924">
        <v>119.273</v>
      </c>
      <c r="K924" t="str">
        <f>HYPERLINK("http://geossdi.dmp.wa.gov.au/NVCLDataServices/mosaic.html?datasetid=31cb8f14-ebc1-46a6-b2d1-af1ea84ff9b","PDD447_Core Image")</f>
        <v>PDD447_Core Image</v>
      </c>
    </row>
    <row r="925" spans="1:11" x14ac:dyDescent="0.25">
      <c r="A925" t="str">
        <f>HYPERLINK("http://www.corstruth.com.au/WA/RHDH_2A_cs.png","RHDH 2A_A4")</f>
        <v>RHDH 2A_A4</v>
      </c>
      <c r="B925" t="str">
        <f>HYPERLINK("http://www.corstruth.com.au/WA/PNG2/RHDH_2A_cs.png","RHDH 2A_0.25m Bins")</f>
        <v>RHDH 2A_0.25m Bins</v>
      </c>
      <c r="C925" t="str">
        <f>HYPERLINK("http://www.corstruth.com.au/WA/CSV/RHDH_2A.csv","RHDH 2A_CSV File 1m Bins")</f>
        <v>RHDH 2A_CSV File 1m Bins</v>
      </c>
      <c r="D925" t="s">
        <v>1227</v>
      </c>
      <c r="E925" t="s">
        <v>1</v>
      </c>
      <c r="G925" t="s">
        <v>1197</v>
      </c>
      <c r="H925" t="s">
        <v>1228</v>
      </c>
      <c r="I925">
        <v>-21.284800000000001</v>
      </c>
      <c r="J925">
        <v>120.827</v>
      </c>
      <c r="K925" t="str">
        <f>HYPERLINK("http://geossdi.dmp.wa.gov.au/NVCLDataServices/mosaic.html?datasetid=91d3f1b4-d7fb-479e-931b-ae0c4fad2a6","RHDH 2A_Core Image")</f>
        <v>RHDH 2A_Core Image</v>
      </c>
    </row>
    <row r="926" spans="1:11" x14ac:dyDescent="0.25">
      <c r="A926" t="str">
        <f>HYPERLINK("http://www.corstruth.com.au/WA/DD93HS1_cs.png","DD93HS1_A4")</f>
        <v>DD93HS1_A4</v>
      </c>
      <c r="B926" t="str">
        <f>HYPERLINK("http://www.corstruth.com.au/WA/PNG2/DD93HS1_cs.png","DD93HS1_0.25m Bins")</f>
        <v>DD93HS1_0.25m Bins</v>
      </c>
      <c r="C926" t="str">
        <f>HYPERLINK("http://www.corstruth.com.au/WA/CSV/DD93HS1.csv","DD93HS1_CSV File 1m Bins")</f>
        <v>DD93HS1_CSV File 1m Bins</v>
      </c>
      <c r="D926" t="s">
        <v>1229</v>
      </c>
      <c r="E926" t="s">
        <v>1</v>
      </c>
      <c r="G926" t="s">
        <v>1197</v>
      </c>
      <c r="H926" t="s">
        <v>1230</v>
      </c>
      <c r="I926">
        <v>-22.879000000000001</v>
      </c>
      <c r="J926">
        <v>117.241</v>
      </c>
      <c r="K926" t="str">
        <f>HYPERLINK("http://geossdi.dmp.wa.gov.au/NVCLDataServices/mosaic.html?datasetid=112e9cff-9afd-4986-91b2-b52798b2632","DD93HS1_Core Image")</f>
        <v>DD93HS1_Core Image</v>
      </c>
    </row>
    <row r="927" spans="1:11" x14ac:dyDescent="0.25">
      <c r="A927" t="str">
        <f>HYPERLINK("http://www.corstruth.com.au/WA/DD93HS2_cs.png","DD93HS2_A4")</f>
        <v>DD93HS2_A4</v>
      </c>
      <c r="B927" t="str">
        <f>HYPERLINK("http://www.corstruth.com.au/WA/PNG2/DD93HS2_cs.png","DD93HS2_0.25m Bins")</f>
        <v>DD93HS2_0.25m Bins</v>
      </c>
      <c r="C927" t="str">
        <f>HYPERLINK("http://www.corstruth.com.au/WA/CSV/DD93HS2.csv","DD93HS2_CSV File 1m Bins")</f>
        <v>DD93HS2_CSV File 1m Bins</v>
      </c>
      <c r="D927" t="s">
        <v>1231</v>
      </c>
      <c r="E927" t="s">
        <v>1</v>
      </c>
      <c r="G927" t="s">
        <v>1197</v>
      </c>
      <c r="H927" t="s">
        <v>1230</v>
      </c>
      <c r="I927">
        <v>-22.787700000000001</v>
      </c>
      <c r="J927">
        <v>117.20099999999999</v>
      </c>
      <c r="K927" t="str">
        <f>HYPERLINK("http://geossdi.dmp.wa.gov.au/NVCLDataServices/mosaic.html?datasetid=d3ed9b7b-3291-45cf-bdf5-d61cd5fa007","DD93HS2_Core Image")</f>
        <v>DD93HS2_Core Image</v>
      </c>
    </row>
    <row r="928" spans="1:11" x14ac:dyDescent="0.25">
      <c r="A928" t="str">
        <f>HYPERLINK("http://www.corstruth.com.au/WA/DD85SGS1_[Tray_1-227]_cs.png","DD85SGS1 [Tray 1-227]_A4")</f>
        <v>DD85SGS1 [Tray 1-227]_A4</v>
      </c>
      <c r="B928" t="str">
        <f>HYPERLINK("http://www.corstruth.com.au/WA/PNG2/DD85SGS1_[Tray_1-227]_cs.png","DD85SGS1 [Tray 1-227]_0.25m Bins")</f>
        <v>DD85SGS1 [Tray 1-227]_0.25m Bins</v>
      </c>
      <c r="C928" t="str">
        <f>HYPERLINK("http://www.corstruth.com.au/WA/CSV/DD85SGS1_[Tray_1-227].csv","DD85SGS1 [Tray 1-227]_CSV File 1m Bins")</f>
        <v>DD85SGS1 [Tray 1-227]_CSV File 1m Bins</v>
      </c>
      <c r="D928" t="s">
        <v>1232</v>
      </c>
      <c r="E928" t="s">
        <v>1</v>
      </c>
      <c r="G928" t="s">
        <v>1197</v>
      </c>
      <c r="H928" t="s">
        <v>1233</v>
      </c>
      <c r="I928">
        <v>-22.286999999999999</v>
      </c>
      <c r="J928">
        <v>117.852</v>
      </c>
      <c r="K928" t="str">
        <f>HYPERLINK("http://geossdi.dmp.wa.gov.au/NVCLDataServices/mosaic.html?datasetid=242143dd-f46e-4980-818a-a50313dcf74","DD85SGS1 [Tray 1-227]_Core Image")</f>
        <v>DD85SGS1 [Tray 1-227]_Core Image</v>
      </c>
    </row>
    <row r="929" spans="1:11" x14ac:dyDescent="0.25">
      <c r="A929" t="str">
        <f>HYPERLINK("http://www.corstruth.com.au/WA/DD98SGP001_cs.png","DD98SGP001_A4")</f>
        <v>DD98SGP001_A4</v>
      </c>
      <c r="B929" t="str">
        <f>HYPERLINK("http://www.corstruth.com.au/WA/PNG2/DD98SGP001_cs.png","DD98SGP001_0.25m Bins")</f>
        <v>DD98SGP001_0.25m Bins</v>
      </c>
      <c r="C929" t="str">
        <f>HYPERLINK("http://www.corstruth.com.au/WA/CSV/DD98SGP001.csv","DD98SGP001_CSV File 1m Bins")</f>
        <v>DD98SGP001_CSV File 1m Bins</v>
      </c>
      <c r="D929" t="s">
        <v>1234</v>
      </c>
      <c r="E929" t="s">
        <v>1</v>
      </c>
      <c r="G929" t="s">
        <v>1197</v>
      </c>
      <c r="H929" t="s">
        <v>1235</v>
      </c>
      <c r="I929">
        <v>-22.058299999999999</v>
      </c>
      <c r="J929">
        <v>116.83499999999999</v>
      </c>
      <c r="K929" t="str">
        <f>HYPERLINK("http://geossdi.dmp.wa.gov.au/NVCLDataServices/mosaic.html?datasetid=d25c4086-9679-48ac-9fb2-f682381816a","DD98SGP001_Core Image")</f>
        <v>DD98SGP001_Core Image</v>
      </c>
    </row>
    <row r="930" spans="1:11" x14ac:dyDescent="0.25">
      <c r="A930" t="str">
        <f>HYPERLINK("http://www.corstruth.com.au/WA/TCDP1_cs.png","TCDP1_A4")</f>
        <v>TCDP1_A4</v>
      </c>
      <c r="B930" t="str">
        <f>HYPERLINK("http://www.corstruth.com.au/WA/PNG2/TCDP1_cs.png","TCDP1_0.25m Bins")</f>
        <v>TCDP1_0.25m Bins</v>
      </c>
      <c r="C930" t="str">
        <f>HYPERLINK("http://www.corstruth.com.au/WA/CSV/TCDP1.csv","TCDP1_CSV File 1m Bins")</f>
        <v>TCDP1_CSV File 1m Bins</v>
      </c>
      <c r="D930" t="s">
        <v>1236</v>
      </c>
      <c r="E930" t="s">
        <v>1</v>
      </c>
      <c r="G930" t="s">
        <v>1197</v>
      </c>
      <c r="H930" t="s">
        <v>1237</v>
      </c>
      <c r="I930">
        <v>-22.808399999999999</v>
      </c>
      <c r="J930">
        <v>116.788</v>
      </c>
      <c r="K930" t="str">
        <f>HYPERLINK("http://geossdi.dmp.wa.gov.au/NVCLDataServices/mosaic.html?datasetid=ec6c2536-a420-4e54-a156-7ff8f4c3e42","TCDP1_Core Image")</f>
        <v>TCDP1_Core Image</v>
      </c>
    </row>
    <row r="931" spans="1:11" x14ac:dyDescent="0.25">
      <c r="A931" t="str">
        <f>HYPERLINK("http://www.corstruth.com.au/WA/TCDP2_cs.png","TCDP2_A4")</f>
        <v>TCDP2_A4</v>
      </c>
      <c r="B931" t="str">
        <f>HYPERLINK("http://www.corstruth.com.au/WA/PNG2/TCDP2_cs.png","TCDP2_0.25m Bins")</f>
        <v>TCDP2_0.25m Bins</v>
      </c>
      <c r="C931" t="str">
        <f>HYPERLINK("http://www.corstruth.com.au/WA/CSV/TCDP2.csv","TCDP2_CSV File 1m Bins")</f>
        <v>TCDP2_CSV File 1m Bins</v>
      </c>
      <c r="D931" t="s">
        <v>1238</v>
      </c>
      <c r="E931" t="s">
        <v>1</v>
      </c>
      <c r="G931" t="s">
        <v>1197</v>
      </c>
      <c r="H931" t="s">
        <v>1237</v>
      </c>
      <c r="I931">
        <v>-22.849900000000002</v>
      </c>
      <c r="J931">
        <v>116.87</v>
      </c>
      <c r="K931" t="str">
        <f>HYPERLINK("http://geossdi.dmp.wa.gov.au/NVCLDataServices/mosaic.html?datasetid=b54a899e-b8b0-4e29-baa9-55896c3bcf3","TCDP2_Core Image")</f>
        <v>TCDP2_Core Image</v>
      </c>
    </row>
    <row r="932" spans="1:11" x14ac:dyDescent="0.25">
      <c r="A932" t="str">
        <f>HYPERLINK("http://www.corstruth.com.au/WA/TCDP3_cs.png","TCDP3_A4")</f>
        <v>TCDP3_A4</v>
      </c>
      <c r="B932" t="str">
        <f>HYPERLINK("http://www.corstruth.com.au/WA/PNG2/TCDP3_cs.png","TCDP3_0.25m Bins")</f>
        <v>TCDP3_0.25m Bins</v>
      </c>
      <c r="C932" t="str">
        <f>HYPERLINK("http://www.corstruth.com.au/WA/CSV/TCDP3.csv","TCDP3_CSV File 1m Bins")</f>
        <v>TCDP3_CSV File 1m Bins</v>
      </c>
      <c r="D932" t="s">
        <v>1239</v>
      </c>
      <c r="E932" t="s">
        <v>1</v>
      </c>
      <c r="G932" t="s">
        <v>1197</v>
      </c>
      <c r="H932" t="s">
        <v>1237</v>
      </c>
      <c r="I932">
        <v>-22.870999999999999</v>
      </c>
      <c r="J932">
        <v>116.946</v>
      </c>
      <c r="K932" t="str">
        <f>HYPERLINK("http://geossdi.dmp.wa.gov.au/NVCLDataServices/mosaic.html?datasetid=e88509e4-ad2b-44e5-a138-d805282e7af","TCDP3_Core Image")</f>
        <v>TCDP3_Core Image</v>
      </c>
    </row>
    <row r="933" spans="1:11" x14ac:dyDescent="0.25">
      <c r="A933" t="str">
        <f>HYPERLINK("http://www.corstruth.com.au/WA/Hovea_3_cuttings_cs.png","Hovea 3_cuttings_A4")</f>
        <v>Hovea 3_cuttings_A4</v>
      </c>
      <c r="B933" t="str">
        <f>HYPERLINK("http://www.corstruth.com.au/WA/PNG2/Hovea_3_cuttings_cs.png","Hovea 3_cuttings_0.25m Bins")</f>
        <v>Hovea 3_cuttings_0.25m Bins</v>
      </c>
      <c r="C933" t="str">
        <f>HYPERLINK("http://www.corstruth.com.au/WA/CSV/Hovea_3_cuttings.csv","Hovea 3_cuttings_CSV File 1m Bins")</f>
        <v>Hovea 3_cuttings_CSV File 1m Bins</v>
      </c>
      <c r="D933" t="s">
        <v>1240</v>
      </c>
      <c r="E933" t="s">
        <v>1</v>
      </c>
      <c r="H933" t="s">
        <v>1241</v>
      </c>
      <c r="I933">
        <v>-29.318000000000001</v>
      </c>
      <c r="J933">
        <v>115.041</v>
      </c>
      <c r="K933" t="str">
        <f>HYPERLINK("http://geossdi.dmp.wa.gov.au/NVCLDataServices/mosaic.html?datasetid=2f538a20-6cae-4e0f-9b94-d852c7e44b8","Hovea 3_cuttings_Core Image")</f>
        <v>Hovea 3_cuttings_Core Image</v>
      </c>
    </row>
    <row r="934" spans="1:11" x14ac:dyDescent="0.25">
      <c r="A934" t="str">
        <f>HYPERLINK("http://www.corstruth.com.au/WA/Irwin_1_cuttings_cs.png","Irwin 1_cuttings_A4")</f>
        <v>Irwin 1_cuttings_A4</v>
      </c>
      <c r="B934" t="str">
        <f>HYPERLINK("http://www.corstruth.com.au/WA/PNG2/Irwin_1_cuttings_cs.png","Irwin 1_cuttings_0.25m Bins")</f>
        <v>Irwin 1_cuttings_0.25m Bins</v>
      </c>
      <c r="C934" t="str">
        <f>HYPERLINK("http://www.corstruth.com.au/WA/CSV/Irwin_1_cuttings.csv","Irwin 1_cuttings_CSV File 1m Bins")</f>
        <v>Irwin 1_cuttings_CSV File 1m Bins</v>
      </c>
      <c r="D934" t="s">
        <v>1242</v>
      </c>
      <c r="E934" t="s">
        <v>1</v>
      </c>
      <c r="H934" t="s">
        <v>1243</v>
      </c>
      <c r="I934">
        <v>-29.2593</v>
      </c>
      <c r="J934">
        <v>115.169</v>
      </c>
      <c r="K934" t="str">
        <f>HYPERLINK("http://geossdi.dmp.wa.gov.au/NVCLDataServices/mosaic.html?datasetid=83ddbb3b-a393-4c88-ad11-0fff4c134f9","Irwin 1_cuttings_Core Image")</f>
        <v>Irwin 1_cuttings_Core Image</v>
      </c>
    </row>
    <row r="935" spans="1:11" x14ac:dyDescent="0.25">
      <c r="A935" t="str">
        <f>HYPERLINK("http://www.corstruth.com.au/WA/Irwin_1_cuttings2_cs.png","Irwin 1_cuttings2_A4")</f>
        <v>Irwin 1_cuttings2_A4</v>
      </c>
      <c r="B935" t="str">
        <f>HYPERLINK("http://www.corstruth.com.au/WA/PNG2/Irwin_1_cuttings2_cs.png","Irwin 1_cuttings2_0.25m Bins")</f>
        <v>Irwin 1_cuttings2_0.25m Bins</v>
      </c>
      <c r="C935" t="str">
        <f>HYPERLINK("http://www.corstruth.com.au/WA/CSV/Irwin_1_cuttings2.csv","Irwin 1_cuttings2_CSV File 1m Bins")</f>
        <v>Irwin 1_cuttings2_CSV File 1m Bins</v>
      </c>
      <c r="D935" t="s">
        <v>1242</v>
      </c>
      <c r="E935" t="s">
        <v>1</v>
      </c>
      <c r="H935" t="s">
        <v>1243</v>
      </c>
      <c r="I935">
        <v>-29.2593</v>
      </c>
      <c r="J935">
        <v>115.169</v>
      </c>
      <c r="K935" t="str">
        <f>HYPERLINK("http://geossdi.dmp.wa.gov.au/NVCLDataServices/mosaic.html?datasetid=5766bc0b-9e1c-4b2e-90e9-dd848d0d32a","Irwin 1_cuttings2_Core Image")</f>
        <v>Irwin 1_cuttings2_Core Image</v>
      </c>
    </row>
    <row r="936" spans="1:11" x14ac:dyDescent="0.25">
      <c r="A936" t="str">
        <f>HYPERLINK("http://www.corstruth.com.au/WA/Irwin_1_cuttings3_cs.png","Irwin 1_cuttings3_A4")</f>
        <v>Irwin 1_cuttings3_A4</v>
      </c>
      <c r="B936" t="str">
        <f>HYPERLINK("http://www.corstruth.com.au/WA/PNG2/Irwin_1_cuttings3_cs.png","Irwin 1_cuttings3_0.25m Bins")</f>
        <v>Irwin 1_cuttings3_0.25m Bins</v>
      </c>
      <c r="C936" t="str">
        <f>HYPERLINK("http://www.corstruth.com.au/WA/CSV/Irwin_1_cuttings3.csv","Irwin 1_cuttings3_CSV File 1m Bins")</f>
        <v>Irwin 1_cuttings3_CSV File 1m Bins</v>
      </c>
      <c r="D936" t="s">
        <v>1242</v>
      </c>
      <c r="E936" t="s">
        <v>1</v>
      </c>
      <c r="H936" t="s">
        <v>1243</v>
      </c>
      <c r="I936">
        <v>-29.2593</v>
      </c>
      <c r="J936">
        <v>115.169</v>
      </c>
      <c r="K936" t="str">
        <f>HYPERLINK("http://geossdi.dmp.wa.gov.au/NVCLDataServices/mosaic.html?datasetid=ee482fbf-3dd9-4ccd-9a84-5a9eb531c92","Irwin 1_cuttings3_Core Image")</f>
        <v>Irwin 1_cuttings3_Core Image</v>
      </c>
    </row>
    <row r="937" spans="1:11" x14ac:dyDescent="0.25">
      <c r="A937" t="str">
        <f>HYPERLINK("http://www.corstruth.com.au/WA/Jingemia_4_cuttings_cs.png","Jingemia 4_cuttings_A4")</f>
        <v>Jingemia 4_cuttings_A4</v>
      </c>
      <c r="B937" t="str">
        <f>HYPERLINK("http://www.corstruth.com.au/WA/PNG2/Jingemia_4_cuttings_cs.png","Jingemia 4_cuttings_0.25m Bins")</f>
        <v>Jingemia 4_cuttings_0.25m Bins</v>
      </c>
      <c r="C937" t="str">
        <f>HYPERLINK("http://www.corstruth.com.au/WA/CSV/Jingemia_4_cuttings.csv","Jingemia 4_cuttings_CSV File 1m Bins")</f>
        <v>Jingemia 4_cuttings_CSV File 1m Bins</v>
      </c>
      <c r="D937" t="s">
        <v>1244</v>
      </c>
      <c r="E937" t="s">
        <v>1</v>
      </c>
      <c r="H937" t="s">
        <v>1245</v>
      </c>
      <c r="I937">
        <v>-29.337499999999999</v>
      </c>
      <c r="J937">
        <v>114.99299999999999</v>
      </c>
      <c r="K937" t="str">
        <f>HYPERLINK("http://geossdi.dmp.wa.gov.au/NVCLDataServices/mosaic.html?datasetid=6e5801ca-9e5b-4499-9c8e-388b680dada","Jingemia 4_cuttings_Core Image")</f>
        <v>Jingemia 4_cuttings_Core Image</v>
      </c>
    </row>
    <row r="938" spans="1:11" x14ac:dyDescent="0.25">
      <c r="A938" t="str">
        <f>HYPERLINK("http://www.corstruth.com.au/WA/T5GDD189_cs.png","T5GDD189_A4")</f>
        <v>T5GDD189_A4</v>
      </c>
      <c r="B938" t="str">
        <f>HYPERLINK("http://www.corstruth.com.au/WA/PNG2/T5GDD189_cs.png","T5GDD189_0.25m Bins")</f>
        <v>T5GDD189_0.25m Bins</v>
      </c>
      <c r="C938" t="str">
        <f>HYPERLINK("http://www.corstruth.com.au/WA/CSV/T5GDD189.csv","T5GDD189_CSV File 1m Bins")</f>
        <v>T5GDD189_CSV File 1m Bins</v>
      </c>
      <c r="D938" t="s">
        <v>1246</v>
      </c>
      <c r="E938" t="s">
        <v>1</v>
      </c>
      <c r="G938" t="s">
        <v>24</v>
      </c>
      <c r="H938" t="s">
        <v>1247</v>
      </c>
      <c r="I938">
        <v>-17.5913</v>
      </c>
      <c r="J938">
        <v>127.95699999999999</v>
      </c>
      <c r="K938" t="str">
        <f>HYPERLINK("http://geossdi.dmp.wa.gov.au/NVCLDataServices/mosaic.html?datasetid=cb1b350c-2a52-44c7-81a2-a95eff6cf7f","T5GDD189_Core Image")</f>
        <v>T5GDD189_Core Image</v>
      </c>
    </row>
    <row r="939" spans="1:11" x14ac:dyDescent="0.25">
      <c r="A939" t="str">
        <f>HYPERLINK("http://www.corstruth.com.au/WA/T3GDD055_cs.png","T3GDD055_A4")</f>
        <v>T3GDD055_A4</v>
      </c>
      <c r="B939" t="str">
        <f>HYPERLINK("http://www.corstruth.com.au/WA/PNG2/T3GDD055_cs.png","T3GDD055_0.25m Bins")</f>
        <v>T3GDD055_0.25m Bins</v>
      </c>
      <c r="C939" t="str">
        <f>HYPERLINK("http://www.corstruth.com.au/WA/CSV/T3GDD055.csv","T3GDD055_CSV File 1m Bins")</f>
        <v>T3GDD055_CSV File 1m Bins</v>
      </c>
      <c r="D939" t="s">
        <v>1248</v>
      </c>
      <c r="E939" t="s">
        <v>1</v>
      </c>
      <c r="G939" t="s">
        <v>24</v>
      </c>
      <c r="H939" t="s">
        <v>1249</v>
      </c>
      <c r="I939">
        <v>-17.620699999999999</v>
      </c>
      <c r="J939">
        <v>127.904</v>
      </c>
      <c r="K939" t="str">
        <f>HYPERLINK("http://geossdi.dmp.wa.gov.au/NVCLDataServices/mosaic.html?datasetid=4d9ba949-a534-4d1d-93b2-2c7b88344ca","T3GDD055_Core Image")</f>
        <v>T3GDD055_Core Image</v>
      </c>
    </row>
    <row r="940" spans="1:11" x14ac:dyDescent="0.25">
      <c r="A940" t="str">
        <f>HYPERLINK("http://www.corstruth.com.au/WA/T6GDD166_cs.png","T6GDD166_A4")</f>
        <v>T6GDD166_A4</v>
      </c>
      <c r="B940" t="str">
        <f>HYPERLINK("http://www.corstruth.com.au/WA/PNG2/T6GDD166_cs.png","T6GDD166_0.25m Bins")</f>
        <v>T6GDD166_0.25m Bins</v>
      </c>
      <c r="C940" t="str">
        <f>HYPERLINK("http://www.corstruth.com.au/WA/CSV/T6GDD166.csv","T6GDD166_CSV File 1m Bins")</f>
        <v>T6GDD166_CSV File 1m Bins</v>
      </c>
      <c r="D940" t="s">
        <v>1250</v>
      </c>
      <c r="E940" t="s">
        <v>1</v>
      </c>
      <c r="G940" t="s">
        <v>24</v>
      </c>
      <c r="H940" t="s">
        <v>1251</v>
      </c>
      <c r="I940">
        <v>-17.611999999999998</v>
      </c>
      <c r="J940">
        <v>127.964</v>
      </c>
      <c r="K940" t="str">
        <f>HYPERLINK("http://geossdi.dmp.wa.gov.au/NVCLDataServices/mosaic.html?datasetid=e7341eda-2f74-4947-a8a7-e4ee19a6fe8","T6GDD166_Core Image")</f>
        <v>T6GDD166_Core Image</v>
      </c>
    </row>
    <row r="941" spans="1:11" x14ac:dyDescent="0.25">
      <c r="A941" t="str">
        <f>HYPERLINK("http://www.corstruth.com.au/WA/T6GDD170_cs.png","T6GDD170_A4")</f>
        <v>T6GDD170_A4</v>
      </c>
      <c r="B941" t="str">
        <f>HYPERLINK("http://www.corstruth.com.au/WA/PNG2/T6GDD170_cs.png","T6GDD170_0.25m Bins")</f>
        <v>T6GDD170_0.25m Bins</v>
      </c>
      <c r="C941" t="str">
        <f>HYPERLINK("http://www.corstruth.com.au/WA/CSV/T6GDD170.csv","T6GDD170_CSV File 1m Bins")</f>
        <v>T6GDD170_CSV File 1m Bins</v>
      </c>
      <c r="D941" t="s">
        <v>1252</v>
      </c>
      <c r="E941" t="s">
        <v>1</v>
      </c>
      <c r="G941" t="s">
        <v>24</v>
      </c>
      <c r="H941" t="s">
        <v>1251</v>
      </c>
      <c r="I941">
        <v>-17.609200000000001</v>
      </c>
      <c r="J941">
        <v>127.96299999999999</v>
      </c>
      <c r="K941" t="str">
        <f>HYPERLINK("http://geossdi.dmp.wa.gov.au/NVCLDataServices/mosaic.html?datasetid=7088ca23-2ff9-461f-af56-3aa4332ec47","T6GDD170_Core Image")</f>
        <v>T6GDD170_Core Image</v>
      </c>
    </row>
    <row r="942" spans="1:11" x14ac:dyDescent="0.25">
      <c r="A942" t="str">
        <f>HYPERLINK("http://www.corstruth.com.au/WA/T2GDD027_cs.png","T2GDD027_A4")</f>
        <v>T2GDD027_A4</v>
      </c>
      <c r="B942" t="str">
        <f>HYPERLINK("http://www.corstruth.com.au/WA/PNG2/T2GDD027_cs.png","T2GDD027_0.25m Bins")</f>
        <v>T2GDD027_0.25m Bins</v>
      </c>
      <c r="C942" t="str">
        <f>HYPERLINK("http://www.corstruth.com.au/WA/CSV/T2GDD027.csv","T2GDD027_CSV File 1m Bins")</f>
        <v>T2GDD027_CSV File 1m Bins</v>
      </c>
      <c r="D942" t="s">
        <v>1253</v>
      </c>
      <c r="E942" t="s">
        <v>1</v>
      </c>
      <c r="G942" t="s">
        <v>24</v>
      </c>
      <c r="H942" t="s">
        <v>1254</v>
      </c>
      <c r="I942">
        <v>-17.63</v>
      </c>
      <c r="J942">
        <v>127.908</v>
      </c>
      <c r="K942" t="str">
        <f>HYPERLINK("http://geossdi.dmp.wa.gov.au/NVCLDataServices/mosaic.html?datasetid=058a0488-cffb-42d2-bb3f-ef945a99296","T2GDD027_Core Image")</f>
        <v>T2GDD027_Core Image</v>
      </c>
    </row>
    <row r="943" spans="1:11" x14ac:dyDescent="0.25">
      <c r="A943" t="str">
        <f>HYPERLINK("http://www.corstruth.com.au/WA/SMD157-A_cs.png","SMD157-A_A4")</f>
        <v>SMD157-A_A4</v>
      </c>
      <c r="B943" t="str">
        <f>HYPERLINK("http://www.corstruth.com.au/WA/PNG2/SMD157-A_cs.png","SMD157-A_0.25m Bins")</f>
        <v>SMD157-A_0.25m Bins</v>
      </c>
      <c r="C943" t="str">
        <f>HYPERLINK("http://www.corstruth.com.au/WA/CSV/SMD157-A.csv","SMD157-A_CSV File 1m Bins")</f>
        <v>SMD157-A_CSV File 1m Bins</v>
      </c>
      <c r="D943" t="s">
        <v>1255</v>
      </c>
      <c r="E943" t="s">
        <v>1</v>
      </c>
      <c r="G943" t="s">
        <v>24</v>
      </c>
      <c r="H943" t="s">
        <v>1256</v>
      </c>
      <c r="I943">
        <v>-17.3416</v>
      </c>
      <c r="J943">
        <v>128.02000000000001</v>
      </c>
      <c r="K943" t="str">
        <f>HYPERLINK("http://geossdi.dmp.wa.gov.au/NVCLDataServices/mosaic.html?datasetid=d6d5f76d-b8f6-457b-978e-13f18038721","SMD157-A_Core Image")</f>
        <v>SMD157-A_Core Image</v>
      </c>
    </row>
    <row r="944" spans="1:11" x14ac:dyDescent="0.25">
      <c r="A944" t="str">
        <f>HYPERLINK("http://www.corstruth.com.au/WA/CDD1_(DD84CDD1)_cs.png","CDD1 (DD84CDD1)_A4")</f>
        <v>CDD1 (DD84CDD1)_A4</v>
      </c>
      <c r="B944" t="str">
        <f>HYPERLINK("http://www.corstruth.com.au/WA/PNG2/CDD1_(DD84CDD1)_cs.png","CDD1 (DD84CDD1)_0.25m Bins")</f>
        <v>CDD1 (DD84CDD1)_0.25m Bins</v>
      </c>
      <c r="C944" t="str">
        <f>HYPERLINK("http://www.corstruth.com.au/WA/CSV/CDD1_(DD84CDD1).csv","CDD1 (DD84CDD1)_CSV File 1m Bins")</f>
        <v>CDD1 (DD84CDD1)_CSV File 1m Bins</v>
      </c>
      <c r="D944" t="s">
        <v>1257</v>
      </c>
      <c r="E944" t="s">
        <v>1</v>
      </c>
      <c r="G944" t="s">
        <v>24</v>
      </c>
      <c r="H944" t="s">
        <v>1258</v>
      </c>
      <c r="I944">
        <v>-19.2943</v>
      </c>
      <c r="J944">
        <v>127.14400000000001</v>
      </c>
      <c r="K944" t="str">
        <f>HYPERLINK("http://geossdi.dmp.wa.gov.au/NVCLDataServices/mosaic.html?datasetid=fc83d60a-82ab-42cd-8d87-4ef08748244","CDD1 (DD84CDD1)_Core Image")</f>
        <v>CDD1 (DD84CDD1)_Core Image</v>
      </c>
    </row>
    <row r="945" spans="1:11" x14ac:dyDescent="0.25">
      <c r="A945" t="str">
        <f>HYPERLINK("http://www.corstruth.com.au/WA/CDD2_(DD84CDD2)_cs.png","CDD2 (DD84CDD2)_A4")</f>
        <v>CDD2 (DD84CDD2)_A4</v>
      </c>
      <c r="B945" t="str">
        <f>HYPERLINK("http://www.corstruth.com.au/WA/PNG2/CDD2_(DD84CDD2)_cs.png","CDD2 (DD84CDD2)_0.25m Bins")</f>
        <v>CDD2 (DD84CDD2)_0.25m Bins</v>
      </c>
      <c r="C945" t="str">
        <f>HYPERLINK("http://www.corstruth.com.au/WA/CSV/CDD2_(DD84CDD2).csv","CDD2 (DD84CDD2)_CSV File 1m Bins")</f>
        <v>CDD2 (DD84CDD2)_CSV File 1m Bins</v>
      </c>
      <c r="D945" t="s">
        <v>1259</v>
      </c>
      <c r="E945" t="s">
        <v>1</v>
      </c>
      <c r="G945" t="s">
        <v>24</v>
      </c>
      <c r="H945" t="s">
        <v>1258</v>
      </c>
      <c r="I945">
        <v>-19.294799999999999</v>
      </c>
      <c r="J945">
        <v>127.146</v>
      </c>
      <c r="K945" t="str">
        <f>HYPERLINK("http://geossdi.dmp.wa.gov.au/NVCLDataServices/mosaic.html?datasetid=24bbd8a9-ac9c-4318-a003-af6681c70a1","CDD2 (DD84CDD2)_Core Image")</f>
        <v>CDD2 (DD84CDD2)_Core Image</v>
      </c>
    </row>
    <row r="946" spans="1:11" x14ac:dyDescent="0.25">
      <c r="A946" t="str">
        <f>HYPERLINK("http://www.corstruth.com.au/WA/GHDDH027_cs.png","GHDDH027_A4")</f>
        <v>GHDDH027_A4</v>
      </c>
      <c r="B946" t="str">
        <f>HYPERLINK("http://www.corstruth.com.au/WA/PNG2/GHDDH027_cs.png","GHDDH027_0.25m Bins")</f>
        <v>GHDDH027_0.25m Bins</v>
      </c>
      <c r="C946" t="str">
        <f>HYPERLINK("http://www.corstruth.com.au/WA/CSV/GHDDH027.csv","GHDDH027_CSV File 1m Bins")</f>
        <v>GHDDH027_CSV File 1m Bins</v>
      </c>
      <c r="D946" t="s">
        <v>1260</v>
      </c>
      <c r="E946" t="s">
        <v>1</v>
      </c>
      <c r="G946" t="s">
        <v>24</v>
      </c>
      <c r="H946" t="s">
        <v>1261</v>
      </c>
      <c r="I946">
        <v>-17.5943</v>
      </c>
      <c r="J946">
        <v>127.905</v>
      </c>
      <c r="K946" t="str">
        <f>HYPERLINK("http://geossdi.dmp.wa.gov.au/NVCLDataServices/mosaic.html?datasetid=1bc53624-645f-439c-bab4-0c3f36bb47c","GHDDH027_Core Image")</f>
        <v>GHDDH027_Core Image</v>
      </c>
    </row>
    <row r="947" spans="1:11" x14ac:dyDescent="0.25">
      <c r="A947" t="str">
        <f>HYPERLINK("http://www.corstruth.com.au/WA/HCRD0043_cs.png","HCRD0043_A4")</f>
        <v>HCRD0043_A4</v>
      </c>
      <c r="B947" t="str">
        <f>HYPERLINK("http://www.corstruth.com.au/WA/PNG2/HCRD0043_cs.png","HCRD0043_0.25m Bins")</f>
        <v>HCRD0043_0.25m Bins</v>
      </c>
      <c r="C947" t="str">
        <f>HYPERLINK("http://www.corstruth.com.au/WA/CSV/HCRD0043.csv","HCRD0043_CSV File 1m Bins")</f>
        <v>HCRD0043_CSV File 1m Bins</v>
      </c>
      <c r="D947" t="s">
        <v>1262</v>
      </c>
      <c r="E947" t="s">
        <v>1</v>
      </c>
      <c r="G947" t="s">
        <v>24</v>
      </c>
      <c r="H947" t="s">
        <v>1263</v>
      </c>
      <c r="I947">
        <v>-18.4392</v>
      </c>
      <c r="J947">
        <v>127.49</v>
      </c>
      <c r="K947" t="str">
        <f>HYPERLINK("http://geossdi.dmp.wa.gov.au/NVCLDataServices/mosaic.html?datasetid=d9f0104e-4960-4db9-911d-1081bca3e36","HCRD0043_Core Image")</f>
        <v>HCRD0043_Core Image</v>
      </c>
    </row>
    <row r="948" spans="1:11" x14ac:dyDescent="0.25">
      <c r="A948" t="str">
        <f>HYPERLINK("http://www.corstruth.com.au/WA/HCRD0044_cs.png","HCRD0044_A4")</f>
        <v>HCRD0044_A4</v>
      </c>
      <c r="B948" t="str">
        <f>HYPERLINK("http://www.corstruth.com.au/WA/PNG2/HCRD0044_cs.png","HCRD0044_0.25m Bins")</f>
        <v>HCRD0044_0.25m Bins</v>
      </c>
      <c r="C948" t="str">
        <f>HYPERLINK("http://www.corstruth.com.au/WA/CSV/HCRD0044.csv","HCRD0044_CSV File 1m Bins")</f>
        <v>HCRD0044_CSV File 1m Bins</v>
      </c>
      <c r="D948" t="s">
        <v>1264</v>
      </c>
      <c r="E948" t="s">
        <v>1</v>
      </c>
      <c r="G948" t="s">
        <v>24</v>
      </c>
      <c r="H948" t="s">
        <v>1263</v>
      </c>
      <c r="I948">
        <v>-18.439399999999999</v>
      </c>
      <c r="J948">
        <v>127.49</v>
      </c>
      <c r="K948" t="str">
        <f>HYPERLINK("http://geossdi.dmp.wa.gov.au/NVCLDataServices/mosaic.html?datasetid=bcf36ab3-7c46-4b1f-b07f-8cec703e06f","HCRD0044_Core Image")</f>
        <v>HCRD0044_Core Image</v>
      </c>
    </row>
    <row r="949" spans="1:11" x14ac:dyDescent="0.25">
      <c r="A949" t="str">
        <f>HYPERLINK("http://www.corstruth.com.au/WA/HCRD0046_cs.png","HCRD0046_A4")</f>
        <v>HCRD0046_A4</v>
      </c>
      <c r="B949" t="str">
        <f>HYPERLINK("http://www.corstruth.com.au/WA/PNG2/HCRD0046_cs.png","HCRD0046_0.25m Bins")</f>
        <v>HCRD0046_0.25m Bins</v>
      </c>
      <c r="C949" t="str">
        <f>HYPERLINK("http://www.corstruth.com.au/WA/CSV/HCRD0046.csv","HCRD0046_CSV File 1m Bins")</f>
        <v>HCRD0046_CSV File 1m Bins</v>
      </c>
      <c r="D949" t="s">
        <v>1265</v>
      </c>
      <c r="E949" t="s">
        <v>1</v>
      </c>
      <c r="G949" t="s">
        <v>24</v>
      </c>
      <c r="H949" t="s">
        <v>1263</v>
      </c>
      <c r="I949">
        <v>-18.4389</v>
      </c>
      <c r="J949">
        <v>127.49</v>
      </c>
      <c r="K949" t="str">
        <f>HYPERLINK("http://geossdi.dmp.wa.gov.au/NVCLDataServices/mosaic.html?datasetid=fcdaf0b9-db2d-4672-bdad-3987afca158","HCRD0046_Core Image")</f>
        <v>HCRD0046_Core Image</v>
      </c>
    </row>
    <row r="950" spans="1:11" x14ac:dyDescent="0.25">
      <c r="A950" t="str">
        <f>HYPERLINK("http://www.corstruth.com.au/WA/HCRD0047_cs.png","HCRD0047_A4")</f>
        <v>HCRD0047_A4</v>
      </c>
      <c r="B950" t="str">
        <f>HYPERLINK("http://www.corstruth.com.au/WA/PNG2/HCRD0047_cs.png","HCRD0047_0.25m Bins")</f>
        <v>HCRD0047_0.25m Bins</v>
      </c>
      <c r="C950" t="str">
        <f>HYPERLINK("http://www.corstruth.com.au/WA/CSV/HCRD0047.csv","HCRD0047_CSV File 1m Bins")</f>
        <v>HCRD0047_CSV File 1m Bins</v>
      </c>
      <c r="D950" t="s">
        <v>1266</v>
      </c>
      <c r="E950" t="s">
        <v>1</v>
      </c>
      <c r="G950" t="s">
        <v>24</v>
      </c>
      <c r="H950" t="s">
        <v>1263</v>
      </c>
      <c r="I950">
        <v>-18.438500000000001</v>
      </c>
      <c r="J950">
        <v>127.489</v>
      </c>
      <c r="K950" t="str">
        <f>HYPERLINK("http://geossdi.dmp.wa.gov.au/NVCLDataServices/mosaic.html?datasetid=aea3b68b-4d92-475c-9b3f-8c1084ecc84","HCRD0047_Core Image")</f>
        <v>HCRD0047_Core Image</v>
      </c>
    </row>
    <row r="951" spans="1:11" x14ac:dyDescent="0.25">
      <c r="A951" t="str">
        <f>HYPERLINK("http://www.corstruth.com.au/WA/HCRD0048_cs.png","HCRD0048_A4")</f>
        <v>HCRD0048_A4</v>
      </c>
      <c r="B951" t="str">
        <f>HYPERLINK("http://www.corstruth.com.au/WA/PNG2/HCRD0048_cs.png","HCRD0048_0.25m Bins")</f>
        <v>HCRD0048_0.25m Bins</v>
      </c>
      <c r="C951" t="str">
        <f>HYPERLINK("http://www.corstruth.com.au/WA/CSV/HCRD0048.csv","HCRD0048_CSV File 1m Bins")</f>
        <v>HCRD0048_CSV File 1m Bins</v>
      </c>
      <c r="D951" t="s">
        <v>1267</v>
      </c>
      <c r="E951" t="s">
        <v>1</v>
      </c>
      <c r="G951" t="s">
        <v>24</v>
      </c>
      <c r="H951" t="s">
        <v>1263</v>
      </c>
      <c r="I951">
        <v>-18.439699999999998</v>
      </c>
      <c r="J951">
        <v>127.489</v>
      </c>
      <c r="K951" t="str">
        <f>HYPERLINK("http://geossdi.dmp.wa.gov.au/NVCLDataServices/mosaic.html?datasetid=b5fff727-b710-4e90-a7ad-f60f78b4838","HCRD0048_Core Image")</f>
        <v>HCRD0048_Core Image</v>
      </c>
    </row>
    <row r="952" spans="1:11" x14ac:dyDescent="0.25">
      <c r="A952" t="str">
        <f>HYPERLINK("http://www.corstruth.com.au/WA/HCRD0049_cs.png","HCRD0049_A4")</f>
        <v>HCRD0049_A4</v>
      </c>
      <c r="B952" t="str">
        <f>HYPERLINK("http://www.corstruth.com.au/WA/PNG2/HCRD0049_cs.png","HCRD0049_0.25m Bins")</f>
        <v>HCRD0049_0.25m Bins</v>
      </c>
      <c r="C952" t="str">
        <f>HYPERLINK("http://www.corstruth.com.au/WA/CSV/HCRD0049.csv","HCRD0049_CSV File 1m Bins")</f>
        <v>HCRD0049_CSV File 1m Bins</v>
      </c>
      <c r="D952" t="s">
        <v>1268</v>
      </c>
      <c r="E952" t="s">
        <v>1</v>
      </c>
      <c r="G952" t="s">
        <v>24</v>
      </c>
      <c r="H952" t="s">
        <v>1263</v>
      </c>
      <c r="I952">
        <v>-18.4391</v>
      </c>
      <c r="J952">
        <v>127.49</v>
      </c>
      <c r="K952" t="str">
        <f>HYPERLINK("http://geossdi.dmp.wa.gov.au/NVCLDataServices/mosaic.html?datasetid=7066409a-56f3-4fdb-afbf-7ec8ef7bbee","HCRD0049_Core Image")</f>
        <v>HCRD0049_Core Image</v>
      </c>
    </row>
    <row r="953" spans="1:11" x14ac:dyDescent="0.25">
      <c r="A953" t="str">
        <f>HYPERLINK("http://www.corstruth.com.au/WA/HCRD0050_cs.png","HCRD0050_A4")</f>
        <v>HCRD0050_A4</v>
      </c>
      <c r="B953" t="str">
        <f>HYPERLINK("http://www.corstruth.com.au/WA/PNG2/HCRD0050_cs.png","HCRD0050_0.25m Bins")</f>
        <v>HCRD0050_0.25m Bins</v>
      </c>
      <c r="C953" t="str">
        <f>HYPERLINK("http://www.corstruth.com.au/WA/CSV/HCRD0050.csv","HCRD0050_CSV File 1m Bins")</f>
        <v>HCRD0050_CSV File 1m Bins</v>
      </c>
      <c r="D953" t="s">
        <v>1269</v>
      </c>
      <c r="E953" t="s">
        <v>1</v>
      </c>
      <c r="G953" t="s">
        <v>24</v>
      </c>
      <c r="H953" t="s">
        <v>1263</v>
      </c>
      <c r="I953">
        <v>-18.439399999999999</v>
      </c>
      <c r="J953">
        <v>127.49</v>
      </c>
      <c r="K953" t="str">
        <f>HYPERLINK("http://geossdi.dmp.wa.gov.au/NVCLDataServices/mosaic.html?datasetid=ce14e4f5-6b79-42ae-b31c-8cccfa3013a","HCRD0050_Core Image")</f>
        <v>HCRD0050_Core Image</v>
      </c>
    </row>
    <row r="954" spans="1:11" x14ac:dyDescent="0.25">
      <c r="A954" t="str">
        <f>HYPERLINK("http://www.corstruth.com.au/WA/HCRD0051_cs.png","HCRD0051_A4")</f>
        <v>HCRD0051_A4</v>
      </c>
      <c r="B954" t="str">
        <f>HYPERLINK("http://www.corstruth.com.au/WA/PNG2/HCRD0051_cs.png","HCRD0051_0.25m Bins")</f>
        <v>HCRD0051_0.25m Bins</v>
      </c>
      <c r="C954" t="str">
        <f>HYPERLINK("http://www.corstruth.com.au/WA/CSV/HCRD0051.csv","HCRD0051_CSV File 1m Bins")</f>
        <v>HCRD0051_CSV File 1m Bins</v>
      </c>
      <c r="D954" t="s">
        <v>1270</v>
      </c>
      <c r="E954" t="s">
        <v>1</v>
      </c>
      <c r="G954" t="s">
        <v>24</v>
      </c>
      <c r="H954" t="s">
        <v>1263</v>
      </c>
      <c r="I954">
        <v>-18.439399999999999</v>
      </c>
      <c r="J954">
        <v>127.49</v>
      </c>
      <c r="K954" t="str">
        <f>HYPERLINK("http://geossdi.dmp.wa.gov.au/NVCLDataServices/mosaic.html?datasetid=6a9b8ef5-9150-4f59-bf31-5380a191c57","HCRD0051_Core Image")</f>
        <v>HCRD0051_Core Image</v>
      </c>
    </row>
    <row r="955" spans="1:11" x14ac:dyDescent="0.25">
      <c r="A955" t="str">
        <f>HYPERLINK("http://www.corstruth.com.au/WA/HCRD0053_cs.png","HCRD0053_A4")</f>
        <v>HCRD0053_A4</v>
      </c>
      <c r="B955" t="str">
        <f>HYPERLINK("http://www.corstruth.com.au/WA/PNG2/HCRD0053_cs.png","HCRD0053_0.25m Bins")</f>
        <v>HCRD0053_0.25m Bins</v>
      </c>
      <c r="C955" t="str">
        <f>HYPERLINK("http://www.corstruth.com.au/WA/CSV/HCRD0053.csv","HCRD0053_CSV File 1m Bins")</f>
        <v>HCRD0053_CSV File 1m Bins</v>
      </c>
      <c r="D955" t="s">
        <v>1271</v>
      </c>
      <c r="E955" t="s">
        <v>1</v>
      </c>
      <c r="G955" t="s">
        <v>24</v>
      </c>
      <c r="H955" t="s">
        <v>1263</v>
      </c>
      <c r="I955">
        <v>-18.440300000000001</v>
      </c>
      <c r="J955">
        <v>127.49</v>
      </c>
      <c r="K955" t="str">
        <f>HYPERLINK("http://geossdi.dmp.wa.gov.au/NVCLDataServices/mosaic.html?datasetid=38bbb767-8028-4f1c-874a-4b7682085e0","HCRD0053_Core Image")</f>
        <v>HCRD0053_Core Image</v>
      </c>
    </row>
    <row r="956" spans="1:11" x14ac:dyDescent="0.25">
      <c r="A956" t="str">
        <f>HYPERLINK("http://www.corstruth.com.au/WA/IRKDD001_cs.png","IRKDD001_A4")</f>
        <v>IRKDD001_A4</v>
      </c>
      <c r="B956" t="str">
        <f>HYPERLINK("http://www.corstruth.com.au/WA/PNG2/IRKDD001_cs.png","IRKDD001_0.25m Bins")</f>
        <v>IRKDD001_0.25m Bins</v>
      </c>
      <c r="C956" t="str">
        <f>HYPERLINK("http://www.corstruth.com.au/WA/CSV/IRKDD001.csv","IRKDD001_CSV File 1m Bins")</f>
        <v>IRKDD001_CSV File 1m Bins</v>
      </c>
      <c r="D956" t="s">
        <v>1272</v>
      </c>
      <c r="E956" t="s">
        <v>1</v>
      </c>
      <c r="G956" t="s">
        <v>24</v>
      </c>
      <c r="H956" t="s">
        <v>1273</v>
      </c>
      <c r="I956">
        <v>-17.122299999999999</v>
      </c>
      <c r="J956">
        <v>128.29</v>
      </c>
      <c r="K956" t="str">
        <f>HYPERLINK("http://geossdi.dmp.wa.gov.au/NVCLDataServices/mosaic.html?datasetid=c64ba66e-fe6b-40ba-89ad-3c6c33a6416","IRKDD001_Core Image")</f>
        <v>IRKDD001_Core Image</v>
      </c>
    </row>
    <row r="957" spans="1:11" x14ac:dyDescent="0.25">
      <c r="A957" t="str">
        <f>HYPERLINK("http://www.corstruth.com.au/WA/IRKDD002_cs.png","IRKDD002_A4")</f>
        <v>IRKDD002_A4</v>
      </c>
      <c r="B957" t="str">
        <f>HYPERLINK("http://www.corstruth.com.au/WA/PNG2/IRKDD002_cs.png","IRKDD002_0.25m Bins")</f>
        <v>IRKDD002_0.25m Bins</v>
      </c>
      <c r="C957" t="str">
        <f>HYPERLINK("http://www.corstruth.com.au/WA/CSV/IRKDD002.csv","IRKDD002_CSV File 1m Bins")</f>
        <v>IRKDD002_CSV File 1m Bins</v>
      </c>
      <c r="D957" t="s">
        <v>1274</v>
      </c>
      <c r="E957" t="s">
        <v>1</v>
      </c>
      <c r="G957" t="s">
        <v>24</v>
      </c>
      <c r="H957" t="s">
        <v>1273</v>
      </c>
      <c r="I957">
        <v>-17.121200000000002</v>
      </c>
      <c r="J957">
        <v>128.292</v>
      </c>
      <c r="K957" t="str">
        <f>HYPERLINK("http://geossdi.dmp.wa.gov.au/NVCLDataServices/mosaic.html?datasetid=6eb54285-8c95-4f1d-85d9-ea6ac91b99a","IRKDD002_Core Image")</f>
        <v>IRKDD002_Core Image</v>
      </c>
    </row>
    <row r="958" spans="1:11" x14ac:dyDescent="0.25">
      <c r="A958" t="str">
        <f>HYPERLINK("http://www.corstruth.com.au/WA/SMD184_cs.png","SMD184_A4")</f>
        <v>SMD184_A4</v>
      </c>
      <c r="B958" t="str">
        <f>HYPERLINK("http://www.corstruth.com.au/WA/PNG2/SMD184_cs.png","SMD184_0.25m Bins")</f>
        <v>SMD184_0.25m Bins</v>
      </c>
      <c r="C958" t="str">
        <f>HYPERLINK("http://www.corstruth.com.au/WA/CSV/SMD184.csv","SMD184_CSV File 1m Bins")</f>
        <v>SMD184_CSV File 1m Bins</v>
      </c>
      <c r="D958" t="s">
        <v>1275</v>
      </c>
      <c r="E958" t="s">
        <v>1</v>
      </c>
      <c r="G958" t="s">
        <v>24</v>
      </c>
      <c r="H958" t="s">
        <v>1276</v>
      </c>
      <c r="I958">
        <v>-17.2956</v>
      </c>
      <c r="J958">
        <v>128.04400000000001</v>
      </c>
      <c r="K958" t="str">
        <f>HYPERLINK("http://geossdi.dmp.wa.gov.au/NVCLDataServices/mosaic.html?datasetid=a54fd2bc-05d2-4dc2-9dd5-c35454a4aec","SMD184_Core Image")</f>
        <v>SMD184_Core Image</v>
      </c>
    </row>
    <row r="959" spans="1:11" x14ac:dyDescent="0.25">
      <c r="A959" t="str">
        <f>HYPERLINK("http://www.corstruth.com.au/WA/SMD161_cs.png","SMD161_A4")</f>
        <v>SMD161_A4</v>
      </c>
      <c r="B959" t="str">
        <f>HYPERLINK("http://www.corstruth.com.au/WA/PNG2/SMD161_cs.png","SMD161_0.25m Bins")</f>
        <v>SMD161_0.25m Bins</v>
      </c>
      <c r="C959" t="str">
        <f>HYPERLINK("http://www.corstruth.com.au/WA/CSV/SMD161.csv","SMD161_CSV File 1m Bins")</f>
        <v>SMD161_CSV File 1m Bins</v>
      </c>
      <c r="D959" t="s">
        <v>59</v>
      </c>
      <c r="E959" t="s">
        <v>1</v>
      </c>
      <c r="G959" t="s">
        <v>24</v>
      </c>
      <c r="H959" t="s">
        <v>1277</v>
      </c>
      <c r="I959">
        <v>-17.342700000000001</v>
      </c>
      <c r="J959">
        <v>128.02500000000001</v>
      </c>
      <c r="K959" t="str">
        <f>HYPERLINK("http://geossdi.dmp.wa.gov.au/NVCLDataServices/mosaic.html?datasetid=0d7ea1a2-d500-4620-84ea-d225cb9ca3e","SMD161_Core Image")</f>
        <v>SMD161_Core Image</v>
      </c>
    </row>
    <row r="960" spans="1:11" x14ac:dyDescent="0.25">
      <c r="A960" t="str">
        <f>HYPERLINK("http://www.corstruth.com.au/WA/SMD162_cs.png","SMD162_A4")</f>
        <v>SMD162_A4</v>
      </c>
      <c r="B960" t="str">
        <f>HYPERLINK("http://www.corstruth.com.au/WA/PNG2/SMD162_cs.png","SMD162_0.25m Bins")</f>
        <v>SMD162_0.25m Bins</v>
      </c>
      <c r="C960" t="str">
        <f>HYPERLINK("http://www.corstruth.com.au/WA/CSV/SMD162.csv","SMD162_CSV File 1m Bins")</f>
        <v>SMD162_CSV File 1m Bins</v>
      </c>
      <c r="D960" t="s">
        <v>59</v>
      </c>
      <c r="E960" t="s">
        <v>1</v>
      </c>
      <c r="G960" t="s">
        <v>24</v>
      </c>
      <c r="H960" t="s">
        <v>1277</v>
      </c>
      <c r="I960">
        <v>-17.342700000000001</v>
      </c>
      <c r="J960">
        <v>128.02500000000001</v>
      </c>
      <c r="K960" t="str">
        <f>HYPERLINK("http://geossdi.dmp.wa.gov.au/NVCLDataServices/mosaic.html?datasetid=9e712aad-0daa-4c2b-a870-236b45bda65","SMD162_Core Image")</f>
        <v>SMD162_Core Image</v>
      </c>
    </row>
    <row r="961" spans="1:11" x14ac:dyDescent="0.25">
      <c r="A961" t="str">
        <f>HYPERLINK("http://www.corstruth.com.au/WA/SMD163_cs.png","SMD163_A4")</f>
        <v>SMD163_A4</v>
      </c>
      <c r="B961" t="str">
        <f>HYPERLINK("http://www.corstruth.com.au/WA/PNG2/SMD163_cs.png","SMD163_0.25m Bins")</f>
        <v>SMD163_0.25m Bins</v>
      </c>
      <c r="C961" t="str">
        <f>HYPERLINK("http://www.corstruth.com.au/WA/CSV/SMD163.csv","SMD163_CSV File 1m Bins")</f>
        <v>SMD163_CSV File 1m Bins</v>
      </c>
      <c r="D961" t="s">
        <v>1278</v>
      </c>
      <c r="E961" t="s">
        <v>1</v>
      </c>
      <c r="G961" t="s">
        <v>24</v>
      </c>
      <c r="H961" t="s">
        <v>1277</v>
      </c>
      <c r="I961">
        <v>-17.342600000000001</v>
      </c>
      <c r="J961">
        <v>128.02500000000001</v>
      </c>
      <c r="K961" t="str">
        <f>HYPERLINK("http://geossdi.dmp.wa.gov.au/NVCLDataServices/mosaic.html?datasetid=1e43be66-af7d-4a45-a70c-4e5a5b2b0a2","SMD163_Core Image")</f>
        <v>SMD163_Core Image</v>
      </c>
    </row>
    <row r="962" spans="1:11" x14ac:dyDescent="0.25">
      <c r="A962" t="str">
        <f>HYPERLINK("http://www.corstruth.com.au/WA/SMD164_cs.png","SMD164_A4")</f>
        <v>SMD164_A4</v>
      </c>
      <c r="B962" t="str">
        <f>HYPERLINK("http://www.corstruth.com.au/WA/PNG2/SMD164_cs.png","SMD164_0.25m Bins")</f>
        <v>SMD164_0.25m Bins</v>
      </c>
      <c r="C962" t="str">
        <f>HYPERLINK("http://www.corstruth.com.au/WA/CSV/SMD164.csv","SMD164_CSV File 1m Bins")</f>
        <v>SMD164_CSV File 1m Bins</v>
      </c>
      <c r="D962" t="s">
        <v>59</v>
      </c>
      <c r="E962" t="s">
        <v>1</v>
      </c>
      <c r="G962" t="s">
        <v>24</v>
      </c>
      <c r="H962" t="s">
        <v>1277</v>
      </c>
      <c r="I962">
        <v>-17.339700000000001</v>
      </c>
      <c r="J962">
        <v>128.01499999999999</v>
      </c>
      <c r="K962" t="str">
        <f>HYPERLINK("http://geossdi.dmp.wa.gov.au/NVCLDataServices/mosaic.html?datasetid=73a72003-8abd-444c-be21-d9ff893d62f","SMD164_Core Image")</f>
        <v>SMD164_Core Image</v>
      </c>
    </row>
    <row r="963" spans="1:11" x14ac:dyDescent="0.25">
      <c r="A963" t="str">
        <f>HYPERLINK("http://www.corstruth.com.au/WA/SMD165_cs.png","SMD165_A4")</f>
        <v>SMD165_A4</v>
      </c>
      <c r="B963" t="str">
        <f>HYPERLINK("http://www.corstruth.com.au/WA/PNG2/SMD165_cs.png","SMD165_0.25m Bins")</f>
        <v>SMD165_0.25m Bins</v>
      </c>
      <c r="C963" t="str">
        <f>HYPERLINK("http://www.corstruth.com.au/WA/CSV/SMD165.csv","SMD165_CSV File 1m Bins")</f>
        <v>SMD165_CSV File 1m Bins</v>
      </c>
      <c r="D963" t="s">
        <v>1279</v>
      </c>
      <c r="E963" t="s">
        <v>1</v>
      </c>
      <c r="G963" t="s">
        <v>24</v>
      </c>
      <c r="H963" t="s">
        <v>1277</v>
      </c>
      <c r="I963">
        <v>-17.370200000000001</v>
      </c>
      <c r="J963">
        <v>128.023</v>
      </c>
      <c r="K963" t="str">
        <f>HYPERLINK("http://geossdi.dmp.wa.gov.au/NVCLDataServices/mosaic.html?datasetid=285d62f6-77e5-4d42-9d11-423fcbff355","SMD165_Core Image")</f>
        <v>SMD165_Core Image</v>
      </c>
    </row>
    <row r="964" spans="1:11" x14ac:dyDescent="0.25">
      <c r="A964" t="str">
        <f>HYPERLINK("http://www.corstruth.com.au/WA/SMD166_cs.png","SMD166_A4")</f>
        <v>SMD166_A4</v>
      </c>
      <c r="B964" t="str">
        <f>HYPERLINK("http://www.corstruth.com.au/WA/PNG2/SMD166_cs.png","SMD166_0.25m Bins")</f>
        <v>SMD166_0.25m Bins</v>
      </c>
      <c r="C964" t="str">
        <f>HYPERLINK("http://www.corstruth.com.au/WA/CSV/SMD166.csv","SMD166_CSV File 1m Bins")</f>
        <v>SMD166_CSV File 1m Bins</v>
      </c>
      <c r="D964" t="s">
        <v>1280</v>
      </c>
      <c r="E964" t="s">
        <v>1</v>
      </c>
      <c r="G964" t="s">
        <v>24</v>
      </c>
      <c r="H964" t="s">
        <v>1277</v>
      </c>
      <c r="I964">
        <v>-17.382200000000001</v>
      </c>
      <c r="J964">
        <v>128.00800000000001</v>
      </c>
      <c r="K964" t="str">
        <f>HYPERLINK("http://geossdi.dmp.wa.gov.au/NVCLDataServices/mosaic.html?datasetid=e3ab0997-a644-4139-a609-85a3121f474","SMD166_Core Image")</f>
        <v>SMD166_Core Image</v>
      </c>
    </row>
    <row r="965" spans="1:11" x14ac:dyDescent="0.25">
      <c r="A965" t="str">
        <f>HYPERLINK("http://www.corstruth.com.au/WA/SMD167_cs.png","SMD167_A4")</f>
        <v>SMD167_A4</v>
      </c>
      <c r="B965" t="str">
        <f>HYPERLINK("http://www.corstruth.com.au/WA/PNG2/SMD167_cs.png","SMD167_0.25m Bins")</f>
        <v>SMD167_0.25m Bins</v>
      </c>
      <c r="C965" t="str">
        <f>HYPERLINK("http://www.corstruth.com.au/WA/CSV/SMD167.csv","SMD167_CSV File 1m Bins")</f>
        <v>SMD167_CSV File 1m Bins</v>
      </c>
      <c r="D965" t="s">
        <v>1281</v>
      </c>
      <c r="E965" t="s">
        <v>1</v>
      </c>
      <c r="G965" t="s">
        <v>24</v>
      </c>
      <c r="H965" t="s">
        <v>1277</v>
      </c>
      <c r="I965">
        <v>-17.337199999999999</v>
      </c>
      <c r="J965">
        <v>128.01300000000001</v>
      </c>
      <c r="K965" t="str">
        <f>HYPERLINK("http://geossdi.dmp.wa.gov.au/NVCLDataServices/mosaic.html?datasetid=08ad1fc3-ae7b-4128-92bd-87d760507c3","SMD167_Core Image")</f>
        <v>SMD167_Core Image</v>
      </c>
    </row>
    <row r="966" spans="1:11" x14ac:dyDescent="0.25">
      <c r="A966" t="str">
        <f>HYPERLINK("http://www.corstruth.com.au/WA/SMD169_cs.png","SMD169_A4")</f>
        <v>SMD169_A4</v>
      </c>
      <c r="B966" t="str">
        <f>HYPERLINK("http://www.corstruth.com.au/WA/PNG2/SMD169_cs.png","SMD169_0.25m Bins")</f>
        <v>SMD169_0.25m Bins</v>
      </c>
      <c r="C966" t="str">
        <f>HYPERLINK("http://www.corstruth.com.au/WA/CSV/SMD169.csv","SMD169_CSV File 1m Bins")</f>
        <v>SMD169_CSV File 1m Bins</v>
      </c>
      <c r="D966" t="s">
        <v>1282</v>
      </c>
      <c r="E966" t="s">
        <v>1</v>
      </c>
      <c r="G966" t="s">
        <v>24</v>
      </c>
      <c r="H966" t="s">
        <v>1277</v>
      </c>
      <c r="I966">
        <v>-17.337199999999999</v>
      </c>
      <c r="J966">
        <v>128.03299999999999</v>
      </c>
      <c r="K966" t="str">
        <f>HYPERLINK("http://geossdi.dmp.wa.gov.au/NVCLDataServices/mosaic.html?datasetid=f57b8e34-d5f6-476d-9df5-a80f7d4eee4","SMD169_Core Image")</f>
        <v>SMD169_Core Image</v>
      </c>
    </row>
    <row r="967" spans="1:11" x14ac:dyDescent="0.25">
      <c r="A967" t="str">
        <f>HYPERLINK("http://www.corstruth.com.au/WA/SDH001_cs.png","SDH001_A4")</f>
        <v>SDH001_A4</v>
      </c>
      <c r="B967" t="str">
        <f>HYPERLINK("http://www.corstruth.com.au/WA/PNG2/SDH001_cs.png","SDH001_0.25m Bins")</f>
        <v>SDH001_0.25m Bins</v>
      </c>
      <c r="C967" t="str">
        <f>HYPERLINK("http://www.corstruth.com.au/WA/CSV/SDH001.csv","SDH001_CSV File 1m Bins")</f>
        <v>SDH001_CSV File 1m Bins</v>
      </c>
      <c r="D967" t="s">
        <v>1283</v>
      </c>
      <c r="E967" t="s">
        <v>1</v>
      </c>
      <c r="G967" t="s">
        <v>24</v>
      </c>
      <c r="H967" t="s">
        <v>1284</v>
      </c>
      <c r="I967">
        <v>-16.4129</v>
      </c>
      <c r="J967">
        <v>127.976</v>
      </c>
      <c r="K967" t="str">
        <f>HYPERLINK("http://geossdi.dmp.wa.gov.au/NVCLDataServices/mosaic.html?datasetid=0bb07d4c-4366-4b6c-afb5-144dd36c159","SDH001_Core Image")</f>
        <v>SDH001_Core Image</v>
      </c>
    </row>
    <row r="968" spans="1:11" x14ac:dyDescent="0.25">
      <c r="A968" t="str">
        <f>HYPERLINK("http://www.corstruth.com.au/WA/SDH002_cs.png","SDH002_A4")</f>
        <v>SDH002_A4</v>
      </c>
      <c r="B968" t="str">
        <f>HYPERLINK("http://www.corstruth.com.au/WA/PNG2/SDH002_cs.png","SDH002_0.25m Bins")</f>
        <v>SDH002_0.25m Bins</v>
      </c>
      <c r="C968" t="str">
        <f>HYPERLINK("http://www.corstruth.com.au/WA/CSV/SDH002.csv","SDH002_CSV File 1m Bins")</f>
        <v>SDH002_CSV File 1m Bins</v>
      </c>
      <c r="D968" t="s">
        <v>1285</v>
      </c>
      <c r="E968" t="s">
        <v>1</v>
      </c>
      <c r="G968" t="s">
        <v>24</v>
      </c>
      <c r="H968" t="s">
        <v>1284</v>
      </c>
      <c r="I968">
        <v>-16.411200000000001</v>
      </c>
      <c r="J968">
        <v>127.977</v>
      </c>
      <c r="K968" t="str">
        <f>HYPERLINK("http://geossdi.dmp.wa.gov.au/NVCLDataServices/mosaic.html?datasetid=e422e52f-48cf-4c03-9e67-56c129175a1","SDH002_Core Image")</f>
        <v>SDH002_Core Image</v>
      </c>
    </row>
    <row r="969" spans="1:11" x14ac:dyDescent="0.25">
      <c r="A969" t="str">
        <f>HYPERLINK("http://www.corstruth.com.au/WA/SDH003_cs.png","SDH003_A4")</f>
        <v>SDH003_A4</v>
      </c>
      <c r="B969" t="str">
        <f>HYPERLINK("http://www.corstruth.com.au/WA/PNG2/SDH003_cs.png","SDH003_0.25m Bins")</f>
        <v>SDH003_0.25m Bins</v>
      </c>
      <c r="C969" t="str">
        <f>HYPERLINK("http://www.corstruth.com.au/WA/CSV/SDH003.csv","SDH003_CSV File 1m Bins")</f>
        <v>SDH003_CSV File 1m Bins</v>
      </c>
      <c r="D969" t="s">
        <v>1286</v>
      </c>
      <c r="E969" t="s">
        <v>1</v>
      </c>
      <c r="G969" t="s">
        <v>24</v>
      </c>
      <c r="H969" t="s">
        <v>1284</v>
      </c>
      <c r="I969">
        <v>-16.409500000000001</v>
      </c>
      <c r="J969">
        <v>127.977</v>
      </c>
      <c r="K969" t="str">
        <f>HYPERLINK("http://geossdi.dmp.wa.gov.au/NVCLDataServices/mosaic.html?datasetid=1b7ed1c8-c42e-4348-80c8-a1158be2845","SDH003_Core Image")</f>
        <v>SDH003_Core Image</v>
      </c>
    </row>
    <row r="970" spans="1:11" x14ac:dyDescent="0.25">
      <c r="A970" t="str">
        <f>HYPERLINK("http://www.corstruth.com.au/WA/SDH004_cs.png","SDH004_A4")</f>
        <v>SDH004_A4</v>
      </c>
      <c r="B970" t="str">
        <f>HYPERLINK("http://www.corstruth.com.au/WA/PNG2/SDH004_cs.png","SDH004_0.25m Bins")</f>
        <v>SDH004_0.25m Bins</v>
      </c>
      <c r="C970" t="str">
        <f>HYPERLINK("http://www.corstruth.com.au/WA/CSV/SDH004.csv","SDH004_CSV File 1m Bins")</f>
        <v>SDH004_CSV File 1m Bins</v>
      </c>
      <c r="D970" t="s">
        <v>1287</v>
      </c>
      <c r="E970" t="s">
        <v>1</v>
      </c>
      <c r="G970" t="s">
        <v>24</v>
      </c>
      <c r="H970" t="s">
        <v>1284</v>
      </c>
      <c r="I970">
        <v>-16.407800000000002</v>
      </c>
      <c r="J970">
        <v>127.97799999999999</v>
      </c>
      <c r="K970" t="str">
        <f>HYPERLINK("http://geossdi.dmp.wa.gov.au/NVCLDataServices/mosaic.html?datasetid=bd6bdebe-5498-4d05-8066-cba86c87309","SDH004_Core Image")</f>
        <v>SDH004_Core Image</v>
      </c>
    </row>
    <row r="971" spans="1:11" x14ac:dyDescent="0.25">
      <c r="A971" t="str">
        <f>HYPERLINK("http://www.corstruth.com.au/WA/SDH005_cs.png","SDH005_A4")</f>
        <v>SDH005_A4</v>
      </c>
      <c r="B971" t="str">
        <f>HYPERLINK("http://www.corstruth.com.au/WA/PNG2/SDH005_cs.png","SDH005_0.25m Bins")</f>
        <v>SDH005_0.25m Bins</v>
      </c>
      <c r="C971" t="str">
        <f>HYPERLINK("http://www.corstruth.com.au/WA/CSV/SDH005.csv","SDH005_CSV File 1m Bins")</f>
        <v>SDH005_CSV File 1m Bins</v>
      </c>
      <c r="D971" t="s">
        <v>1288</v>
      </c>
      <c r="E971" t="s">
        <v>1</v>
      </c>
      <c r="G971" t="s">
        <v>24</v>
      </c>
      <c r="H971" t="s">
        <v>1284</v>
      </c>
      <c r="I971">
        <v>-16.404599999999999</v>
      </c>
      <c r="J971">
        <v>127.98</v>
      </c>
      <c r="K971" t="str">
        <f>HYPERLINK("http://geossdi.dmp.wa.gov.au/NVCLDataServices/mosaic.html?datasetid=5fe6c2ce-3d72-4b7b-8915-0fbfd4b71a5","SDH005_Core Image")</f>
        <v>SDH005_Core Image</v>
      </c>
    </row>
    <row r="972" spans="1:11" x14ac:dyDescent="0.25">
      <c r="A972" t="str">
        <f>HYPERLINK("http://www.corstruth.com.au/WA/SDH006_cs.png","SDH006_A4")</f>
        <v>SDH006_A4</v>
      </c>
      <c r="B972" t="str">
        <f>HYPERLINK("http://www.corstruth.com.au/WA/PNG2/SDH006_cs.png","SDH006_0.25m Bins")</f>
        <v>SDH006_0.25m Bins</v>
      </c>
      <c r="C972" t="str">
        <f>HYPERLINK("http://www.corstruth.com.au/WA/CSV/SDH006.csv","SDH006_CSV File 1m Bins")</f>
        <v>SDH006_CSV File 1m Bins</v>
      </c>
      <c r="D972" t="s">
        <v>1289</v>
      </c>
      <c r="E972" t="s">
        <v>1</v>
      </c>
      <c r="G972" t="s">
        <v>24</v>
      </c>
      <c r="H972" t="s">
        <v>1284</v>
      </c>
      <c r="I972">
        <v>-16.402799999999999</v>
      </c>
      <c r="J972">
        <v>127.98</v>
      </c>
      <c r="K972" t="str">
        <f>HYPERLINK("http://geossdi.dmp.wa.gov.au/NVCLDataServices/mosaic.html?datasetid=93941a70-e964-4834-a28e-75ed4b29da2","SDH006_Core Image")</f>
        <v>SDH006_Core Image</v>
      </c>
    </row>
    <row r="973" spans="1:11" x14ac:dyDescent="0.25">
      <c r="A973" t="str">
        <f>HYPERLINK("http://www.corstruth.com.au/WA/SDH007_cs.png","SDH007_A4")</f>
        <v>SDH007_A4</v>
      </c>
      <c r="B973" t="str">
        <f>HYPERLINK("http://www.corstruth.com.au/WA/PNG2/SDH007_cs.png","SDH007_0.25m Bins")</f>
        <v>SDH007_0.25m Bins</v>
      </c>
      <c r="C973" t="str">
        <f>HYPERLINK("http://www.corstruth.com.au/WA/CSV/SDH007.csv","SDH007_CSV File 1m Bins")</f>
        <v>SDH007_CSV File 1m Bins</v>
      </c>
      <c r="D973" t="s">
        <v>1290</v>
      </c>
      <c r="E973" t="s">
        <v>1</v>
      </c>
      <c r="G973" t="s">
        <v>24</v>
      </c>
      <c r="H973" t="s">
        <v>1284</v>
      </c>
      <c r="I973">
        <v>-16.401199999999999</v>
      </c>
      <c r="J973">
        <v>127.98099999999999</v>
      </c>
      <c r="K973" t="str">
        <f>HYPERLINK("http://geossdi.dmp.wa.gov.au/NVCLDataServices/mosaic.html?datasetid=a33777ee-8537-4bb6-bab2-0f9fd3af1a9","SDH007_Core Image")</f>
        <v>SDH007_Core Image</v>
      </c>
    </row>
    <row r="974" spans="1:11" x14ac:dyDescent="0.25">
      <c r="A974" t="str">
        <f>HYPERLINK("http://www.corstruth.com.au/WA/SDH008_cs.png","SDH008_A4")</f>
        <v>SDH008_A4</v>
      </c>
      <c r="B974" t="str">
        <f>HYPERLINK("http://www.corstruth.com.au/WA/PNG2/SDH008_cs.png","SDH008_0.25m Bins")</f>
        <v>SDH008_0.25m Bins</v>
      </c>
      <c r="C974" t="str">
        <f>HYPERLINK("http://www.corstruth.com.au/WA/CSV/SDH008.csv","SDH008_CSV File 1m Bins")</f>
        <v>SDH008_CSV File 1m Bins</v>
      </c>
      <c r="D974" t="s">
        <v>1291</v>
      </c>
      <c r="E974" t="s">
        <v>1</v>
      </c>
      <c r="G974" t="s">
        <v>24</v>
      </c>
      <c r="H974" t="s">
        <v>1284</v>
      </c>
      <c r="I974">
        <v>-16.397600000000001</v>
      </c>
      <c r="J974">
        <v>127.982</v>
      </c>
      <c r="K974" t="str">
        <f>HYPERLINK("http://geossdi.dmp.wa.gov.au/NVCLDataServices/mosaic.html?datasetid=9989442c-840a-4589-9f72-56527a1e2fd","SDH008_Core Image")</f>
        <v>SDH008_Core Image</v>
      </c>
    </row>
    <row r="975" spans="1:11" x14ac:dyDescent="0.25">
      <c r="A975" t="str">
        <f>HYPERLINK("http://www.corstruth.com.au/WA/SDH08-1_cs.png","SDH08-1_A4")</f>
        <v>SDH08-1_A4</v>
      </c>
      <c r="B975" t="str">
        <f>HYPERLINK("http://www.corstruth.com.au/WA/PNG2/SDH08-1_cs.png","SDH08-1_0.25m Bins")</f>
        <v>SDH08-1_0.25m Bins</v>
      </c>
      <c r="C975" t="str">
        <f>HYPERLINK("http://www.corstruth.com.au/WA/CSV/SDH08-1.csv","SDH08-1_CSV File 1m Bins")</f>
        <v>SDH08-1_CSV File 1m Bins</v>
      </c>
      <c r="D975" t="s">
        <v>1292</v>
      </c>
      <c r="E975" t="s">
        <v>1</v>
      </c>
      <c r="G975" t="s">
        <v>24</v>
      </c>
      <c r="H975" t="s">
        <v>1284</v>
      </c>
      <c r="I975">
        <v>-16.409300000000002</v>
      </c>
      <c r="J975">
        <v>127.979</v>
      </c>
      <c r="K975" t="str">
        <f>HYPERLINK("http://geossdi.dmp.wa.gov.au/NVCLDataServices/mosaic.html?datasetid=d128810b-7c3f-410f-bab4-489574710bc","SDH08-1_Core Image")</f>
        <v>SDH08-1_Core Image</v>
      </c>
    </row>
    <row r="976" spans="1:11" x14ac:dyDescent="0.25">
      <c r="A976" t="str">
        <f>HYPERLINK("http://www.corstruth.com.au/WA/SDH09-7_cs.png","SDH09-7_A4")</f>
        <v>SDH09-7_A4</v>
      </c>
      <c r="B976" t="str">
        <f>HYPERLINK("http://www.corstruth.com.au/WA/PNG2/SDH09-7_cs.png","SDH09-7_0.25m Bins")</f>
        <v>SDH09-7_0.25m Bins</v>
      </c>
      <c r="C976" t="str">
        <f>HYPERLINK("http://www.corstruth.com.au/WA/CSV/SDH09-7.csv","SDH09-7_CSV File 1m Bins")</f>
        <v>SDH09-7_CSV File 1m Bins</v>
      </c>
      <c r="D976" t="s">
        <v>1293</v>
      </c>
      <c r="E976" t="s">
        <v>1</v>
      </c>
      <c r="G976" t="s">
        <v>24</v>
      </c>
      <c r="H976" t="s">
        <v>1284</v>
      </c>
      <c r="I976">
        <v>-16.413499999999999</v>
      </c>
      <c r="J976">
        <v>127.979</v>
      </c>
      <c r="K976" t="str">
        <f>HYPERLINK("http://geossdi.dmp.wa.gov.au/NVCLDataServices/mosaic.html?datasetid=443a4be5-564f-4f95-bc04-3324d2c3924","SDH09-7_Core Image")</f>
        <v>SDH09-7_Core Image</v>
      </c>
    </row>
    <row r="977" spans="1:11" x14ac:dyDescent="0.25">
      <c r="A977" t="str">
        <f>HYPERLINK("http://www.corstruth.com.au/WA/SDH09-8_cs.png","SDH09-8_A4")</f>
        <v>SDH09-8_A4</v>
      </c>
      <c r="B977" t="str">
        <f>HYPERLINK("http://www.corstruth.com.au/WA/PNG2/SDH09-8_cs.png","SDH09-8_0.25m Bins")</f>
        <v>SDH09-8_0.25m Bins</v>
      </c>
      <c r="C977" t="str">
        <f>HYPERLINK("http://www.corstruth.com.au/WA/CSV/SDH09-8.csv","SDH09-8_CSV File 1m Bins")</f>
        <v>SDH09-8_CSV File 1m Bins</v>
      </c>
      <c r="D977" t="s">
        <v>1294</v>
      </c>
      <c r="E977" t="s">
        <v>1</v>
      </c>
      <c r="G977" t="s">
        <v>24</v>
      </c>
      <c r="H977" t="s">
        <v>1284</v>
      </c>
      <c r="I977">
        <v>-16.401299999999999</v>
      </c>
      <c r="J977">
        <v>127.983</v>
      </c>
      <c r="K977" t="str">
        <f>HYPERLINK("http://geossdi.dmp.wa.gov.au/NVCLDataServices/mosaic.html?datasetid=c0a5f1c0-b968-4470-872e-ad217d9f170","SDH09-8_Core Image")</f>
        <v>SDH09-8_Core Image</v>
      </c>
    </row>
    <row r="978" spans="1:11" x14ac:dyDescent="0.25">
      <c r="A978" t="str">
        <f>HYPERLINK("http://www.corstruth.com.au/WA/SDH11-15_cs.png","SDH11-15_A4")</f>
        <v>SDH11-15_A4</v>
      </c>
      <c r="B978" t="str">
        <f>HYPERLINK("http://www.corstruth.com.au/WA/PNG2/SDH11-15_cs.png","SDH11-15_0.25m Bins")</f>
        <v>SDH11-15_0.25m Bins</v>
      </c>
      <c r="C978" t="str">
        <f>HYPERLINK("http://www.corstruth.com.au/WA/CSV/SDH11-15.csv","SDH11-15_CSV File 1m Bins")</f>
        <v>SDH11-15_CSV File 1m Bins</v>
      </c>
      <c r="D978" t="s">
        <v>1295</v>
      </c>
      <c r="E978" t="s">
        <v>1</v>
      </c>
      <c r="G978" t="s">
        <v>24</v>
      </c>
      <c r="H978" t="s">
        <v>1284</v>
      </c>
      <c r="I978">
        <v>-16.2456</v>
      </c>
      <c r="J978">
        <v>127.928</v>
      </c>
      <c r="K978" t="str">
        <f>HYPERLINK("http://geossdi.dmp.wa.gov.au/NVCLDataServices/mosaic.html?datasetid=c51e1866-f42e-4e6c-9d54-d25f4dd520d","SDH11-15_Core Image")</f>
        <v>SDH11-15_Core Image</v>
      </c>
    </row>
    <row r="979" spans="1:11" x14ac:dyDescent="0.25">
      <c r="A979" t="str">
        <f>HYPERLINK("http://www.corstruth.com.au/WA/SDH11-16_cs.png","SDH11-16_A4")</f>
        <v>SDH11-16_A4</v>
      </c>
      <c r="B979" t="str">
        <f>HYPERLINK("http://www.corstruth.com.au/WA/PNG2/SDH11-16_cs.png","SDH11-16_0.25m Bins")</f>
        <v>SDH11-16_0.25m Bins</v>
      </c>
      <c r="C979" t="str">
        <f>HYPERLINK("http://www.corstruth.com.au/WA/CSV/SDH11-16.csv","SDH11-16_CSV File 1m Bins")</f>
        <v>SDH11-16_CSV File 1m Bins</v>
      </c>
      <c r="D979" t="s">
        <v>1296</v>
      </c>
      <c r="E979" t="s">
        <v>1</v>
      </c>
      <c r="G979" t="s">
        <v>24</v>
      </c>
      <c r="H979" t="s">
        <v>1284</v>
      </c>
      <c r="I979">
        <v>-16.190300000000001</v>
      </c>
      <c r="J979">
        <v>127.964</v>
      </c>
      <c r="K979" t="str">
        <f>HYPERLINK("http://geossdi.dmp.wa.gov.au/NVCLDataServices/mosaic.html?datasetid=39c0f4ec-4afe-4d32-9424-5ec8fe7c66e","SDH11-16_Core Image")</f>
        <v>SDH11-16_Core Image</v>
      </c>
    </row>
    <row r="980" spans="1:11" x14ac:dyDescent="0.25">
      <c r="A980" t="str">
        <f>HYPERLINK("http://www.corstruth.com.au/WA/SDH11-17_cs.png","SDH11-17_A4")</f>
        <v>SDH11-17_A4</v>
      </c>
      <c r="B980" t="str">
        <f>HYPERLINK("http://www.corstruth.com.au/WA/PNG2/SDH11-17_cs.png","SDH11-17_0.25m Bins")</f>
        <v>SDH11-17_0.25m Bins</v>
      </c>
      <c r="C980" t="str">
        <f>HYPERLINK("http://www.corstruth.com.au/WA/CSV/SDH11-17.csv","SDH11-17_CSV File 1m Bins")</f>
        <v>SDH11-17_CSV File 1m Bins</v>
      </c>
      <c r="D980" t="s">
        <v>1297</v>
      </c>
      <c r="E980" t="s">
        <v>1</v>
      </c>
      <c r="G980" t="s">
        <v>24</v>
      </c>
      <c r="H980" t="s">
        <v>1284</v>
      </c>
      <c r="I980">
        <v>-16.409199999999998</v>
      </c>
      <c r="J980">
        <v>127.98</v>
      </c>
      <c r="K980" t="str">
        <f>HYPERLINK("http://geossdi.dmp.wa.gov.au/NVCLDataServices/mosaic.html?datasetid=4d61851e-fe80-4fdc-8f1d-878b7538f5c","SDH11-17_Core Image")</f>
        <v>SDH11-17_Core Image</v>
      </c>
    </row>
    <row r="981" spans="1:11" x14ac:dyDescent="0.25">
      <c r="A981" t="str">
        <f>HYPERLINK("http://www.corstruth.com.au/WA/DMDD0017_cs.png","DMDD0017_A4")</f>
        <v>DMDD0017_A4</v>
      </c>
      <c r="B981" t="str">
        <f>HYPERLINK("http://www.corstruth.com.au/WA/PNG2/DMDD0017_cs.png","DMDD0017_0.25m Bins")</f>
        <v>DMDD0017_0.25m Bins</v>
      </c>
      <c r="C981" t="str">
        <f>HYPERLINK("http://www.corstruth.com.au/WA/CSV/DMDD0017.csv","DMDD0017_CSV File 1m Bins")</f>
        <v>DMDD0017_CSV File 1m Bins</v>
      </c>
      <c r="D981" t="s">
        <v>1298</v>
      </c>
      <c r="E981" t="s">
        <v>1</v>
      </c>
      <c r="G981" t="s">
        <v>1299</v>
      </c>
      <c r="H981" t="s">
        <v>1300</v>
      </c>
      <c r="I981">
        <v>-16.937999999999999</v>
      </c>
      <c r="J981">
        <v>124.461</v>
      </c>
      <c r="K981" t="str">
        <f>HYPERLINK("http://geossdi.dmp.wa.gov.au/NVCLDataServices/mosaic.html?datasetid=26c48937-209f-4c5c-bd47-034515093e8","DMDD0017_Core Image")</f>
        <v>DMDD0017_Core Image</v>
      </c>
    </row>
    <row r="982" spans="1:11" x14ac:dyDescent="0.25">
      <c r="A982" t="str">
        <f>HYPERLINK("http://www.corstruth.com.au/WA/DMDD0005_cs.png","DMDD0005_A4")</f>
        <v>DMDD0005_A4</v>
      </c>
      <c r="B982" t="str">
        <f>HYPERLINK("http://www.corstruth.com.au/WA/PNG2/DMDD0005_cs.png","DMDD0005_0.25m Bins")</f>
        <v>DMDD0005_0.25m Bins</v>
      </c>
      <c r="C982" t="str">
        <f>HYPERLINK("http://www.corstruth.com.au/WA/CSV/DMDD0005.csv","DMDD0005_CSV File 1m Bins")</f>
        <v>DMDD0005_CSV File 1m Bins</v>
      </c>
      <c r="D982" t="s">
        <v>1301</v>
      </c>
      <c r="E982" t="s">
        <v>1</v>
      </c>
      <c r="G982" t="s">
        <v>1299</v>
      </c>
      <c r="H982" t="s">
        <v>1302</v>
      </c>
      <c r="I982">
        <v>-16.936699999999998</v>
      </c>
      <c r="J982">
        <v>124.456</v>
      </c>
      <c r="K982" t="str">
        <f>HYPERLINK("http://geossdi.dmp.wa.gov.au/NVCLDataServices/mosaic.html?datasetid=7d047cdf-6ff5-420a-adcf-fc4752a46d3","DMDD0005_Core Image")</f>
        <v>DMDD0005_Core Image</v>
      </c>
    </row>
    <row r="983" spans="1:11" x14ac:dyDescent="0.25">
      <c r="A983" t="str">
        <f>HYPERLINK("http://www.corstruth.com.au/WA/DMRD0035_cs.png","DMRD0035_A4")</f>
        <v>DMRD0035_A4</v>
      </c>
      <c r="B983" t="str">
        <f>HYPERLINK("http://www.corstruth.com.au/WA/PNG2/DMRD0035_cs.png","DMRD0035_0.25m Bins")</f>
        <v>DMRD0035_0.25m Bins</v>
      </c>
      <c r="C983" t="str">
        <f>HYPERLINK("http://www.corstruth.com.au/WA/CSV/DMRD0035.csv","DMRD0035_CSV File 1m Bins")</f>
        <v>DMRD0035_CSV File 1m Bins</v>
      </c>
      <c r="D983" t="s">
        <v>1303</v>
      </c>
      <c r="E983" t="s">
        <v>1</v>
      </c>
      <c r="G983" t="s">
        <v>1299</v>
      </c>
      <c r="H983" t="s">
        <v>1302</v>
      </c>
      <c r="I983">
        <v>-16.9391</v>
      </c>
      <c r="J983">
        <v>124.458</v>
      </c>
      <c r="K983" t="str">
        <f>HYPERLINK("http://geossdi.dmp.wa.gov.au/NVCLDataServices/mosaic.html?datasetid=9b0c2da0-43d9-4321-840c-2c491135df4","DMRD0035_Core Image")</f>
        <v>DMRD0035_Core Image</v>
      </c>
    </row>
    <row r="984" spans="1:11" x14ac:dyDescent="0.25">
      <c r="A984" t="str">
        <f>HYPERLINK("http://www.corstruth.com.au/WA/MC01DH01_cs.png","MC01DH01_A4")</f>
        <v>MC01DH01_A4</v>
      </c>
      <c r="B984" t="str">
        <f>HYPERLINK("http://www.corstruth.com.au/WA/PNG2/MC01DH01_cs.png","MC01DH01_0.25m Bins")</f>
        <v>MC01DH01_0.25m Bins</v>
      </c>
      <c r="C984" t="str">
        <f>HYPERLINK("http://www.corstruth.com.au/WA/CSV/MC01DH01.csv","MC01DH01_CSV File 1m Bins")</f>
        <v>MC01DH01_CSV File 1m Bins</v>
      </c>
      <c r="D984" t="s">
        <v>1304</v>
      </c>
      <c r="E984" t="s">
        <v>1</v>
      </c>
      <c r="G984" t="s">
        <v>1299</v>
      </c>
      <c r="H984" t="s">
        <v>1305</v>
      </c>
      <c r="I984">
        <v>-18.302099999999999</v>
      </c>
      <c r="J984">
        <v>126.098</v>
      </c>
      <c r="K984" t="str">
        <f>HYPERLINK("http://geossdi.dmp.wa.gov.au/NVCLDataServices/mosaic.html?datasetid=869edfba-3ab0-4997-a4d5-5d19d3ddf73","MC01DH01_Core Image")</f>
        <v>MC01DH01_Core Image</v>
      </c>
    </row>
    <row r="985" spans="1:11" x14ac:dyDescent="0.25">
      <c r="A985" t="str">
        <f>HYPERLINK("http://www.corstruth.com.au/WA/MC01DH02_cs.png","MC01DH02_A4")</f>
        <v>MC01DH02_A4</v>
      </c>
      <c r="B985" t="str">
        <f>HYPERLINK("http://www.corstruth.com.au/WA/PNG2/MC01DH02_cs.png","MC01DH02_0.25m Bins")</f>
        <v>MC01DH02_0.25m Bins</v>
      </c>
      <c r="C985" t="str">
        <f>HYPERLINK("http://www.corstruth.com.au/WA/CSV/MC01DH02.csv","MC01DH02_CSV File 1m Bins")</f>
        <v>MC01DH02_CSV File 1m Bins</v>
      </c>
      <c r="D985" t="s">
        <v>1306</v>
      </c>
      <c r="E985" t="s">
        <v>1</v>
      </c>
      <c r="G985" t="s">
        <v>1299</v>
      </c>
      <c r="H985" t="s">
        <v>1305</v>
      </c>
      <c r="I985">
        <v>-18.3019</v>
      </c>
      <c r="J985">
        <v>126.099</v>
      </c>
      <c r="K985" t="str">
        <f>HYPERLINK("http://geossdi.dmp.wa.gov.au/NVCLDataServices/mosaic.html?datasetid=667835b3-c3e0-4feb-82af-27c99490afa","MC01DH02_Core Image")</f>
        <v>MC01DH02_Core Image</v>
      </c>
    </row>
    <row r="986" spans="1:11" x14ac:dyDescent="0.25">
      <c r="A986" t="str">
        <f>HYPERLINK("http://www.corstruth.com.au/WA/MC01DH03_cs.png","MC01DH03_A4")</f>
        <v>MC01DH03_A4</v>
      </c>
      <c r="B986" t="str">
        <f>HYPERLINK("http://www.corstruth.com.au/WA/PNG2/MC01DH03_cs.png","MC01DH03_0.25m Bins")</f>
        <v>MC01DH03_0.25m Bins</v>
      </c>
      <c r="C986" t="str">
        <f>HYPERLINK("http://www.corstruth.com.au/WA/CSV/MC01DH03.csv","MC01DH03_CSV File 1m Bins")</f>
        <v>MC01DH03_CSV File 1m Bins</v>
      </c>
      <c r="D986" t="s">
        <v>1307</v>
      </c>
      <c r="E986" t="s">
        <v>1</v>
      </c>
      <c r="G986" t="s">
        <v>1299</v>
      </c>
      <c r="H986" t="s">
        <v>1305</v>
      </c>
      <c r="I986">
        <v>-18.3017</v>
      </c>
      <c r="J986">
        <v>126.099</v>
      </c>
      <c r="K986" t="str">
        <f>HYPERLINK("http://geossdi.dmp.wa.gov.au/NVCLDataServices/mosaic.html?datasetid=fe5f7337-d6cd-4bad-a9c6-044dc0c34cb","MC01DH03_Core Image")</f>
        <v>MC01DH03_Core Image</v>
      </c>
    </row>
    <row r="987" spans="1:11" x14ac:dyDescent="0.25">
      <c r="A987" t="str">
        <f>HYPERLINK("http://www.corstruth.com.au/WA/MC02-DH02_cs.png","MC02-DH02_A4")</f>
        <v>MC02-DH02_A4</v>
      </c>
      <c r="B987" t="str">
        <f>HYPERLINK("http://www.corstruth.com.au/WA/PNG2/MC02-DH02_cs.png","MC02-DH02_0.25m Bins")</f>
        <v>MC02-DH02_0.25m Bins</v>
      </c>
      <c r="C987" t="str">
        <f>HYPERLINK("http://www.corstruth.com.au/WA/CSV/MC02-DH02.csv","MC02-DH02_CSV File 1m Bins")</f>
        <v>MC02-DH02_CSV File 1m Bins</v>
      </c>
      <c r="D987" t="s">
        <v>1308</v>
      </c>
      <c r="E987" t="s">
        <v>1</v>
      </c>
      <c r="G987" t="s">
        <v>1299</v>
      </c>
      <c r="H987" t="s">
        <v>1309</v>
      </c>
      <c r="I987">
        <v>-18.340800000000002</v>
      </c>
      <c r="J987">
        <v>126.107</v>
      </c>
      <c r="K987" t="str">
        <f>HYPERLINK("http://geossdi.dmp.wa.gov.au/NVCLDataServices/mosaic.html?datasetid=63210768-fae3-45a6-ba7c-d5ce64bc5b6","MC02-DH02_Core Image")</f>
        <v>MC02-DH02_Core Image</v>
      </c>
    </row>
    <row r="988" spans="1:11" x14ac:dyDescent="0.25">
      <c r="A988" t="str">
        <f>HYPERLINK("http://www.corstruth.com.au/WA/MC02DH01_cs.png","MC02DH01_A4")</f>
        <v>MC02DH01_A4</v>
      </c>
      <c r="B988" t="str">
        <f>HYPERLINK("http://www.corstruth.com.au/WA/PNG2/MC02DH01_cs.png","MC02DH01_0.25m Bins")</f>
        <v>MC02DH01_0.25m Bins</v>
      </c>
      <c r="C988" t="str">
        <f>HYPERLINK("http://www.corstruth.com.au/WA/CSV/MC02DH01.csv","MC02DH01_CSV File 1m Bins")</f>
        <v>MC02DH01_CSV File 1m Bins</v>
      </c>
      <c r="D988" t="s">
        <v>1310</v>
      </c>
      <c r="E988" t="s">
        <v>1</v>
      </c>
      <c r="G988" t="s">
        <v>1299</v>
      </c>
      <c r="H988" t="s">
        <v>1309</v>
      </c>
      <c r="I988">
        <v>-18.331600000000002</v>
      </c>
      <c r="J988">
        <v>126.107</v>
      </c>
      <c r="K988" t="str">
        <f>HYPERLINK("http://geossdi.dmp.wa.gov.au/NVCLDataServices/mosaic.html?datasetid=7d16994d-6326-4541-a3ae-455290129c7","MC02DH01_Core Image")</f>
        <v>MC02DH01_Core Image</v>
      </c>
    </row>
    <row r="989" spans="1:11" x14ac:dyDescent="0.25">
      <c r="A989" t="str">
        <f>HYPERLINK("http://www.corstruth.com.au/WA/RWKDD001_cs.png","RWKDD001_A4")</f>
        <v>RWKDD001_A4</v>
      </c>
      <c r="B989" t="str">
        <f>HYPERLINK("http://www.corstruth.com.au/WA/PNG2/RWKDD001_cs.png","RWKDD001_0.25m Bins")</f>
        <v>RWKDD001_0.25m Bins</v>
      </c>
      <c r="C989" t="str">
        <f>HYPERLINK("http://www.corstruth.com.au/WA/CSV/RWKDD001.csv","RWKDD001_CSV File 1m Bins")</f>
        <v>RWKDD001_CSV File 1m Bins</v>
      </c>
      <c r="D989" t="s">
        <v>1311</v>
      </c>
      <c r="E989" t="s">
        <v>1</v>
      </c>
      <c r="G989" t="s">
        <v>1299</v>
      </c>
      <c r="H989" t="s">
        <v>1312</v>
      </c>
      <c r="I989">
        <v>-16.854700000000001</v>
      </c>
      <c r="J989">
        <v>124.38200000000001</v>
      </c>
      <c r="K989" t="str">
        <f>HYPERLINK("http://geossdi.dmp.wa.gov.au/NVCLDataServices/mosaic.html?datasetid=d8ff3478-9e39-4906-9292-a224611f56c","RWKDD001_Core Image")</f>
        <v>RWKDD001_Core Image</v>
      </c>
    </row>
    <row r="990" spans="1:11" x14ac:dyDescent="0.25">
      <c r="A990" t="str">
        <f>HYPERLINK("http://www.corstruth.com.au/WA/RWKDD002_cs.png","RWKDD002_A4")</f>
        <v>RWKDD002_A4</v>
      </c>
      <c r="B990" t="str">
        <f>HYPERLINK("http://www.corstruth.com.au/WA/PNG2/RWKDD002_cs.png","RWKDD002_0.25m Bins")</f>
        <v>RWKDD002_0.25m Bins</v>
      </c>
      <c r="C990" t="str">
        <f>HYPERLINK("http://www.corstruth.com.au/WA/CSV/RWKDD002.csv","RWKDD002_CSV File 1m Bins")</f>
        <v>RWKDD002_CSV File 1m Bins</v>
      </c>
      <c r="D990" t="s">
        <v>1313</v>
      </c>
      <c r="E990" t="s">
        <v>1</v>
      </c>
      <c r="G990" t="s">
        <v>1299</v>
      </c>
      <c r="H990" t="s">
        <v>1312</v>
      </c>
      <c r="I990">
        <v>-16.854700000000001</v>
      </c>
      <c r="J990">
        <v>124.363</v>
      </c>
      <c r="K990" t="str">
        <f>HYPERLINK("http://geossdi.dmp.wa.gov.au/NVCLDataServices/mosaic.html?datasetid=8b1d7b97-156c-42d8-a05d-1482c0c189a","RWKDD002_Core Image")</f>
        <v>RWKDD002_Core Image</v>
      </c>
    </row>
    <row r="991" spans="1:11" x14ac:dyDescent="0.25">
      <c r="A991" t="str">
        <f>HYPERLINK("http://www.corstruth.com.au/WA/RWKDD003_cs.png","RWKDD003_A4")</f>
        <v>RWKDD003_A4</v>
      </c>
      <c r="B991" t="str">
        <f>HYPERLINK("http://www.corstruth.com.au/WA/PNG2/RWKDD003_cs.png","RWKDD003_0.25m Bins")</f>
        <v>RWKDD003_0.25m Bins</v>
      </c>
      <c r="C991" t="str">
        <f>HYPERLINK("http://www.corstruth.com.au/WA/CSV/RWKDD003.csv","RWKDD003_CSV File 1m Bins")</f>
        <v>RWKDD003_CSV File 1m Bins</v>
      </c>
      <c r="D991" t="s">
        <v>1314</v>
      </c>
      <c r="E991" t="s">
        <v>1</v>
      </c>
      <c r="G991" t="s">
        <v>1299</v>
      </c>
      <c r="H991" t="s">
        <v>1312</v>
      </c>
      <c r="I991">
        <v>-16.863900000000001</v>
      </c>
      <c r="J991">
        <v>124.387</v>
      </c>
      <c r="K991" t="str">
        <f>HYPERLINK("http://geossdi.dmp.wa.gov.au/NVCLDataServices/mosaic.html?datasetid=860aa84e-350a-46bd-b8be-cdff8b7ec50","RWKDD003_Core Image")</f>
        <v>RWKDD003_Core Image</v>
      </c>
    </row>
    <row r="992" spans="1:11" x14ac:dyDescent="0.25">
      <c r="A992" t="str">
        <f>HYPERLINK("http://www.corstruth.com.au/WA/DD88MB2_cs.png","DD88MB2_A4")</f>
        <v>DD88MB2_A4</v>
      </c>
      <c r="B992" t="str">
        <f>HYPERLINK("http://www.corstruth.com.au/WA/PNG2/DD88MB2_cs.png","DD88MB2_0.25m Bins")</f>
        <v>DD88MB2_0.25m Bins</v>
      </c>
      <c r="C992" t="str">
        <f>HYPERLINK("http://www.corstruth.com.au/WA/CSV/DD88MB2.csv","DD88MB2_CSV File 1m Bins")</f>
        <v>DD88MB2_CSV File 1m Bins</v>
      </c>
      <c r="D992" t="s">
        <v>1315</v>
      </c>
      <c r="E992" t="s">
        <v>1</v>
      </c>
      <c r="G992" t="s">
        <v>1316</v>
      </c>
      <c r="H992" t="s">
        <v>1317</v>
      </c>
      <c r="I992">
        <v>-17.187999999999999</v>
      </c>
      <c r="J992">
        <v>125.32599999999999</v>
      </c>
      <c r="K992" t="str">
        <f>HYPERLINK("http://geossdi.dmp.wa.gov.au/NVCLDataServices/mosaic.html?datasetid=dbd255fe-57cb-4432-83b6-977194b0cb4","DD88MB2_Core Image")</f>
        <v>DD88MB2_Core Image</v>
      </c>
    </row>
    <row r="993" spans="1:11" x14ac:dyDescent="0.25">
      <c r="A993" t="str">
        <f>HYPERLINK("http://www.corstruth.com.au/WA/DMDD0016_cs.png","DMDD0016_A4")</f>
        <v>DMDD0016_A4</v>
      </c>
      <c r="B993" t="str">
        <f>HYPERLINK("http://www.corstruth.com.au/WA/PNG2/DMDD0016_cs.png","DMDD0016_0.25m Bins")</f>
        <v>DMDD0016_0.25m Bins</v>
      </c>
      <c r="C993" t="str">
        <f>HYPERLINK("http://www.corstruth.com.au/WA/CSV/DMDD0016.csv","DMDD0016_CSV File 1m Bins")</f>
        <v>DMDD0016_CSV File 1m Bins</v>
      </c>
      <c r="D993" t="s">
        <v>1318</v>
      </c>
      <c r="E993" t="s">
        <v>1</v>
      </c>
      <c r="G993" t="s">
        <v>1319</v>
      </c>
      <c r="H993" t="s">
        <v>1300</v>
      </c>
      <c r="I993">
        <v>-16.9373</v>
      </c>
      <c r="J993">
        <v>124.45099999999999</v>
      </c>
      <c r="K993" t="str">
        <f>HYPERLINK("http://geossdi.dmp.wa.gov.au/NVCLDataServices/mosaic.html?datasetid=55d4964c-5ca3-439d-a0cd-accccae629e","DMDD0016_Core Image")</f>
        <v>DMDD0016_Core Image</v>
      </c>
    </row>
    <row r="994" spans="1:11" x14ac:dyDescent="0.25">
      <c r="A994" t="str">
        <f>HYPERLINK("http://www.corstruth.com.au/WA/DMDD0019_cs.png","DMDD0019_A4")</f>
        <v>DMDD0019_A4</v>
      </c>
      <c r="B994" t="str">
        <f>HYPERLINK("http://www.corstruth.com.au/WA/PNG2/DMDD0019_cs.png","DMDD0019_0.25m Bins")</f>
        <v>DMDD0019_0.25m Bins</v>
      </c>
      <c r="C994" t="str">
        <f>HYPERLINK("http://www.corstruth.com.au/WA/CSV/DMDD0019.csv","DMDD0019_CSV File 1m Bins")</f>
        <v>DMDD0019_CSV File 1m Bins</v>
      </c>
      <c r="D994" t="s">
        <v>1320</v>
      </c>
      <c r="E994" t="s">
        <v>1</v>
      </c>
      <c r="G994" t="s">
        <v>1319</v>
      </c>
      <c r="H994" t="s">
        <v>1300</v>
      </c>
      <c r="I994">
        <v>-16.938199999999998</v>
      </c>
      <c r="J994">
        <v>124.452</v>
      </c>
      <c r="K994" t="str">
        <f>HYPERLINK("http://geossdi.dmp.wa.gov.au/NVCLDataServices/mosaic.html?datasetid=fda844be-e758-4b61-b02a-d616f17c604","DMDD0019_Core Image")</f>
        <v>DMDD0019_Core Image</v>
      </c>
    </row>
    <row r="995" spans="1:11" x14ac:dyDescent="0.25">
      <c r="A995" t="str">
        <f>HYPERLINK("http://www.corstruth.com.au/WA/DMDD0020_cs.png","DMDD0020_A4")</f>
        <v>DMDD0020_A4</v>
      </c>
      <c r="B995" t="str">
        <f>HYPERLINK("http://www.corstruth.com.au/WA/PNG2/DMDD0020_cs.png","DMDD0020_0.25m Bins")</f>
        <v>DMDD0020_0.25m Bins</v>
      </c>
      <c r="C995" t="str">
        <f>HYPERLINK("http://www.corstruth.com.au/WA/CSV/DMDD0020.csv","DMDD0020_CSV File 1m Bins")</f>
        <v>DMDD0020_CSV File 1m Bins</v>
      </c>
      <c r="D995" t="s">
        <v>1321</v>
      </c>
      <c r="E995" t="s">
        <v>1</v>
      </c>
      <c r="G995" t="s">
        <v>1319</v>
      </c>
      <c r="H995" t="s">
        <v>1300</v>
      </c>
      <c r="I995">
        <v>-16.938600000000001</v>
      </c>
      <c r="J995">
        <v>124.461</v>
      </c>
      <c r="K995" t="str">
        <f>HYPERLINK("http://geossdi.dmp.wa.gov.au/NVCLDataServices/mosaic.html?datasetid=3f3ea5d1-ffed-4499-b3bd-67054f40fcf","DMDD0020_Core Image")</f>
        <v>DMDD0020_Core Image</v>
      </c>
    </row>
    <row r="996" spans="1:11" x14ac:dyDescent="0.25">
      <c r="A996" t="str">
        <f>HYPERLINK("http://www.corstruth.com.au/WA/DMDD0021_cs.png","DMDD0021_A4")</f>
        <v>DMDD0021_A4</v>
      </c>
      <c r="B996" t="str">
        <f>HYPERLINK("http://www.corstruth.com.au/WA/PNG2/DMDD0021_cs.png","DMDD0021_0.25m Bins")</f>
        <v>DMDD0021_0.25m Bins</v>
      </c>
      <c r="C996" t="str">
        <f>HYPERLINK("http://www.corstruth.com.au/WA/CSV/DMDD0021.csv","DMDD0021_CSV File 1m Bins")</f>
        <v>DMDD0021_CSV File 1m Bins</v>
      </c>
      <c r="D996" t="s">
        <v>1322</v>
      </c>
      <c r="E996" t="s">
        <v>1</v>
      </c>
      <c r="G996" t="s">
        <v>1319</v>
      </c>
      <c r="H996" t="s">
        <v>1300</v>
      </c>
      <c r="I996">
        <v>-16.9377</v>
      </c>
      <c r="J996">
        <v>124.456</v>
      </c>
      <c r="K996" t="str">
        <f>HYPERLINK("http://geossdi.dmp.wa.gov.au/NVCLDataServices/mosaic.html?datasetid=ba47ed6b-baef-4d65-bfae-83f8af62857","DMDD0021_Core Image")</f>
        <v>DMDD0021_Core Image</v>
      </c>
    </row>
    <row r="997" spans="1:11" x14ac:dyDescent="0.25">
      <c r="A997" t="str">
        <f>HYPERLINK("http://www.corstruth.com.au/WA/AN15_cs.png","AN15_A4")</f>
        <v>AN15_A4</v>
      </c>
      <c r="B997" t="str">
        <f>HYPERLINK("http://www.corstruth.com.au/WA/PNG2/AN15_cs.png","AN15_0.25m Bins")</f>
        <v>AN15_0.25m Bins</v>
      </c>
      <c r="C997" t="str">
        <f>HYPERLINK("http://www.corstruth.com.au/WA/CSV/AN15.csv","AN15_CSV File 1m Bins")</f>
        <v>AN15_CSV File 1m Bins</v>
      </c>
      <c r="D997" t="s">
        <v>1323</v>
      </c>
      <c r="E997" t="s">
        <v>1</v>
      </c>
      <c r="G997" t="s">
        <v>1319</v>
      </c>
      <c r="H997" t="s">
        <v>1324</v>
      </c>
      <c r="I997">
        <v>-16.896699999999999</v>
      </c>
      <c r="J997">
        <v>126.129</v>
      </c>
      <c r="K997" t="str">
        <f>HYPERLINK("http://geossdi.dmp.wa.gov.au/NVCLDataServices/mosaic.html?datasetid=c6d62405-255a-4d26-83d0-3141d1ced94","AN15_Core Image")</f>
        <v>AN15_Core Image</v>
      </c>
    </row>
    <row r="998" spans="1:11" x14ac:dyDescent="0.25">
      <c r="A998" t="str">
        <f>HYPERLINK("http://www.corstruth.com.au/WA/AN7_cs.png","AN7_A4")</f>
        <v>AN7_A4</v>
      </c>
      <c r="B998" t="str">
        <f>HYPERLINK("http://www.corstruth.com.au/WA/PNG2/AN7_cs.png","AN7_0.25m Bins")</f>
        <v>AN7_0.25m Bins</v>
      </c>
      <c r="C998" t="str">
        <f>HYPERLINK("http://www.corstruth.com.au/WA/CSV/AN7.csv","AN7_CSV File 1m Bins")</f>
        <v>AN7_CSV File 1m Bins</v>
      </c>
      <c r="D998" t="s">
        <v>1325</v>
      </c>
      <c r="E998" t="s">
        <v>1</v>
      </c>
      <c r="G998" t="s">
        <v>1319</v>
      </c>
      <c r="H998" t="s">
        <v>1324</v>
      </c>
      <c r="I998">
        <v>-16.8964</v>
      </c>
      <c r="J998">
        <v>126.129</v>
      </c>
      <c r="K998" t="str">
        <f>HYPERLINK("http://geossdi.dmp.wa.gov.au/NVCLDataServices/mosaic.html?datasetid=ade9a491-c9a6-4b92-b956-33fc3ed30de","AN7_Core Image")</f>
        <v>AN7_Core Image</v>
      </c>
    </row>
    <row r="999" spans="1:11" x14ac:dyDescent="0.25">
      <c r="A999" t="str">
        <f>HYPERLINK("http://www.corstruth.com.au/WA/SDH08-2_cs.png","SDH08-2_A4")</f>
        <v>SDH08-2_A4</v>
      </c>
      <c r="B999" t="str">
        <f>HYPERLINK("http://www.corstruth.com.au/WA/PNG2/SDH08-2_cs.png","SDH08-2_0.25m Bins")</f>
        <v>SDH08-2_0.25m Bins</v>
      </c>
      <c r="C999" t="str">
        <f>HYPERLINK("http://www.corstruth.com.au/WA/CSV/SDH08-2.csv","SDH08-2_CSV File 1m Bins")</f>
        <v>SDH08-2_CSV File 1m Bins</v>
      </c>
      <c r="D999" t="s">
        <v>1326</v>
      </c>
      <c r="E999" t="s">
        <v>1</v>
      </c>
      <c r="G999" t="s">
        <v>1319</v>
      </c>
      <c r="H999" t="s">
        <v>1327</v>
      </c>
      <c r="I999">
        <v>-16.3978</v>
      </c>
      <c r="J999">
        <v>127.97799999999999</v>
      </c>
      <c r="K999" t="str">
        <f>HYPERLINK("http://geossdi.dmp.wa.gov.au/NVCLDataServices/mosaic.html?datasetid=0e2bb953-1bbb-448f-a00d-3a08ba0f32b","SDH08-2_Core Image")</f>
        <v>SDH08-2_Core Image</v>
      </c>
    </row>
    <row r="1000" spans="1:11" x14ac:dyDescent="0.25">
      <c r="A1000" t="str">
        <f>HYPERLINK("http://www.corstruth.com.au/WA/SDH10-01_cs.png","SDH10-01_A4")</f>
        <v>SDH10-01_A4</v>
      </c>
      <c r="B1000" t="str">
        <f>HYPERLINK("http://www.corstruth.com.au/WA/PNG2/SDH10-01_cs.png","SDH10-01_0.25m Bins")</f>
        <v>SDH10-01_0.25m Bins</v>
      </c>
      <c r="C1000" t="str">
        <f>HYPERLINK("http://www.corstruth.com.au/WA/CSV/SDH10-01.csv","SDH10-01_CSV File 1m Bins")</f>
        <v>SDH10-01_CSV File 1m Bins</v>
      </c>
      <c r="D1000" t="s">
        <v>1328</v>
      </c>
      <c r="E1000" t="s">
        <v>1</v>
      </c>
      <c r="G1000" t="s">
        <v>1319</v>
      </c>
      <c r="H1000" t="s">
        <v>1327</v>
      </c>
      <c r="I1000">
        <v>-16.409199999999998</v>
      </c>
      <c r="J1000">
        <v>127.98</v>
      </c>
      <c r="K1000" t="str">
        <f>HYPERLINK("http://geossdi.dmp.wa.gov.au/NVCLDataServices/mosaic.html?datasetid=c2c872cc-8ee2-4d1f-bb20-a9a63a75a12","SDH10-01_Core Image")</f>
        <v>SDH10-01_Core Image</v>
      </c>
    </row>
    <row r="1001" spans="1:11" x14ac:dyDescent="0.25">
      <c r="A1001" t="str">
        <f>HYPERLINK("http://www.corstruth.com.au/WA/SDH10-02_cs.png","SDH10-02_A4")</f>
        <v>SDH10-02_A4</v>
      </c>
      <c r="B1001" t="str">
        <f>HYPERLINK("http://www.corstruth.com.au/WA/PNG2/SDH10-02_cs.png","SDH10-02_0.25m Bins")</f>
        <v>SDH10-02_0.25m Bins</v>
      </c>
      <c r="C1001" t="str">
        <f>HYPERLINK("http://www.corstruth.com.au/WA/CSV/SDH10-02.csv","SDH10-02_CSV File 1m Bins")</f>
        <v>SDH10-02_CSV File 1m Bins</v>
      </c>
      <c r="D1001" t="s">
        <v>1329</v>
      </c>
      <c r="E1001" t="s">
        <v>1</v>
      </c>
      <c r="G1001" t="s">
        <v>1319</v>
      </c>
      <c r="H1001" t="s">
        <v>1327</v>
      </c>
      <c r="I1001">
        <v>-16.4269</v>
      </c>
      <c r="J1001">
        <v>127.94199999999999</v>
      </c>
      <c r="K1001" t="str">
        <f>HYPERLINK("http://geossdi.dmp.wa.gov.au/NVCLDataServices/mosaic.html?datasetid=e93a5d10-a86a-4805-99cc-3b5c002b15f","SDH10-02_Core Image")</f>
        <v>SDH10-02_Core Image</v>
      </c>
    </row>
    <row r="1002" spans="1:11" x14ac:dyDescent="0.25">
      <c r="A1002" t="str">
        <f>HYPERLINK("http://www.corstruth.com.au/WA/SDH10-03_cs.png","SDH10-03_A4")</f>
        <v>SDH10-03_A4</v>
      </c>
      <c r="B1002" t="str">
        <f>HYPERLINK("http://www.corstruth.com.au/WA/PNG2/SDH10-03_cs.png","SDH10-03_0.25m Bins")</f>
        <v>SDH10-03_0.25m Bins</v>
      </c>
      <c r="C1002" t="str">
        <f>HYPERLINK("http://www.corstruth.com.au/WA/CSV/SDH10-03.csv","SDH10-03_CSV File 1m Bins")</f>
        <v>SDH10-03_CSV File 1m Bins</v>
      </c>
      <c r="D1002" t="s">
        <v>1330</v>
      </c>
      <c r="E1002" t="s">
        <v>1</v>
      </c>
      <c r="G1002" t="s">
        <v>1319</v>
      </c>
      <c r="H1002" t="s">
        <v>1327</v>
      </c>
      <c r="I1002">
        <v>-16.428100000000001</v>
      </c>
      <c r="J1002">
        <v>127.93899999999999</v>
      </c>
      <c r="K1002" t="str">
        <f>HYPERLINK("http://geossdi.dmp.wa.gov.au/NVCLDataServices/mosaic.html?datasetid=440f392a-dd42-4548-bff5-8341c03b921","SDH10-03_Core Image")</f>
        <v>SDH10-03_Core Image</v>
      </c>
    </row>
    <row r="1003" spans="1:11" x14ac:dyDescent="0.25">
      <c r="A1003" t="str">
        <f>HYPERLINK("http://www.corstruth.com.au/WA/SDH10-04_cs.png","SDH10-04_A4")</f>
        <v>SDH10-04_A4</v>
      </c>
      <c r="B1003" t="str">
        <f>HYPERLINK("http://www.corstruth.com.au/WA/PNG2/SDH10-04_cs.png","SDH10-04_0.25m Bins")</f>
        <v>SDH10-04_0.25m Bins</v>
      </c>
      <c r="C1003" t="str">
        <f>HYPERLINK("http://www.corstruth.com.au/WA/CSV/SDH10-04.csv","SDH10-04_CSV File 1m Bins")</f>
        <v>SDH10-04_CSV File 1m Bins</v>
      </c>
      <c r="D1003" t="s">
        <v>1331</v>
      </c>
      <c r="E1003" t="s">
        <v>1</v>
      </c>
      <c r="G1003" t="s">
        <v>1319</v>
      </c>
      <c r="H1003" t="s">
        <v>1327</v>
      </c>
      <c r="I1003">
        <v>-16.383900000000001</v>
      </c>
      <c r="J1003">
        <v>127.93600000000001</v>
      </c>
      <c r="K1003" t="str">
        <f>HYPERLINK("http://geossdi.dmp.wa.gov.au/NVCLDataServices/mosaic.html?datasetid=89bbabc9-db87-4601-88fc-01c3f9ba13e","SDH10-04_Core Image")</f>
        <v>SDH10-04_Core Image</v>
      </c>
    </row>
    <row r="1004" spans="1:11" x14ac:dyDescent="0.25">
      <c r="A1004" t="str">
        <f>HYPERLINK("http://www.corstruth.com.au/WA/SDH10-05_cs.png","SDH10-05_A4")</f>
        <v>SDH10-05_A4</v>
      </c>
      <c r="B1004" t="str">
        <f>HYPERLINK("http://www.corstruth.com.au/WA/PNG2/SDH10-05_cs.png","SDH10-05_0.25m Bins")</f>
        <v>SDH10-05_0.25m Bins</v>
      </c>
      <c r="C1004" t="str">
        <f>HYPERLINK("http://www.corstruth.com.au/WA/CSV/SDH10-05.csv","SDH10-05_CSV File 1m Bins")</f>
        <v>SDH10-05_CSV File 1m Bins</v>
      </c>
      <c r="D1004" t="s">
        <v>1332</v>
      </c>
      <c r="E1004" t="s">
        <v>1</v>
      </c>
      <c r="G1004" t="s">
        <v>1319</v>
      </c>
      <c r="H1004" t="s">
        <v>1327</v>
      </c>
      <c r="I1004">
        <v>-16.383299999999998</v>
      </c>
      <c r="J1004">
        <v>127.93600000000001</v>
      </c>
      <c r="K1004" t="str">
        <f>HYPERLINK("http://geossdi.dmp.wa.gov.au/NVCLDataServices/mosaic.html?datasetid=e7898b90-1fd9-4064-a77e-5999582dc48","SDH10-05_Core Image")</f>
        <v>SDH10-05_Core Image</v>
      </c>
    </row>
    <row r="1005" spans="1:11" x14ac:dyDescent="0.25">
      <c r="A1005" t="str">
        <f>HYPERLINK("http://www.corstruth.com.au/WA/SDH10-06_cs.png","SDH10-06_A4")</f>
        <v>SDH10-06_A4</v>
      </c>
      <c r="B1005" t="str">
        <f>HYPERLINK("http://www.corstruth.com.au/WA/PNG2/SDH10-06_cs.png","SDH10-06_0.25m Bins")</f>
        <v>SDH10-06_0.25m Bins</v>
      </c>
      <c r="C1005" t="str">
        <f>HYPERLINK("http://www.corstruth.com.au/WA/CSV/SDH10-06.csv","SDH10-06_CSV File 1m Bins")</f>
        <v>SDH10-06_CSV File 1m Bins</v>
      </c>
      <c r="D1005" t="s">
        <v>1333</v>
      </c>
      <c r="E1005" t="s">
        <v>1</v>
      </c>
      <c r="G1005" t="s">
        <v>1319</v>
      </c>
      <c r="H1005" t="s">
        <v>1327</v>
      </c>
      <c r="I1005">
        <v>-16.3155</v>
      </c>
      <c r="J1005">
        <v>127.94199999999999</v>
      </c>
      <c r="K1005" t="str">
        <f>HYPERLINK("http://geossdi.dmp.wa.gov.au/NVCLDataServices/mosaic.html?datasetid=f9cd939e-dfc4-44a5-8bfe-2202b528c12","SDH10-06_Core Image")</f>
        <v>SDH10-06_Core Image</v>
      </c>
    </row>
    <row r="1006" spans="1:11" x14ac:dyDescent="0.25">
      <c r="A1006" t="str">
        <f>HYPERLINK("http://www.corstruth.com.au/WA/SDH11-01_cs.png","SDH11-01_A4")</f>
        <v>SDH11-01_A4</v>
      </c>
      <c r="B1006" t="str">
        <f>HYPERLINK("http://www.corstruth.com.au/WA/PNG2/SDH11-01_cs.png","SDH11-01_0.25m Bins")</f>
        <v>SDH11-01_0.25m Bins</v>
      </c>
      <c r="C1006" t="str">
        <f>HYPERLINK("http://www.corstruth.com.au/WA/CSV/SDH11-01.csv","SDH11-01_CSV File 1m Bins")</f>
        <v>SDH11-01_CSV File 1m Bins</v>
      </c>
      <c r="D1006" t="s">
        <v>1334</v>
      </c>
      <c r="E1006" t="s">
        <v>1</v>
      </c>
      <c r="G1006" t="s">
        <v>1319</v>
      </c>
      <c r="H1006" t="s">
        <v>1327</v>
      </c>
      <c r="I1006">
        <v>-16.4086</v>
      </c>
      <c r="J1006">
        <v>127.979</v>
      </c>
      <c r="K1006" t="str">
        <f>HYPERLINK("http://geossdi.dmp.wa.gov.au/NVCLDataServices/mosaic.html?datasetid=2f8552b8-63a2-4b50-86f4-a4c731655cd","SDH11-01_Core Image")</f>
        <v>SDH11-01_Core Image</v>
      </c>
    </row>
    <row r="1007" spans="1:11" x14ac:dyDescent="0.25">
      <c r="A1007" t="str">
        <f>HYPERLINK("http://www.corstruth.com.au/WA/SDH11-02_cs.png","SDH11-02_A4")</f>
        <v>SDH11-02_A4</v>
      </c>
      <c r="B1007" t="str">
        <f>HYPERLINK("http://www.corstruth.com.au/WA/PNG2/SDH11-02_cs.png","SDH11-02_0.25m Bins")</f>
        <v>SDH11-02_0.25m Bins</v>
      </c>
      <c r="C1007" t="str">
        <f>HYPERLINK("http://www.corstruth.com.au/WA/CSV/SDH11-02.csv","SDH11-02_CSV File 1m Bins")</f>
        <v>SDH11-02_CSV File 1m Bins</v>
      </c>
      <c r="D1007" t="s">
        <v>1335</v>
      </c>
      <c r="E1007" t="s">
        <v>1</v>
      </c>
      <c r="G1007" t="s">
        <v>1319</v>
      </c>
      <c r="H1007" t="s">
        <v>1327</v>
      </c>
      <c r="I1007">
        <v>-16.409700000000001</v>
      </c>
      <c r="J1007">
        <v>127.98</v>
      </c>
      <c r="K1007" t="str">
        <f>HYPERLINK("http://geossdi.dmp.wa.gov.au/NVCLDataServices/mosaic.html?datasetid=9168f463-2adb-4e81-bbae-810c977ee67","SDH11-02_Core Image")</f>
        <v>SDH11-02_Core Image</v>
      </c>
    </row>
    <row r="1008" spans="1:11" x14ac:dyDescent="0.25">
      <c r="A1008" t="str">
        <f>HYPERLINK("http://www.corstruth.com.au/WA/SDH11-03_cs.png","SDH11-03_A4")</f>
        <v>SDH11-03_A4</v>
      </c>
      <c r="B1008" t="str">
        <f>HYPERLINK("http://www.corstruth.com.au/WA/PNG2/SDH11-03_cs.png","SDH11-03_0.25m Bins")</f>
        <v>SDH11-03_0.25m Bins</v>
      </c>
      <c r="C1008" t="str">
        <f>HYPERLINK("http://www.corstruth.com.au/WA/CSV/SDH11-03.csv","SDH11-03_CSV File 1m Bins")</f>
        <v>SDH11-03_CSV File 1m Bins</v>
      </c>
      <c r="D1008" t="s">
        <v>1336</v>
      </c>
      <c r="E1008" t="s">
        <v>1</v>
      </c>
      <c r="G1008" t="s">
        <v>1319</v>
      </c>
      <c r="H1008" t="s">
        <v>1327</v>
      </c>
      <c r="I1008">
        <v>-16.426400000000001</v>
      </c>
      <c r="J1008">
        <v>127.979</v>
      </c>
      <c r="K1008" t="str">
        <f>HYPERLINK("http://geossdi.dmp.wa.gov.au/NVCLDataServices/mosaic.html?datasetid=0584a24e-b48e-4ceb-86a7-e00a13a6107","SDH11-03_Core Image")</f>
        <v>SDH11-03_Core Image</v>
      </c>
    </row>
    <row r="1009" spans="1:11" x14ac:dyDescent="0.25">
      <c r="A1009" t="str">
        <f>HYPERLINK("http://www.corstruth.com.au/WA/SDH11-04_cs.png","SDH11-04_A4")</f>
        <v>SDH11-04_A4</v>
      </c>
      <c r="B1009" t="str">
        <f>HYPERLINK("http://www.corstruth.com.au/WA/PNG2/SDH11-04_cs.png","SDH11-04_0.25m Bins")</f>
        <v>SDH11-04_0.25m Bins</v>
      </c>
      <c r="C1009" t="str">
        <f>HYPERLINK("http://www.corstruth.com.au/WA/CSV/SDH11-04.csv","SDH11-04_CSV File 1m Bins")</f>
        <v>SDH11-04_CSV File 1m Bins</v>
      </c>
      <c r="D1009" t="s">
        <v>1337</v>
      </c>
      <c r="E1009" t="s">
        <v>1</v>
      </c>
      <c r="G1009" t="s">
        <v>1319</v>
      </c>
      <c r="H1009" t="s">
        <v>1327</v>
      </c>
      <c r="I1009">
        <v>-16.441700000000001</v>
      </c>
      <c r="J1009">
        <v>127.941</v>
      </c>
      <c r="K1009" t="str">
        <f>HYPERLINK("http://geossdi.dmp.wa.gov.au/NVCLDataServices/mosaic.html?datasetid=444ee843-b14c-4a68-aaa6-4fcd37d3419","SDH11-04_Core Image")</f>
        <v>SDH11-04_Core Image</v>
      </c>
    </row>
    <row r="1010" spans="1:11" x14ac:dyDescent="0.25">
      <c r="A1010" t="str">
        <f>HYPERLINK("http://www.corstruth.com.au/WA/SDH11-05_cs.png","SDH11-05_A4")</f>
        <v>SDH11-05_A4</v>
      </c>
      <c r="B1010" t="str">
        <f>HYPERLINK("http://www.corstruth.com.au/WA/PNG2/SDH11-05_cs.png","SDH11-05_0.25m Bins")</f>
        <v>SDH11-05_0.25m Bins</v>
      </c>
      <c r="C1010" t="str">
        <f>HYPERLINK("http://www.corstruth.com.au/WA/CSV/SDH11-05.csv","SDH11-05_CSV File 1m Bins")</f>
        <v>SDH11-05_CSV File 1m Bins</v>
      </c>
      <c r="D1010" t="s">
        <v>1338</v>
      </c>
      <c r="E1010" t="s">
        <v>1</v>
      </c>
      <c r="G1010" t="s">
        <v>1319</v>
      </c>
      <c r="H1010" t="s">
        <v>1327</v>
      </c>
      <c r="I1010">
        <v>-16.441700000000001</v>
      </c>
      <c r="J1010">
        <v>127.941</v>
      </c>
      <c r="K1010" t="str">
        <f>HYPERLINK("http://geossdi.dmp.wa.gov.au/NVCLDataServices/mosaic.html?datasetid=367324e0-81ec-4210-8c07-ce8f6fb2fe6","SDH11-05_Core Image")</f>
        <v>SDH11-05_Core Image</v>
      </c>
    </row>
    <row r="1011" spans="1:11" x14ac:dyDescent="0.25">
      <c r="A1011" t="str">
        <f>HYPERLINK("http://www.corstruth.com.au/WA/SDH009_cs.png","SDH009_A4")</f>
        <v>SDH009_A4</v>
      </c>
      <c r="B1011" t="str">
        <f>HYPERLINK("http://www.corstruth.com.au/WA/PNG2/SDH009_cs.png","SDH009_0.25m Bins")</f>
        <v>SDH009_0.25m Bins</v>
      </c>
      <c r="C1011" t="str">
        <f>HYPERLINK("http://www.corstruth.com.au/WA/CSV/SDH009.csv","SDH009_CSV File 1m Bins")</f>
        <v>SDH009_CSV File 1m Bins</v>
      </c>
      <c r="D1011" t="s">
        <v>1339</v>
      </c>
      <c r="E1011" t="s">
        <v>1</v>
      </c>
      <c r="G1011" t="s">
        <v>1319</v>
      </c>
      <c r="H1011" t="s">
        <v>1284</v>
      </c>
      <c r="I1011">
        <v>-16.398800000000001</v>
      </c>
      <c r="J1011">
        <v>127.982</v>
      </c>
      <c r="K1011" t="str">
        <f>HYPERLINK("http://geossdi.dmp.wa.gov.au/NVCLDataServices/mosaic.html?datasetid=a6b8a6b0-613f-452d-957e-8f8f8ca82c4","SDH009_Core Image")</f>
        <v>SDH009_Core Image</v>
      </c>
    </row>
    <row r="1012" spans="1:11" x14ac:dyDescent="0.25">
      <c r="A1012" t="str">
        <f>HYPERLINK("http://www.corstruth.com.au/WA/SDH010_cs.png","SDH010_A4")</f>
        <v>SDH010_A4</v>
      </c>
      <c r="B1012" t="str">
        <f>HYPERLINK("http://www.corstruth.com.au/WA/PNG2/SDH010_cs.png","SDH010_0.25m Bins")</f>
        <v>SDH010_0.25m Bins</v>
      </c>
      <c r="C1012" t="str">
        <f>HYPERLINK("http://www.corstruth.com.au/WA/CSV/SDH010.csv","SDH010_CSV File 1m Bins")</f>
        <v>SDH010_CSV File 1m Bins</v>
      </c>
      <c r="D1012" t="s">
        <v>1340</v>
      </c>
      <c r="E1012" t="s">
        <v>1</v>
      </c>
      <c r="G1012" t="s">
        <v>1319</v>
      </c>
      <c r="H1012" t="s">
        <v>1284</v>
      </c>
      <c r="I1012">
        <v>-16.405999999999999</v>
      </c>
      <c r="J1012">
        <v>127.979</v>
      </c>
      <c r="K1012" t="str">
        <f>HYPERLINK("http://geossdi.dmp.wa.gov.au/NVCLDataServices/mosaic.html?datasetid=9af17f31-1d69-4e05-8336-86debb18549","SDH010_Core Image")</f>
        <v>SDH010_Core Image</v>
      </c>
    </row>
    <row r="1013" spans="1:11" x14ac:dyDescent="0.25">
      <c r="A1013" t="str">
        <f>HYPERLINK("http://www.corstruth.com.au/WA/SDH08-5_cs.png","SDH08-5_A4")</f>
        <v>SDH08-5_A4</v>
      </c>
      <c r="B1013" t="str">
        <f>HYPERLINK("http://www.corstruth.com.au/WA/PNG2/SDH08-5_cs.png","SDH08-5_0.25m Bins")</f>
        <v>SDH08-5_0.25m Bins</v>
      </c>
      <c r="C1013" t="str">
        <f>HYPERLINK("http://www.corstruth.com.au/WA/CSV/SDH08-5.csv","SDH08-5_CSV File 1m Bins")</f>
        <v>SDH08-5_CSV File 1m Bins</v>
      </c>
      <c r="D1013" t="s">
        <v>1341</v>
      </c>
      <c r="E1013" t="s">
        <v>1</v>
      </c>
      <c r="G1013" t="s">
        <v>1319</v>
      </c>
      <c r="H1013" t="s">
        <v>1284</v>
      </c>
      <c r="I1013">
        <v>-16.423500000000001</v>
      </c>
      <c r="J1013">
        <v>127.935</v>
      </c>
      <c r="K1013" t="str">
        <f>HYPERLINK("http://geossdi.dmp.wa.gov.au/NVCLDataServices/mosaic.html?datasetid=69c93ae5-aa06-4ec5-bbfc-6b547433166","SDH08-5_Core Image")</f>
        <v>SDH08-5_Core Image</v>
      </c>
    </row>
    <row r="1014" spans="1:11" x14ac:dyDescent="0.25">
      <c r="A1014" t="str">
        <f>HYPERLINK("http://www.corstruth.com.au/WA/SDH08-6_cs.png","SDH08-6_A4")</f>
        <v>SDH08-6_A4</v>
      </c>
      <c r="B1014" t="str">
        <f>HYPERLINK("http://www.corstruth.com.au/WA/PNG2/SDH08-6_cs.png","SDH08-6_0.25m Bins")</f>
        <v>SDH08-6_0.25m Bins</v>
      </c>
      <c r="C1014" t="str">
        <f>HYPERLINK("http://www.corstruth.com.au/WA/CSV/SDH08-6.csv","SDH08-6_CSV File 1m Bins")</f>
        <v>SDH08-6_CSV File 1m Bins</v>
      </c>
      <c r="D1014" t="s">
        <v>1342</v>
      </c>
      <c r="E1014" t="s">
        <v>1</v>
      </c>
      <c r="G1014" t="s">
        <v>1319</v>
      </c>
      <c r="H1014" t="s">
        <v>1284</v>
      </c>
      <c r="I1014">
        <v>-16.361499999999999</v>
      </c>
      <c r="J1014">
        <v>127.95</v>
      </c>
      <c r="K1014" t="str">
        <f>HYPERLINK("http://geossdi.dmp.wa.gov.au/NVCLDataServices/mosaic.html?datasetid=74991b55-259d-4d76-a764-d9680102d31","SDH08-6_Core Image")</f>
        <v>SDH08-6_Core Image</v>
      </c>
    </row>
    <row r="1015" spans="1:11" x14ac:dyDescent="0.25">
      <c r="A1015" t="str">
        <f>HYPERLINK("http://www.corstruth.com.au/WA/SDH09-1_cs.png","SDH09-1_A4")</f>
        <v>SDH09-1_A4</v>
      </c>
      <c r="B1015" t="str">
        <f>HYPERLINK("http://www.corstruth.com.au/WA/PNG2/SDH09-1_cs.png","SDH09-1_0.25m Bins")</f>
        <v>SDH09-1_0.25m Bins</v>
      </c>
      <c r="C1015" t="str">
        <f>HYPERLINK("http://www.corstruth.com.au/WA/CSV/SDH09-1.csv","SDH09-1_CSV File 1m Bins")</f>
        <v>SDH09-1_CSV File 1m Bins</v>
      </c>
      <c r="D1015" t="s">
        <v>1343</v>
      </c>
      <c r="E1015" t="s">
        <v>1</v>
      </c>
      <c r="G1015" t="s">
        <v>1319</v>
      </c>
      <c r="H1015" t="s">
        <v>1284</v>
      </c>
      <c r="I1015">
        <v>-16.389199999999999</v>
      </c>
      <c r="J1015">
        <v>127.97799999999999</v>
      </c>
      <c r="K1015" t="str">
        <f>HYPERLINK("http://geossdi.dmp.wa.gov.au/NVCLDataServices/mosaic.html?datasetid=a0831ac5-e8e9-49d0-9e81-58bf32b1a49","SDH09-1_Core Image")</f>
        <v>SDH09-1_Core Image</v>
      </c>
    </row>
    <row r="1016" spans="1:11" x14ac:dyDescent="0.25">
      <c r="A1016" t="str">
        <f>HYPERLINK("http://www.corstruth.com.au/WA/SDH09-6_cs.png","SDH09-6_A4")</f>
        <v>SDH09-6_A4</v>
      </c>
      <c r="B1016" t="str">
        <f>HYPERLINK("http://www.corstruth.com.au/WA/PNG2/SDH09-6_cs.png","SDH09-6_0.25m Bins")</f>
        <v>SDH09-6_0.25m Bins</v>
      </c>
      <c r="C1016" t="str">
        <f>HYPERLINK("http://www.corstruth.com.au/WA/CSV/SDH09-6.csv","SDH09-6_CSV File 1m Bins")</f>
        <v>SDH09-6_CSV File 1m Bins</v>
      </c>
      <c r="D1016" t="s">
        <v>1344</v>
      </c>
      <c r="E1016" t="s">
        <v>1</v>
      </c>
      <c r="G1016" t="s">
        <v>1319</v>
      </c>
      <c r="H1016" t="s">
        <v>1284</v>
      </c>
      <c r="I1016">
        <v>-16.285499999999999</v>
      </c>
      <c r="J1016">
        <v>127.92700000000001</v>
      </c>
      <c r="K1016" t="str">
        <f>HYPERLINK("http://geossdi.dmp.wa.gov.au/NVCLDataServices/mosaic.html?datasetid=713eff7a-4f9e-4c45-8cda-1b003c0882f","SDH09-6_Core Image")</f>
        <v>SDH09-6_Core Image</v>
      </c>
    </row>
    <row r="1017" spans="1:11" x14ac:dyDescent="0.25">
      <c r="A1017" t="str">
        <f>HYPERLINK("http://www.corstruth.com.au/WA/SDH09-9_cs.png","SDH09-9_A4")</f>
        <v>SDH09-9_A4</v>
      </c>
      <c r="B1017" t="str">
        <f>HYPERLINK("http://www.corstruth.com.au/WA/PNG2/SDH09-9_cs.png","SDH09-9_0.25m Bins")</f>
        <v>SDH09-9_0.25m Bins</v>
      </c>
      <c r="C1017" t="str">
        <f>HYPERLINK("http://www.corstruth.com.au/WA/CSV/SDH09-9.csv","SDH09-9_CSV File 1m Bins")</f>
        <v>SDH09-9_CSV File 1m Bins</v>
      </c>
      <c r="D1017" t="s">
        <v>1345</v>
      </c>
      <c r="E1017" t="s">
        <v>1</v>
      </c>
      <c r="G1017" t="s">
        <v>1319</v>
      </c>
      <c r="H1017" t="s">
        <v>1284</v>
      </c>
      <c r="I1017">
        <v>-16.426400000000001</v>
      </c>
      <c r="J1017">
        <v>127.98</v>
      </c>
      <c r="K1017" t="str">
        <f>HYPERLINK("http://geossdi.dmp.wa.gov.au/NVCLDataServices/mosaic.html?datasetid=339e410d-8f8a-4433-8002-1c45a743be5","SDH09-9_Core Image")</f>
        <v>SDH09-9_Core Image</v>
      </c>
    </row>
    <row r="1018" spans="1:11" x14ac:dyDescent="0.25">
      <c r="A1018" t="str">
        <f>HYPERLINK("http://www.corstruth.com.au/WA/Kingia_1_cuttings_cs.png","Kingia 1_cuttings_A4")</f>
        <v>Kingia 1_cuttings_A4</v>
      </c>
      <c r="B1018" t="str">
        <f>HYPERLINK("http://www.corstruth.com.au/WA/PNG2/Kingia_1_cuttings_cs.png","Kingia 1_cuttings_0.25m Bins")</f>
        <v>Kingia 1_cuttings_0.25m Bins</v>
      </c>
      <c r="C1018" t="str">
        <f>HYPERLINK("http://www.corstruth.com.au/WA/CSV/Kingia_1_cuttings.csv","Kingia 1_cuttings_CSV File 1m Bins")</f>
        <v>Kingia 1_cuttings_CSV File 1m Bins</v>
      </c>
      <c r="D1018" t="s">
        <v>1346</v>
      </c>
      <c r="E1018" t="s">
        <v>1</v>
      </c>
      <c r="H1018" t="s">
        <v>1347</v>
      </c>
      <c r="I1018">
        <v>-29.392600000000002</v>
      </c>
      <c r="J1018">
        <v>115.029</v>
      </c>
      <c r="K1018" t="str">
        <f>HYPERLINK("http://geossdi.dmp.wa.gov.au/NVCLDataServices/mosaic.html?datasetid=9d534a90-3e88-47b1-8cb6-efcc495423a","Kingia 1_cuttings_Core Image")</f>
        <v>Kingia 1_cuttings_Core Image</v>
      </c>
    </row>
    <row r="1019" spans="1:11" x14ac:dyDescent="0.25">
      <c r="A1019" t="str">
        <f>HYPERLINK("http://www.corstruth.com.au/WA/EWD0046_cs.png","EWD0046_A4")</f>
        <v>EWD0046_A4</v>
      </c>
      <c r="B1019" t="str">
        <f>HYPERLINK("http://www.corstruth.com.au/WA/PNG2/EWD0046_cs.png","EWD0046_0.25m Bins")</f>
        <v>EWD0046_0.25m Bins</v>
      </c>
      <c r="C1019" t="str">
        <f>HYPERLINK("http://www.corstruth.com.au/WA/CSV/EWD0046.csv","EWD0046_CSV File 1m Bins")</f>
        <v>EWD0046_CSV File 1m Bins</v>
      </c>
      <c r="D1019" t="s">
        <v>59</v>
      </c>
      <c r="E1019" t="s">
        <v>1</v>
      </c>
      <c r="G1019" t="s">
        <v>1197</v>
      </c>
      <c r="H1019" t="s">
        <v>1348</v>
      </c>
      <c r="I1019">
        <v>0</v>
      </c>
      <c r="J1019">
        <v>0</v>
      </c>
    </row>
    <row r="1020" spans="1:11" x14ac:dyDescent="0.25">
      <c r="A1020" t="str">
        <f>HYPERLINK("http://www.corstruth.com.au/WA/JD01_cs.png","JD01_A4")</f>
        <v>JD01_A4</v>
      </c>
      <c r="B1020" t="str">
        <f>HYPERLINK("http://www.corstruth.com.au/WA/PNG2/JD01_cs.png","JD01_0.25m Bins")</f>
        <v>JD01_0.25m Bins</v>
      </c>
      <c r="C1020" t="str">
        <f>HYPERLINK("http://www.corstruth.com.au/WA/CSV/JD01.csv","JD01_CSV File 1m Bins")</f>
        <v>JD01_CSV File 1m Bins</v>
      </c>
      <c r="D1020" t="s">
        <v>1349</v>
      </c>
      <c r="E1020" t="s">
        <v>1</v>
      </c>
      <c r="G1020" t="s">
        <v>623</v>
      </c>
      <c r="H1020" t="s">
        <v>727</v>
      </c>
      <c r="I1020">
        <v>0</v>
      </c>
      <c r="J1020">
        <v>0</v>
      </c>
    </row>
    <row r="1021" spans="1:11" x14ac:dyDescent="0.25">
      <c r="A1021" t="str">
        <f>HYPERLINK("http://www.corstruth.com.au/WA/KPDDH017_cs.png","KPDDH017_A4")</f>
        <v>KPDDH017_A4</v>
      </c>
      <c r="B1021" t="str">
        <f>HYPERLINK("http://www.corstruth.com.au/WA/PNG2/KPDDH017_cs.png","KPDDH017_0.25m Bins")</f>
        <v>KPDDH017_0.25m Bins</v>
      </c>
      <c r="C1021" t="str">
        <f>HYPERLINK("http://www.corstruth.com.au/WA/CSV/KPDDH017.csv","KPDDH017_CSV File 1m Bins")</f>
        <v>KPDDH017_CSV File 1m Bins</v>
      </c>
      <c r="D1021" t="s">
        <v>59</v>
      </c>
      <c r="E1021" t="s">
        <v>1</v>
      </c>
      <c r="G1021" t="s">
        <v>1350</v>
      </c>
      <c r="H1021" t="s">
        <v>1351</v>
      </c>
      <c r="I1021">
        <v>0</v>
      </c>
      <c r="J1021">
        <v>0</v>
      </c>
    </row>
    <row r="1022" spans="1:11" x14ac:dyDescent="0.25">
      <c r="A1022" t="str">
        <f>HYPERLINK("http://www.corstruth.com.au/WA/L2_CaCO3_drilling_mud_cs.png","L2_CaCO3 drilling mud_A4")</f>
        <v>L2_CaCO3 drilling mud_A4</v>
      </c>
      <c r="B1022" t="str">
        <f>HYPERLINK("http://www.corstruth.com.au/WA/PNG2/L2_CaCO3_drilling_mud_cs.png","L2_CaCO3 drilling mud_0.25m Bins")</f>
        <v>L2_CaCO3 drilling mud_0.25m Bins</v>
      </c>
      <c r="C1022" t="str">
        <f>HYPERLINK("http://www.corstruth.com.au/WA/CSV/L2_CaCO3_drilling_mud.csv","L2_CaCO3 drilling mud_CSV File 1m Bins")</f>
        <v>L2_CaCO3 drilling mud_CSV File 1m Bins</v>
      </c>
      <c r="E1022" t="s">
        <v>1</v>
      </c>
      <c r="I1022">
        <v>0</v>
      </c>
      <c r="J1022">
        <v>0</v>
      </c>
    </row>
    <row r="1023" spans="1:11" x14ac:dyDescent="0.25">
      <c r="A1023" t="str">
        <f>HYPERLINK("http://www.corstruth.com.au/WA/LHD24_cs.png","LHD24_A4")</f>
        <v>LHD24_A4</v>
      </c>
      <c r="B1023" t="str">
        <f>HYPERLINK("http://www.corstruth.com.au/WA/PNG2/LHD24_cs.png","LHD24_0.25m Bins")</f>
        <v>LHD24_0.25m Bins</v>
      </c>
      <c r="C1023" t="str">
        <f>HYPERLINK("http://www.corstruth.com.au/WA/CSV/LHD24.csv","LHD24_CSV File 1m Bins")</f>
        <v>LHD24_CSV File 1m Bins</v>
      </c>
      <c r="D1023" t="s">
        <v>1349</v>
      </c>
      <c r="E1023" t="s">
        <v>1</v>
      </c>
      <c r="G1023" t="s">
        <v>623</v>
      </c>
      <c r="H1023" t="s">
        <v>905</v>
      </c>
      <c r="I1023">
        <v>0</v>
      </c>
      <c r="J1023">
        <v>0</v>
      </c>
    </row>
    <row r="1024" spans="1:11" x14ac:dyDescent="0.25">
      <c r="A1024" t="str">
        <f>HYPERLINK("http://www.corstruth.com.au/WA/LHD25_cs.png","LHD25_A4")</f>
        <v>LHD25_A4</v>
      </c>
      <c r="B1024" t="str">
        <f>HYPERLINK("http://www.corstruth.com.au/WA/PNG2/LHD25_cs.png","LHD25_0.25m Bins")</f>
        <v>LHD25_0.25m Bins</v>
      </c>
      <c r="C1024" t="str">
        <f>HYPERLINK("http://www.corstruth.com.au/WA/CSV/LHD25.csv","LHD25_CSV File 1m Bins")</f>
        <v>LHD25_CSV File 1m Bins</v>
      </c>
      <c r="D1024" t="s">
        <v>1349</v>
      </c>
      <c r="E1024" t="s">
        <v>1</v>
      </c>
      <c r="G1024" t="s">
        <v>623</v>
      </c>
      <c r="H1024" t="s">
        <v>905</v>
      </c>
      <c r="I1024">
        <v>0</v>
      </c>
      <c r="J1024">
        <v>0</v>
      </c>
    </row>
    <row r="1025" spans="1:11" x14ac:dyDescent="0.25">
      <c r="A1025" t="str">
        <f>HYPERLINK("http://www.corstruth.com.au/WA/OBGC092_cs.png","OBGC092_A4")</f>
        <v>OBGC092_A4</v>
      </c>
      <c r="B1025" t="str">
        <f>HYPERLINK("http://www.corstruth.com.au/WA/PNG2/OBGC092_cs.png","OBGC092_0.25m Bins")</f>
        <v>OBGC092_0.25m Bins</v>
      </c>
      <c r="C1025" t="str">
        <f>HYPERLINK("http://www.corstruth.com.au/WA/CSV/OBGC092.csv","OBGC092_CSV File 1m Bins")</f>
        <v>OBGC092_CSV File 1m Bins</v>
      </c>
      <c r="D1025" t="s">
        <v>59</v>
      </c>
      <c r="E1025" t="s">
        <v>1</v>
      </c>
      <c r="G1025" t="s">
        <v>167</v>
      </c>
      <c r="H1025" t="s">
        <v>1352</v>
      </c>
      <c r="I1025">
        <v>0</v>
      </c>
      <c r="J1025">
        <v>0</v>
      </c>
    </row>
    <row r="1026" spans="1:11" x14ac:dyDescent="0.25">
      <c r="A1026" t="str">
        <f>HYPERLINK("http://www.corstruth.com.au/WA/OBRD067_cs.png","OBRD067_A4")</f>
        <v>OBRD067_A4</v>
      </c>
      <c r="B1026" t="str">
        <f>HYPERLINK("http://www.corstruth.com.au/WA/PNG2/OBRD067_cs.png","OBRD067_0.25m Bins")</f>
        <v>OBRD067_0.25m Bins</v>
      </c>
      <c r="C1026" t="str">
        <f>HYPERLINK("http://www.corstruth.com.au/WA/CSV/OBRD067.csv","OBRD067_CSV File 1m Bins")</f>
        <v>OBRD067_CSV File 1m Bins</v>
      </c>
      <c r="D1026" t="s">
        <v>59</v>
      </c>
      <c r="E1026" t="s">
        <v>1</v>
      </c>
      <c r="G1026" t="s">
        <v>167</v>
      </c>
      <c r="H1026" t="s">
        <v>1352</v>
      </c>
      <c r="I1026">
        <v>0</v>
      </c>
      <c r="J1026">
        <v>0</v>
      </c>
    </row>
    <row r="1027" spans="1:11" x14ac:dyDescent="0.25">
      <c r="A1027" t="str">
        <f>HYPERLINK("http://www.corstruth.com.au/WA/SWPB02_[chips]_cs.png","SWPB02 [chips]_A4")</f>
        <v>SWPB02 [chips]_A4</v>
      </c>
      <c r="B1027" t="str">
        <f>HYPERLINK("http://www.corstruth.com.au/WA/PNG2/SWPB02_[chips]_cs.png","SWPB02 [chips]_0.25m Bins")</f>
        <v>SWPB02 [chips]_0.25m Bins</v>
      </c>
      <c r="C1027" t="str">
        <f>HYPERLINK("http://www.corstruth.com.au/WA/CSV/SWPB02_[chips].csv","SWPB02 [chips]_CSV File 1m Bins")</f>
        <v>SWPB02 [chips]_CSV File 1m Bins</v>
      </c>
      <c r="D1027" t="s">
        <v>59</v>
      </c>
      <c r="E1027" t="s">
        <v>1</v>
      </c>
      <c r="G1027" t="s">
        <v>1164</v>
      </c>
      <c r="H1027" t="s">
        <v>1188</v>
      </c>
      <c r="I1027">
        <v>0</v>
      </c>
      <c r="J1027">
        <v>0</v>
      </c>
    </row>
    <row r="1028" spans="1:11" x14ac:dyDescent="0.25">
      <c r="A1028" t="str">
        <f>HYPERLINK("http://www.corstruth.com.au/WA/SWPB03_[chips]_cs.png","SWPB03 [chips]_A4")</f>
        <v>SWPB03 [chips]_A4</v>
      </c>
      <c r="B1028" t="str">
        <f>HYPERLINK("http://www.corstruth.com.au/WA/PNG2/SWPB03_[chips]_cs.png","SWPB03 [chips]_0.25m Bins")</f>
        <v>SWPB03 [chips]_0.25m Bins</v>
      </c>
      <c r="C1028" t="str">
        <f>HYPERLINK("http://www.corstruth.com.au/WA/CSV/SWPB03_[chips].csv","SWPB03 [chips]_CSV File 1m Bins")</f>
        <v>SWPB03 [chips]_CSV File 1m Bins</v>
      </c>
      <c r="D1028" t="s">
        <v>59</v>
      </c>
      <c r="E1028" t="s">
        <v>1</v>
      </c>
      <c r="G1028" t="s">
        <v>1164</v>
      </c>
      <c r="H1028" t="s">
        <v>1188</v>
      </c>
      <c r="I1028">
        <v>0</v>
      </c>
      <c r="J1028">
        <v>0</v>
      </c>
    </row>
    <row r="1029" spans="1:11" x14ac:dyDescent="0.25">
      <c r="A1029" t="str">
        <f>HYPERLINK("http://www.corstruth.com.au/WA/SWPB04_[chips]_cs.png","SWPB04 [chips]_A4")</f>
        <v>SWPB04 [chips]_A4</v>
      </c>
      <c r="B1029" t="str">
        <f>HYPERLINK("http://www.corstruth.com.au/WA/PNG2/SWPB04_[chips]_cs.png","SWPB04 [chips]_0.25m Bins")</f>
        <v>SWPB04 [chips]_0.25m Bins</v>
      </c>
      <c r="C1029" t="str">
        <f>HYPERLINK("http://www.corstruth.com.au/WA/CSV/SWPB04_[chips].csv","SWPB04 [chips]_CSV File 1m Bins")</f>
        <v>SWPB04 [chips]_CSV File 1m Bins</v>
      </c>
      <c r="D1029" t="s">
        <v>59</v>
      </c>
      <c r="E1029" t="s">
        <v>1</v>
      </c>
      <c r="G1029" t="s">
        <v>1164</v>
      </c>
      <c r="H1029" t="s">
        <v>1188</v>
      </c>
      <c r="I1029">
        <v>0</v>
      </c>
      <c r="J1029">
        <v>0</v>
      </c>
    </row>
    <row r="1030" spans="1:11" x14ac:dyDescent="0.25">
      <c r="A1030" t="str">
        <f>HYPERLINK("http://www.corstruth.com.au/WA/VSCH08_cs.png","VSCH08_A4")</f>
        <v>VSCH08_A4</v>
      </c>
      <c r="B1030" t="str">
        <f>HYPERLINK("http://www.corstruth.com.au/WA/PNG2/VSCH08_cs.png","VSCH08_0.25m Bins")</f>
        <v>VSCH08_0.25m Bins</v>
      </c>
      <c r="C1030" t="str">
        <f>HYPERLINK("http://www.corstruth.com.au/WA/CSV/VSCH08.csv","VSCH08_CSV File 1m Bins")</f>
        <v>VSCH08_CSV File 1m Bins</v>
      </c>
      <c r="D1030" t="s">
        <v>59</v>
      </c>
      <c r="E1030" t="s">
        <v>1</v>
      </c>
      <c r="G1030" t="s">
        <v>1353</v>
      </c>
      <c r="H1030" t="s">
        <v>1354</v>
      </c>
      <c r="I1030">
        <v>0</v>
      </c>
      <c r="J1030">
        <v>0</v>
      </c>
      <c r="K1030" t="str">
        <f>HYPERLINK("http://geossdi.dmp.wa.gov.au/NVCLDataServices/mosaic.html?datasetid=dea599b1-0348-412c-b767-36fed387b87","VSCH08_Core Image")</f>
        <v>VSCH08_Core Image</v>
      </c>
    </row>
    <row r="1031" spans="1:11" x14ac:dyDescent="0.25">
      <c r="A1031" t="str">
        <f>HYPERLINK("http://www.corstruth.com.au/WA/Lockyer_1_cuttings_cs.png","Lockyer 1_cuttings_A4")</f>
        <v>Lockyer 1_cuttings_A4</v>
      </c>
      <c r="B1031" t="str">
        <f>HYPERLINK("http://www.corstruth.com.au/WA/PNG2/Lockyer_1_cuttings_cs.png","Lockyer 1_cuttings_0.25m Bins")</f>
        <v>Lockyer 1_cuttings_0.25m Bins</v>
      </c>
      <c r="C1031" t="str">
        <f>HYPERLINK("http://www.corstruth.com.au/WA/CSV/Lockyer_1_cuttings.csv","Lockyer 1_cuttings_CSV File 1m Bins")</f>
        <v>Lockyer 1_cuttings_CSV File 1m Bins</v>
      </c>
      <c r="D1031" t="s">
        <v>1355</v>
      </c>
      <c r="E1031" t="s">
        <v>1</v>
      </c>
      <c r="H1031" t="s">
        <v>1356</v>
      </c>
      <c r="I1031">
        <v>-29.184799999999999</v>
      </c>
      <c r="J1031">
        <v>115.262</v>
      </c>
      <c r="K1031" t="str">
        <f>HYPERLINK("http://geossdi.dmp.wa.gov.au/NVCLDataServices/mosaic.html?datasetid=e0ffa4c1-f5b6-4f1f-88c9-930eeb4f27c","Lockyer 1_cuttings_Core Image")</f>
        <v>Lockyer 1_cuttings_Core Image</v>
      </c>
    </row>
    <row r="1032" spans="1:11" x14ac:dyDescent="0.25">
      <c r="A1032" t="str">
        <f>HYPERLINK("http://www.corstruth.com.au/WA/CWDD001_cs.png","CWDD001_A4")</f>
        <v>CWDD001_A4</v>
      </c>
      <c r="B1032" t="str">
        <f>HYPERLINK("http://www.corstruth.com.au/WA/PNG2/CWDD001_cs.png","CWDD001_0.25m Bins")</f>
        <v>CWDD001_0.25m Bins</v>
      </c>
      <c r="C1032" t="str">
        <f>HYPERLINK("http://www.corstruth.com.au/WA/CSV/CWDD001.csv","CWDD001_CSV File 1m Bins")</f>
        <v>CWDD001_CSV File 1m Bins</v>
      </c>
      <c r="D1032" t="s">
        <v>1357</v>
      </c>
      <c r="E1032" t="s">
        <v>1</v>
      </c>
      <c r="G1032" t="s">
        <v>1358</v>
      </c>
      <c r="H1032" t="s">
        <v>1359</v>
      </c>
      <c r="I1032">
        <v>-25.447399999999998</v>
      </c>
      <c r="J1032">
        <v>119.402</v>
      </c>
      <c r="K1032" t="str">
        <f>HYPERLINK("http://geossdi.dmp.wa.gov.au/NVCLDataServices/mosaic.html?datasetid=b84f762c-83f3-4488-b946-eb2d88ce359","CWDD001_Core Image")</f>
        <v>CWDD001_Core Image</v>
      </c>
    </row>
    <row r="1033" spans="1:11" x14ac:dyDescent="0.25">
      <c r="A1033" t="str">
        <f>HYPERLINK("http://www.corstruth.com.au/WA/CWDD003_cs.png","CWDD003_A4")</f>
        <v>CWDD003_A4</v>
      </c>
      <c r="B1033" t="str">
        <f>HYPERLINK("http://www.corstruth.com.au/WA/PNG2/CWDD003_cs.png","CWDD003_0.25m Bins")</f>
        <v>CWDD003_0.25m Bins</v>
      </c>
      <c r="C1033" t="str">
        <f>HYPERLINK("http://www.corstruth.com.au/WA/CSV/CWDD003.csv","CWDD003_CSV File 1m Bins")</f>
        <v>CWDD003_CSV File 1m Bins</v>
      </c>
      <c r="D1033" t="s">
        <v>1360</v>
      </c>
      <c r="E1033" t="s">
        <v>1</v>
      </c>
      <c r="G1033" t="s">
        <v>1358</v>
      </c>
      <c r="H1033" t="s">
        <v>1359</v>
      </c>
      <c r="I1033">
        <v>-25.462299999999999</v>
      </c>
      <c r="J1033">
        <v>119.419</v>
      </c>
      <c r="K1033" t="str">
        <f>HYPERLINK("http://geossdi.dmp.wa.gov.au/NVCLDataServices/mosaic.html?datasetid=a867d726-9a71-468a-a07c-93184a51805","CWDD003_Core Image")</f>
        <v>CWDD003_Core Image</v>
      </c>
    </row>
    <row r="1034" spans="1:11" x14ac:dyDescent="0.25">
      <c r="A1034" t="str">
        <f>HYPERLINK("http://www.corstruth.com.au/WA/CWDD005_cs.png","CWDD005_A4")</f>
        <v>CWDD005_A4</v>
      </c>
      <c r="B1034" t="str">
        <f>HYPERLINK("http://www.corstruth.com.au/WA/PNG2/CWDD005_cs.png","CWDD005_0.25m Bins")</f>
        <v>CWDD005_0.25m Bins</v>
      </c>
      <c r="C1034" t="str">
        <f>HYPERLINK("http://www.corstruth.com.au/WA/CSV/CWDD005.csv","CWDD005_CSV File 1m Bins")</f>
        <v>CWDD005_CSV File 1m Bins</v>
      </c>
      <c r="D1034" t="s">
        <v>1361</v>
      </c>
      <c r="E1034" t="s">
        <v>1</v>
      </c>
      <c r="G1034" t="s">
        <v>1358</v>
      </c>
      <c r="H1034" t="s">
        <v>1359</v>
      </c>
      <c r="I1034">
        <v>-25.434200000000001</v>
      </c>
      <c r="J1034">
        <v>119.41500000000001</v>
      </c>
      <c r="K1034" t="str">
        <f>HYPERLINK("http://geossdi.dmp.wa.gov.au/NVCLDataServices/mosaic.html?datasetid=b1fc76bd-fe05-4a98-90b1-c9e7648dd1b","CWDD005_Core Image")</f>
        <v>CWDD005_Core Image</v>
      </c>
    </row>
    <row r="1035" spans="1:11" x14ac:dyDescent="0.25">
      <c r="A1035" t="str">
        <f>HYPERLINK("http://www.corstruth.com.au/WA/DDG001_cs.png","DDG001_A4")</f>
        <v>DDG001_A4</v>
      </c>
      <c r="B1035" t="str">
        <f>HYPERLINK("http://www.corstruth.com.au/WA/PNG2/DDG001_cs.png","DDG001_0.25m Bins")</f>
        <v>DDG001_0.25m Bins</v>
      </c>
      <c r="C1035" t="str">
        <f>HYPERLINK("http://www.corstruth.com.au/WA/CSV/DDG001.csv","DDG001_CSV File 1m Bins")</f>
        <v>DDG001_CSV File 1m Bins</v>
      </c>
      <c r="D1035" t="s">
        <v>1362</v>
      </c>
      <c r="E1035" t="s">
        <v>1</v>
      </c>
      <c r="G1035" t="s">
        <v>1358</v>
      </c>
      <c r="H1035" t="s">
        <v>1363</v>
      </c>
      <c r="I1035">
        <v>-25.565100000000001</v>
      </c>
      <c r="J1035">
        <v>119.16800000000001</v>
      </c>
      <c r="K1035" t="str">
        <f>HYPERLINK("http://geossdi.dmp.wa.gov.au/NVCLDataServices/mosaic.html?datasetid=4e34ef2e-5ac4-4189-adae-125d8d4eb86","DDG001_Core Image")</f>
        <v>DDG001_Core Image</v>
      </c>
    </row>
    <row r="1036" spans="1:11" x14ac:dyDescent="0.25">
      <c r="A1036" t="str">
        <f>HYPERLINK("http://www.corstruth.com.au/WA/DDG002_cs.png","DDG002_A4")</f>
        <v>DDG002_A4</v>
      </c>
      <c r="B1036" t="str">
        <f>HYPERLINK("http://www.corstruth.com.au/WA/PNG2/DDG002_cs.png","DDG002_0.25m Bins")</f>
        <v>DDG002_0.25m Bins</v>
      </c>
      <c r="C1036" t="str">
        <f>HYPERLINK("http://www.corstruth.com.au/WA/CSV/DDG002.csv","DDG002_CSV File 1m Bins")</f>
        <v>DDG002_CSV File 1m Bins</v>
      </c>
      <c r="D1036" t="s">
        <v>1364</v>
      </c>
      <c r="E1036" t="s">
        <v>1</v>
      </c>
      <c r="G1036" t="s">
        <v>1358</v>
      </c>
      <c r="H1036" t="s">
        <v>378</v>
      </c>
      <c r="I1036">
        <v>-25.561900000000001</v>
      </c>
      <c r="J1036">
        <v>119.172</v>
      </c>
      <c r="K1036" t="str">
        <f>HYPERLINK("http://geossdi.dmp.wa.gov.au/NVCLDataServices/mosaic.html?datasetid=a2ad5648-9ea6-45f3-be54-1d1a8272e28","DDG002_Core Image")</f>
        <v>DDG002_Core Image</v>
      </c>
    </row>
    <row r="1037" spans="1:11" x14ac:dyDescent="0.25">
      <c r="A1037" t="str">
        <f>HYPERLINK("http://www.corstruth.com.au/WA/DDG003_cs.png","DDG003_A4")</f>
        <v>DDG003_A4</v>
      </c>
      <c r="B1037" t="str">
        <f>HYPERLINK("http://www.corstruth.com.au/WA/PNG2/DDG003_cs.png","DDG003_0.25m Bins")</f>
        <v>DDG003_0.25m Bins</v>
      </c>
      <c r="C1037" t="str">
        <f>HYPERLINK("http://www.corstruth.com.au/WA/CSV/DDG003.csv","DDG003_CSV File 1m Bins")</f>
        <v>DDG003_CSV File 1m Bins</v>
      </c>
      <c r="D1037" t="s">
        <v>1365</v>
      </c>
      <c r="E1037" t="s">
        <v>1</v>
      </c>
      <c r="G1037" t="s">
        <v>1358</v>
      </c>
      <c r="H1037" t="s">
        <v>378</v>
      </c>
      <c r="I1037">
        <v>-25.558599999999998</v>
      </c>
      <c r="J1037">
        <v>119.175</v>
      </c>
      <c r="K1037" t="str">
        <f>HYPERLINK("http://geossdi.dmp.wa.gov.au/NVCLDataServices/mosaic.html?datasetid=5a7620fa-60d8-4ba2-8ace-448789b11f4","DDG003_Core Image")</f>
        <v>DDG003_Core Image</v>
      </c>
    </row>
    <row r="1038" spans="1:11" x14ac:dyDescent="0.25">
      <c r="A1038" t="str">
        <f>HYPERLINK("http://www.corstruth.com.au/WA/DDG004_cs.png","DDG004_A4")</f>
        <v>DDG004_A4</v>
      </c>
      <c r="B1038" t="str">
        <f>HYPERLINK("http://www.corstruth.com.au/WA/PNG2/DDG004_cs.png","DDG004_0.25m Bins")</f>
        <v>DDG004_0.25m Bins</v>
      </c>
      <c r="C1038" t="str">
        <f>HYPERLINK("http://www.corstruth.com.au/WA/CSV/DDG004.csv","DDG004_CSV File 1m Bins")</f>
        <v>DDG004_CSV File 1m Bins</v>
      </c>
      <c r="D1038" t="s">
        <v>1366</v>
      </c>
      <c r="E1038" t="s">
        <v>1</v>
      </c>
      <c r="G1038" t="s">
        <v>1358</v>
      </c>
      <c r="H1038" t="s">
        <v>378</v>
      </c>
      <c r="I1038">
        <v>-25.5444</v>
      </c>
      <c r="J1038">
        <v>119.19</v>
      </c>
      <c r="K1038" t="str">
        <f>HYPERLINK("http://geossdi.dmp.wa.gov.au/NVCLDataServices/mosaic.html?datasetid=06c3abdd-51a7-4f35-9445-c8f617ac402","DDG004_Core Image")</f>
        <v>DDG004_Core Image</v>
      </c>
    </row>
    <row r="1039" spans="1:11" x14ac:dyDescent="0.25">
      <c r="A1039" t="str">
        <f>HYPERLINK("http://www.corstruth.com.au/WA/DDG005_cs.png","DDG005_A4")</f>
        <v>DDG005_A4</v>
      </c>
      <c r="B1039" t="str">
        <f>HYPERLINK("http://www.corstruth.com.au/WA/PNG2/DDG005_cs.png","DDG005_0.25m Bins")</f>
        <v>DDG005_0.25m Bins</v>
      </c>
      <c r="C1039" t="str">
        <f>HYPERLINK("http://www.corstruth.com.au/WA/CSV/DDG005.csv","DDG005_CSV File 1m Bins")</f>
        <v>DDG005_CSV File 1m Bins</v>
      </c>
      <c r="D1039" t="s">
        <v>1367</v>
      </c>
      <c r="E1039" t="s">
        <v>1</v>
      </c>
      <c r="G1039" t="s">
        <v>1358</v>
      </c>
      <c r="H1039" t="s">
        <v>378</v>
      </c>
      <c r="I1039">
        <v>-25.541499999999999</v>
      </c>
      <c r="J1039">
        <v>119.16</v>
      </c>
      <c r="K1039" t="str">
        <f>HYPERLINK("http://geossdi.dmp.wa.gov.au/NVCLDataServices/mosaic.html?datasetid=8082f35c-91e2-49fb-a8a9-b928f465563","DDG005_Core Image")</f>
        <v>DDG005_Core Image</v>
      </c>
    </row>
    <row r="1040" spans="1:11" x14ac:dyDescent="0.25">
      <c r="A1040" t="str">
        <f>HYPERLINK("http://www.corstruth.com.au/WA/DDG006_cs.png","DDG006_A4")</f>
        <v>DDG006_A4</v>
      </c>
      <c r="B1040" t="str">
        <f>HYPERLINK("http://www.corstruth.com.au/WA/PNG2/DDG006_cs.png","DDG006_0.25m Bins")</f>
        <v>DDG006_0.25m Bins</v>
      </c>
      <c r="C1040" t="str">
        <f>HYPERLINK("http://www.corstruth.com.au/WA/CSV/DDG006.csv","DDG006_CSV File 1m Bins")</f>
        <v>DDG006_CSV File 1m Bins</v>
      </c>
      <c r="D1040" t="s">
        <v>1368</v>
      </c>
      <c r="E1040" t="s">
        <v>1</v>
      </c>
      <c r="G1040" t="s">
        <v>1358</v>
      </c>
      <c r="H1040" t="s">
        <v>378</v>
      </c>
      <c r="I1040">
        <v>-25.562899999999999</v>
      </c>
      <c r="J1040">
        <v>119.16</v>
      </c>
      <c r="K1040" t="str">
        <f>HYPERLINK("http://geossdi.dmp.wa.gov.au/NVCLDataServices/mosaic.html?datasetid=86dc37fe-3f41-4334-8902-7c271ea8d8d","DDG006_Core Image")</f>
        <v>DDG006_Core Image</v>
      </c>
    </row>
    <row r="1041" spans="1:11" x14ac:dyDescent="0.25">
      <c r="A1041" t="str">
        <f>HYPERLINK("http://www.corstruth.com.au/WA/DDG007_cs.png","DDG007_A4")</f>
        <v>DDG007_A4</v>
      </c>
      <c r="B1041" t="str">
        <f>HYPERLINK("http://www.corstruth.com.au/WA/PNG2/DDG007_cs.png","DDG007_0.25m Bins")</f>
        <v>DDG007_0.25m Bins</v>
      </c>
      <c r="C1041" t="str">
        <f>HYPERLINK("http://www.corstruth.com.au/WA/CSV/DDG007.csv","DDG007_CSV File 1m Bins")</f>
        <v>DDG007_CSV File 1m Bins</v>
      </c>
      <c r="D1041" t="s">
        <v>1369</v>
      </c>
      <c r="E1041" t="s">
        <v>1</v>
      </c>
      <c r="G1041" t="s">
        <v>1358</v>
      </c>
      <c r="H1041" t="s">
        <v>378</v>
      </c>
      <c r="I1041">
        <v>-25.5427</v>
      </c>
      <c r="J1041">
        <v>119.17700000000001</v>
      </c>
      <c r="K1041" t="str">
        <f>HYPERLINK("http://geossdi.dmp.wa.gov.au/NVCLDataServices/mosaic.html?datasetid=8f5af2d3-daf4-4934-aa0d-bc931c46687","DDG007_Core Image")</f>
        <v>DDG007_Core Image</v>
      </c>
    </row>
    <row r="1042" spans="1:11" x14ac:dyDescent="0.25">
      <c r="A1042" t="str">
        <f>HYPERLINK("http://www.corstruth.com.au/WA/DDG008_cs.png","DDG008_A4")</f>
        <v>DDG008_A4</v>
      </c>
      <c r="B1042" t="str">
        <f>HYPERLINK("http://www.corstruth.com.au/WA/PNG2/DDG008_cs.png","DDG008_0.25m Bins")</f>
        <v>DDG008_0.25m Bins</v>
      </c>
      <c r="C1042" t="str">
        <f>HYPERLINK("http://www.corstruth.com.au/WA/CSV/DDG008.csv","DDG008_CSV File 1m Bins")</f>
        <v>DDG008_CSV File 1m Bins</v>
      </c>
      <c r="D1042" t="s">
        <v>1370</v>
      </c>
      <c r="E1042" t="s">
        <v>1</v>
      </c>
      <c r="G1042" t="s">
        <v>1358</v>
      </c>
      <c r="H1042" t="s">
        <v>378</v>
      </c>
      <c r="I1042">
        <v>-25.545999999999999</v>
      </c>
      <c r="J1042">
        <v>119.18899999999999</v>
      </c>
      <c r="K1042" t="str">
        <f>HYPERLINK("http://geossdi.dmp.wa.gov.au/NVCLDataServices/mosaic.html?datasetid=f070605f-a84f-44d3-b3bb-5d40b010320","DDG008_Core Image")</f>
        <v>DDG008_Core Image</v>
      </c>
    </row>
    <row r="1043" spans="1:11" x14ac:dyDescent="0.25">
      <c r="A1043" t="str">
        <f>HYPERLINK("http://www.corstruth.com.au/WA/Mondarra_1_cuttings_cs.png","Mondarra 1_cuttings_A4")</f>
        <v>Mondarra 1_cuttings_A4</v>
      </c>
      <c r="B1043" t="str">
        <f>HYPERLINK("http://www.corstruth.com.au/WA/PNG2/Mondarra_1_cuttings_cs.png","Mondarra 1_cuttings_0.25m Bins")</f>
        <v>Mondarra 1_cuttings_0.25m Bins</v>
      </c>
      <c r="C1043" t="str">
        <f>HYPERLINK("http://www.corstruth.com.au/WA/CSV/Mondarra_1_cuttings.csv","Mondarra 1_cuttings_CSV File 1m Bins")</f>
        <v>Mondarra 1_cuttings_CSV File 1m Bins</v>
      </c>
      <c r="D1043" t="s">
        <v>1371</v>
      </c>
      <c r="E1043" t="s">
        <v>1</v>
      </c>
      <c r="H1043" t="s">
        <v>1372</v>
      </c>
      <c r="I1043">
        <v>-29.313099999999999</v>
      </c>
      <c r="J1043">
        <v>115.11799999999999</v>
      </c>
      <c r="K1043" t="str">
        <f>HYPERLINK("http://geossdi.dmp.wa.gov.au/NVCLDataServices/mosaic.html?datasetid=5b907d17-5267-41fb-a16d-f50a127beb4","Mondarra 1_cuttings_Core Image")</f>
        <v>Mondarra 1_cuttings_Core Image</v>
      </c>
    </row>
    <row r="1044" spans="1:11" x14ac:dyDescent="0.25">
      <c r="A1044" t="str">
        <f>HYPERLINK("http://www.corstruth.com.au/WA/Mondarra_4_cuttings_cs.png","Mondarra 4_cuttings_A4")</f>
        <v>Mondarra 4_cuttings_A4</v>
      </c>
      <c r="B1044" t="str">
        <f>HYPERLINK("http://www.corstruth.com.au/WA/PNG2/Mondarra_4_cuttings_cs.png","Mondarra 4_cuttings_0.25m Bins")</f>
        <v>Mondarra 4_cuttings_0.25m Bins</v>
      </c>
      <c r="C1044" t="str">
        <f>HYPERLINK("http://www.corstruth.com.au/WA/CSV/Mondarra_4_cuttings.csv","Mondarra 4_cuttings_CSV File 1m Bins")</f>
        <v>Mondarra 4_cuttings_CSV File 1m Bins</v>
      </c>
      <c r="D1044" t="s">
        <v>1373</v>
      </c>
      <c r="E1044" t="s">
        <v>1</v>
      </c>
      <c r="H1044" t="s">
        <v>1372</v>
      </c>
      <c r="I1044">
        <v>-29.318999999999999</v>
      </c>
      <c r="J1044">
        <v>115.10299999999999</v>
      </c>
      <c r="K1044" t="str">
        <f>HYPERLINK("http://geossdi.dmp.wa.gov.au/NVCLDataServices/mosaic.html?datasetid=74bea09a-d324-4fee-82a2-fcae819f2a9","Mondarra 4_cuttings_Core Image")</f>
        <v>Mondarra 4_cuttings_Core Image</v>
      </c>
    </row>
    <row r="1045" spans="1:11" x14ac:dyDescent="0.25">
      <c r="A1045" t="str">
        <f>HYPERLINK("http://www.corstruth.com.au/WA/Mondarra_7_cuttings_cs.png","Mondarra 7_cuttings_A4")</f>
        <v>Mondarra 7_cuttings_A4</v>
      </c>
      <c r="B1045" t="str">
        <f>HYPERLINK("http://www.corstruth.com.au/WA/PNG2/Mondarra_7_cuttings_cs.png","Mondarra 7_cuttings_0.25m Bins")</f>
        <v>Mondarra 7_cuttings_0.25m Bins</v>
      </c>
      <c r="C1045" t="str">
        <f>HYPERLINK("http://www.corstruth.com.au/WA/CSV/Mondarra_7_cuttings.csv","Mondarra 7_cuttings_CSV File 1m Bins")</f>
        <v>Mondarra 7_cuttings_CSV File 1m Bins</v>
      </c>
      <c r="D1045" t="s">
        <v>1374</v>
      </c>
      <c r="E1045" t="s">
        <v>1</v>
      </c>
      <c r="H1045" t="s">
        <v>1372</v>
      </c>
      <c r="I1045">
        <v>-29.312100000000001</v>
      </c>
      <c r="J1045">
        <v>115.119</v>
      </c>
      <c r="K1045" t="str">
        <f>HYPERLINK("http://geossdi.dmp.wa.gov.au/NVCLDataServices/mosaic.html?datasetid=85ca6746-ce2c-45d0-8fe5-a1e8d220eec","Mondarra 7_cuttings_Core Image")</f>
        <v>Mondarra 7_cuttings_Core Image</v>
      </c>
    </row>
    <row r="1046" spans="1:11" x14ac:dyDescent="0.25">
      <c r="A1046" t="str">
        <f>HYPERLINK("http://www.corstruth.com.au/WA/Mountain_Bridge_1_cuttings_cs.png","Mountain Bridge 1_cuttings_A4")</f>
        <v>Mountain Bridge 1_cuttings_A4</v>
      </c>
      <c r="B1046" t="str">
        <f>HYPERLINK("http://www.corstruth.com.au/WA/PNG2/Mountain_Bridge_1_cuttings_cs.png","Mountain Bridge 1_cuttings_0.25m Bins")</f>
        <v>Mountain Bridge 1_cuttings_0.25m Bins</v>
      </c>
      <c r="C1046" t="str">
        <f>HYPERLINK("http://www.corstruth.com.au/WA/CSV/Mountain_Bridge_1_cuttings.csv","Mountain Bridge 1_cuttings_CSV File 1m Bins")</f>
        <v>Mountain Bridge 1_cuttings_CSV File 1m Bins</v>
      </c>
      <c r="D1046" t="s">
        <v>1375</v>
      </c>
      <c r="E1046" t="s">
        <v>1</v>
      </c>
      <c r="H1046" t="s">
        <v>1376</v>
      </c>
      <c r="I1046">
        <v>-29.600100000000001</v>
      </c>
      <c r="J1046">
        <v>115.11499999999999</v>
      </c>
      <c r="K1046" t="str">
        <f>HYPERLINK("http://geossdi.dmp.wa.gov.au/NVCLDataServices/mosaic.html?datasetid=208a4624-6459-433e-9aa8-ddf740615be","Mountain Bridge 1_cuttings_Core Image")</f>
        <v>Mountain Bridge 1_cuttings_Core Image</v>
      </c>
    </row>
    <row r="1047" spans="1:11" x14ac:dyDescent="0.25">
      <c r="A1047" t="str">
        <f>HYPERLINK("http://www.corstruth.com.au/WA/Mountain_Bridge_1_cuttings2_cs.png","Mountain Bridge 1_cuttings2_A4")</f>
        <v>Mountain Bridge 1_cuttings2_A4</v>
      </c>
      <c r="B1047" t="str">
        <f>HYPERLINK("http://www.corstruth.com.au/WA/PNG2/Mountain_Bridge_1_cuttings2_cs.png","Mountain Bridge 1_cuttings2_0.25m Bins")</f>
        <v>Mountain Bridge 1_cuttings2_0.25m Bins</v>
      </c>
      <c r="C1047" t="str">
        <f>HYPERLINK("http://www.corstruth.com.au/WA/CSV/Mountain_Bridge_1_cuttings2.csv","Mountain Bridge 1_cuttings2_CSV File 1m Bins")</f>
        <v>Mountain Bridge 1_cuttings2_CSV File 1m Bins</v>
      </c>
      <c r="D1047" t="s">
        <v>1375</v>
      </c>
      <c r="E1047" t="s">
        <v>1</v>
      </c>
      <c r="H1047" t="s">
        <v>1376</v>
      </c>
      <c r="I1047">
        <v>-29.600100000000001</v>
      </c>
      <c r="J1047">
        <v>115.11499999999999</v>
      </c>
      <c r="K1047" t="str">
        <f>HYPERLINK("http://geossdi.dmp.wa.gov.au/NVCLDataServices/mosaic.html?datasetid=ac44b77e-e43d-4da8-8905-3f20b540805","Mountain Bridge 1_cuttings2_Core Image")</f>
        <v>Mountain Bridge 1_cuttings2_Core Image</v>
      </c>
    </row>
    <row r="1048" spans="1:11" x14ac:dyDescent="0.25">
      <c r="A1048" t="str">
        <f>HYPERLINK("http://www.corstruth.com.au/WA/Mt_Adams_1_cuttings_cs.png","Mt Adams 1_cuttings_A4")</f>
        <v>Mt Adams 1_cuttings_A4</v>
      </c>
      <c r="B1048" t="str">
        <f>HYPERLINK("http://www.corstruth.com.au/WA/PNG2/Mt_Adams_1_cuttings_cs.png","Mt Adams 1_cuttings_0.25m Bins")</f>
        <v>Mt Adams 1_cuttings_0.25m Bins</v>
      </c>
      <c r="C1048" t="str">
        <f>HYPERLINK("http://www.corstruth.com.au/WA/CSV/Mt_Adams_1_cuttings.csv","Mt Adams 1_cuttings_CSV File 1m Bins")</f>
        <v>Mt Adams 1_cuttings_CSV File 1m Bins</v>
      </c>
      <c r="D1048" t="s">
        <v>1377</v>
      </c>
      <c r="E1048" t="s">
        <v>1</v>
      </c>
      <c r="H1048" t="s">
        <v>1378</v>
      </c>
      <c r="I1048">
        <v>-29.4057</v>
      </c>
      <c r="J1048">
        <v>115.16800000000001</v>
      </c>
      <c r="K1048" t="str">
        <f>HYPERLINK("http://geossdi.dmp.wa.gov.au/NVCLDataServices/mosaic.html?datasetid=eb79f985-4e8e-46f5-8a94-59219f6a931","Mt Adams 1_cuttings_Core Image")</f>
        <v>Mt Adams 1_cuttings_Core Image</v>
      </c>
    </row>
    <row r="1049" spans="1:11" x14ac:dyDescent="0.25">
      <c r="A1049" t="str">
        <f>HYPERLINK("http://www.corstruth.com.au/WA/Mt_Hill_1_cuttings_cs.png","Mt Hill 1_cuttings_A4")</f>
        <v>Mt Hill 1_cuttings_A4</v>
      </c>
      <c r="B1049" t="str">
        <f>HYPERLINK("http://www.corstruth.com.au/WA/PNG2/Mt_Hill_1_cuttings_cs.png","Mt Hill 1_cuttings_0.25m Bins")</f>
        <v>Mt Hill 1_cuttings_0.25m Bins</v>
      </c>
      <c r="C1049" t="str">
        <f>HYPERLINK("http://www.corstruth.com.au/WA/CSV/Mt_Hill_1_cuttings.csv","Mt Hill 1_cuttings_CSV File 1m Bins")</f>
        <v>Mt Hill 1_cuttings_CSV File 1m Bins</v>
      </c>
      <c r="D1049" t="s">
        <v>1379</v>
      </c>
      <c r="E1049" t="s">
        <v>1</v>
      </c>
      <c r="H1049" t="s">
        <v>1380</v>
      </c>
      <c r="I1049">
        <v>-29.067900000000002</v>
      </c>
      <c r="J1049">
        <v>114.985</v>
      </c>
      <c r="K1049" t="str">
        <f>HYPERLINK("http://geossdi.dmp.wa.gov.au/NVCLDataServices/mosaic.html?datasetid=886fba8f-2ae8-4bf1-9d0d-b3e00f905c7","Mt Hill 1_cuttings_Core Image")</f>
        <v>Mt Hill 1_cuttings_Core Image</v>
      </c>
    </row>
    <row r="1050" spans="1:11" x14ac:dyDescent="0.25">
      <c r="A1050" t="str">
        <f>HYPERLINK("http://www.corstruth.com.au/WA/Mt_Horner_01_cuttings_cs.png","Mt Horner 01_cuttings_A4")</f>
        <v>Mt Horner 01_cuttings_A4</v>
      </c>
      <c r="B1050" t="str">
        <f>HYPERLINK("http://www.corstruth.com.au/WA/PNG2/Mt_Horner_01_cuttings_cs.png","Mt Horner 01_cuttings_0.25m Bins")</f>
        <v>Mt Horner 01_cuttings_0.25m Bins</v>
      </c>
      <c r="C1050" t="str">
        <f>HYPERLINK("http://www.corstruth.com.au/WA/CSV/Mt_Horner_01_cuttings.csv","Mt Horner 01_cuttings_CSV File 1m Bins")</f>
        <v>Mt Horner 01_cuttings_CSV File 1m Bins</v>
      </c>
      <c r="D1050" t="s">
        <v>1381</v>
      </c>
      <c r="E1050" t="s">
        <v>1</v>
      </c>
      <c r="H1050" t="s">
        <v>1382</v>
      </c>
      <c r="I1050">
        <v>-29.1282</v>
      </c>
      <c r="J1050">
        <v>115.086</v>
      </c>
      <c r="K1050" t="str">
        <f>HYPERLINK("http://geossdi.dmp.wa.gov.au/NVCLDataServices/mosaic.html?datasetid=c448260e-86f0-4242-a37c-c4b10ac5873","Mt Horner 01_cuttings_Core Image")</f>
        <v>Mt Horner 01_cuttings_Core Image</v>
      </c>
    </row>
    <row r="1051" spans="1:11" x14ac:dyDescent="0.25">
      <c r="A1051" t="str">
        <f>HYPERLINK("http://www.corstruth.com.au/WA/Mt_Horner_07_cuttings_cs.png","Mt Horner 07_cuttings_A4")</f>
        <v>Mt Horner 07_cuttings_A4</v>
      </c>
      <c r="B1051" t="str">
        <f>HYPERLINK("http://www.corstruth.com.au/WA/PNG2/Mt_Horner_07_cuttings_cs.png","Mt Horner 07_cuttings_0.25m Bins")</f>
        <v>Mt Horner 07_cuttings_0.25m Bins</v>
      </c>
      <c r="C1051" t="str">
        <f>HYPERLINK("http://www.corstruth.com.au/WA/CSV/Mt_Horner_07_cuttings.csv","Mt Horner 07_cuttings_CSV File 1m Bins")</f>
        <v>Mt Horner 07_cuttings_CSV File 1m Bins</v>
      </c>
      <c r="D1051" t="s">
        <v>1383</v>
      </c>
      <c r="E1051" t="s">
        <v>1</v>
      </c>
      <c r="H1051" t="s">
        <v>1382</v>
      </c>
      <c r="I1051">
        <v>-29.123200000000001</v>
      </c>
      <c r="J1051">
        <v>115.093</v>
      </c>
      <c r="K1051" t="str">
        <f>HYPERLINK("http://geossdi.dmp.wa.gov.au/NVCLDataServices/mosaic.html?datasetid=f2280e50-0edf-4970-98e1-045df4490ee","Mt Horner 07_cuttings_Core Image")</f>
        <v>Mt Horner 07_cuttings_Core Image</v>
      </c>
    </row>
    <row r="1052" spans="1:11" x14ac:dyDescent="0.25">
      <c r="A1052" t="str">
        <f>HYPERLINK("http://www.corstruth.com.au/WA/Mungenooka_1_cuttings_cs.png","Mungenooka 1_cuttings_A4")</f>
        <v>Mungenooka 1_cuttings_A4</v>
      </c>
      <c r="B1052" t="str">
        <f>HYPERLINK("http://www.corstruth.com.au/WA/PNG2/Mungenooka_1_cuttings_cs.png","Mungenooka 1_cuttings_0.25m Bins")</f>
        <v>Mungenooka 1_cuttings_0.25m Bins</v>
      </c>
      <c r="C1052" t="str">
        <f>HYPERLINK("http://www.corstruth.com.au/WA/CSV/Mungenooka_1_cuttings.csv","Mungenooka 1_cuttings_CSV File 1m Bins")</f>
        <v>Mungenooka 1_cuttings_CSV File 1m Bins</v>
      </c>
      <c r="D1052" t="s">
        <v>1384</v>
      </c>
      <c r="E1052" t="s">
        <v>1</v>
      </c>
      <c r="H1052" t="s">
        <v>1385</v>
      </c>
      <c r="I1052">
        <v>-29.390999999999998</v>
      </c>
      <c r="J1052">
        <v>115.214</v>
      </c>
      <c r="K1052" t="str">
        <f>HYPERLINK("http://geossdi.dmp.wa.gov.au/NVCLDataServices/mosaic.html?datasetid=66da0f72-a3e2-4859-bda5-42e7d7cccd1","Mungenooka 1_cuttings_Core Image")</f>
        <v>Mungenooka 1_cuttings_Core Image</v>
      </c>
    </row>
    <row r="1053" spans="1:11" x14ac:dyDescent="0.25">
      <c r="A1053" t="str">
        <f>HYPERLINK("http://www.corstruth.com.au/WA/TDH28_cs.png","TDH28_A4")</f>
        <v>TDH28_A4</v>
      </c>
      <c r="B1053" t="str">
        <f>HYPERLINK("http://www.corstruth.com.au/WA/PNG2/TDH28_cs.png","TDH28_0.25m Bins")</f>
        <v>TDH28_0.25m Bins</v>
      </c>
      <c r="C1053" t="str">
        <f>HYPERLINK("http://www.corstruth.com.au/WA/CSV/TDH28.csv","TDH28_CSV File 1m Bins")</f>
        <v>TDH28_CSV File 1m Bins</v>
      </c>
      <c r="D1053" t="s">
        <v>1386</v>
      </c>
      <c r="E1053" t="s">
        <v>1</v>
      </c>
      <c r="G1053" t="s">
        <v>1387</v>
      </c>
      <c r="H1053" t="s">
        <v>617</v>
      </c>
      <c r="I1053">
        <v>-25.6462</v>
      </c>
      <c r="J1053">
        <v>120.65300000000001</v>
      </c>
      <c r="K1053" t="str">
        <f>HYPERLINK("http://geossdi.dmp.wa.gov.au/NVCLDataServices/mosaic.html?datasetid=758f5a83-ee72-42c5-9b78-40f13811fed","TDH28_Core Image")</f>
        <v>TDH28_Core Image</v>
      </c>
    </row>
    <row r="1054" spans="1:11" x14ac:dyDescent="0.25">
      <c r="A1054" t="str">
        <f>HYPERLINK("http://www.corstruth.com.au/WA/Narlingue_1_cuttings_cs.png","Narlingue 1_cuttings_A4")</f>
        <v>Narlingue 1_cuttings_A4</v>
      </c>
      <c r="B1054" t="str">
        <f>HYPERLINK("http://www.corstruth.com.au/WA/PNG2/Narlingue_1_cuttings_cs.png","Narlingue 1_cuttings_0.25m Bins")</f>
        <v>Narlingue 1_cuttings_0.25m Bins</v>
      </c>
      <c r="C1054" t="str">
        <f>HYPERLINK("http://www.corstruth.com.au/WA/CSV/Narlingue_1_cuttings.csv","Narlingue 1_cuttings_CSV File 1m Bins")</f>
        <v>Narlingue 1_cuttings_CSV File 1m Bins</v>
      </c>
      <c r="D1054" t="s">
        <v>1388</v>
      </c>
      <c r="E1054" t="s">
        <v>1</v>
      </c>
      <c r="H1054" t="s">
        <v>1389</v>
      </c>
      <c r="I1054">
        <v>-29.069299999999998</v>
      </c>
      <c r="J1054">
        <v>115.104</v>
      </c>
      <c r="K1054" t="str">
        <f>HYPERLINK("http://geossdi.dmp.wa.gov.au/NVCLDataServices/mosaic.html?datasetid=d3406277-3b6e-44f1-92cd-54297c5a314","Narlingue 1_cuttings_Core Image")</f>
        <v>Narlingue 1_cuttings_Core Image</v>
      </c>
    </row>
    <row r="1055" spans="1:11" x14ac:dyDescent="0.25">
      <c r="A1055" t="str">
        <f>HYPERLINK("http://www.corstruth.com.au/WA/AHDH0001_cs.png","AHDH0001_A4")</f>
        <v>AHDH0001_A4</v>
      </c>
      <c r="B1055" t="str">
        <f>HYPERLINK("http://www.corstruth.com.au/WA/PNG2/AHDH0001_cs.png","AHDH0001_0.25m Bins")</f>
        <v>AHDH0001_0.25m Bins</v>
      </c>
      <c r="C1055" t="str">
        <f>HYPERLINK("http://www.corstruth.com.au/WA/CSV/AHDH0001.csv","AHDH0001_CSV File 1m Bins")</f>
        <v>AHDH0001_CSV File 1m Bins</v>
      </c>
      <c r="D1055" t="s">
        <v>1390</v>
      </c>
      <c r="E1055" t="s">
        <v>1</v>
      </c>
      <c r="G1055" t="s">
        <v>1391</v>
      </c>
      <c r="H1055" t="s">
        <v>1392</v>
      </c>
      <c r="I1055">
        <v>-26.031700000000001</v>
      </c>
      <c r="J1055">
        <v>116.38200000000001</v>
      </c>
      <c r="K1055" t="str">
        <f>HYPERLINK("http://geossdi.dmp.wa.gov.au/NVCLDataServices/mosaic.html?datasetid=b5670525-770c-49b5-8bbe-ca822f64e2c","AHDH0001_Core Image")</f>
        <v>AHDH0001_Core Image</v>
      </c>
    </row>
    <row r="1056" spans="1:11" x14ac:dyDescent="0.25">
      <c r="A1056" t="str">
        <f>HYPERLINK("http://www.corstruth.com.au/WA/AHDH0008A_cs.png","AHDH0008A_A4")</f>
        <v>AHDH0008A_A4</v>
      </c>
      <c r="B1056" t="str">
        <f>HYPERLINK("http://www.corstruth.com.au/WA/PNG2/AHDH0008A_cs.png","AHDH0008A_0.25m Bins")</f>
        <v>AHDH0008A_0.25m Bins</v>
      </c>
      <c r="C1056" t="str">
        <f>HYPERLINK("http://www.corstruth.com.au/WA/CSV/AHDH0008A.csv","AHDH0008A_CSV File 1m Bins")</f>
        <v>AHDH0008A_CSV File 1m Bins</v>
      </c>
      <c r="D1056" t="s">
        <v>1393</v>
      </c>
      <c r="E1056" t="s">
        <v>1</v>
      </c>
      <c r="G1056" t="s">
        <v>1391</v>
      </c>
      <c r="H1056" t="s">
        <v>1394</v>
      </c>
      <c r="I1056">
        <v>-26.010400000000001</v>
      </c>
      <c r="J1056">
        <v>116.36799999999999</v>
      </c>
      <c r="K1056" t="str">
        <f>HYPERLINK("http://geossdi.dmp.wa.gov.au/NVCLDataServices/mosaic.html?datasetid=d76a2a05-ae92-447f-bb94-a2008335c7d","AHDH0008A_Core Image")</f>
        <v>AHDH0008A_Core Image</v>
      </c>
    </row>
    <row r="1057" spans="1:11" x14ac:dyDescent="0.25">
      <c r="A1057" t="str">
        <f>HYPERLINK("http://www.corstruth.com.au/WA/AHDH0006_cs.png","AHDH0006_A4")</f>
        <v>AHDH0006_A4</v>
      </c>
      <c r="B1057" t="str">
        <f>HYPERLINK("http://www.corstruth.com.au/WA/PNG2/AHDH0006_cs.png","AHDH0006_0.25m Bins")</f>
        <v>AHDH0006_0.25m Bins</v>
      </c>
      <c r="C1057" t="str">
        <f>HYPERLINK("http://www.corstruth.com.au/WA/CSV/AHDH0006.csv","AHDH0006_CSV File 1m Bins")</f>
        <v>AHDH0006_CSV File 1m Bins</v>
      </c>
      <c r="D1057" t="s">
        <v>1395</v>
      </c>
      <c r="E1057" t="s">
        <v>1</v>
      </c>
      <c r="G1057" t="s">
        <v>1391</v>
      </c>
      <c r="H1057" t="s">
        <v>1396</v>
      </c>
      <c r="I1057">
        <v>-26.016999999999999</v>
      </c>
      <c r="J1057">
        <v>116.375</v>
      </c>
      <c r="K1057" t="str">
        <f>HYPERLINK("http://geossdi.dmp.wa.gov.au/NVCLDataServices/mosaic.html?datasetid=9a5071e0-1d03-4ed8-b384-3a4182b364e","AHDH0006_Core Image")</f>
        <v>AHDH0006_Core Image</v>
      </c>
    </row>
    <row r="1058" spans="1:11" x14ac:dyDescent="0.25">
      <c r="A1058" t="str">
        <f>HYPERLINK("http://www.corstruth.com.au/WA/AHDH0007_cs.png","AHDH0007_A4")</f>
        <v>AHDH0007_A4</v>
      </c>
      <c r="B1058" t="str">
        <f>HYPERLINK("http://www.corstruth.com.au/WA/PNG2/AHDH0007_cs.png","AHDH0007_0.25m Bins")</f>
        <v>AHDH0007_0.25m Bins</v>
      </c>
      <c r="C1058" t="str">
        <f>HYPERLINK("http://www.corstruth.com.au/WA/CSV/AHDH0007.csv","AHDH0007_CSV File 1m Bins")</f>
        <v>AHDH0007_CSV File 1m Bins</v>
      </c>
      <c r="D1058" t="s">
        <v>1397</v>
      </c>
      <c r="E1058" t="s">
        <v>1</v>
      </c>
      <c r="G1058" t="s">
        <v>1391</v>
      </c>
      <c r="H1058" t="s">
        <v>1396</v>
      </c>
      <c r="I1058">
        <v>-26.020700000000001</v>
      </c>
      <c r="J1058">
        <v>116.372</v>
      </c>
      <c r="K1058" t="str">
        <f>HYPERLINK("http://geossdi.dmp.wa.gov.au/NVCLDataServices/mosaic.html?datasetid=f178cf64-242d-43e0-b586-a16b805d752","AHDH0007_Core Image")</f>
        <v>AHDH0007_Core Image</v>
      </c>
    </row>
    <row r="1059" spans="1:11" x14ac:dyDescent="0.25">
      <c r="A1059" t="str">
        <f>HYPERLINK("http://www.corstruth.com.au/WA/AHDH0008_cs.png","AHDH0008_A4")</f>
        <v>AHDH0008_A4</v>
      </c>
      <c r="B1059" t="str">
        <f>HYPERLINK("http://www.corstruth.com.au/WA/PNG2/AHDH0008_cs.png","AHDH0008_0.25m Bins")</f>
        <v>AHDH0008_0.25m Bins</v>
      </c>
      <c r="C1059" t="str">
        <f>HYPERLINK("http://www.corstruth.com.au/WA/CSV/AHDH0008.csv","AHDH0008_CSV File 1m Bins")</f>
        <v>AHDH0008_CSV File 1m Bins</v>
      </c>
      <c r="D1059" t="s">
        <v>1398</v>
      </c>
      <c r="E1059" t="s">
        <v>1</v>
      </c>
      <c r="G1059" t="s">
        <v>1391</v>
      </c>
      <c r="H1059" t="s">
        <v>1396</v>
      </c>
      <c r="I1059">
        <v>-26.010400000000001</v>
      </c>
      <c r="J1059">
        <v>116.36799999999999</v>
      </c>
      <c r="K1059" t="str">
        <f>HYPERLINK("http://geossdi.dmp.wa.gov.au/NVCLDataServices/mosaic.html?datasetid=611099b2-7a51-44c2-a5a3-7e651af6c4e","AHDH0008_Core Image")</f>
        <v>AHDH0008_Core Image</v>
      </c>
    </row>
    <row r="1060" spans="1:11" x14ac:dyDescent="0.25">
      <c r="A1060" t="str">
        <f>HYPERLINK("http://www.corstruth.com.au/WA/79-9D1_cs.png","79-9D1_A4")</f>
        <v>79-9D1_A4</v>
      </c>
      <c r="B1060" t="str">
        <f>HYPERLINK("http://www.corstruth.com.au/WA/PNG2/79-9D1_cs.png","79-9D1_0.25m Bins")</f>
        <v>79-9D1_0.25m Bins</v>
      </c>
      <c r="C1060" t="str">
        <f>HYPERLINK("http://www.corstruth.com.au/WA/CSV/79-9D1.csv","79-9D1_CSV File 1m Bins")</f>
        <v>79-9D1_CSV File 1m Bins</v>
      </c>
      <c r="D1060" t="s">
        <v>1399</v>
      </c>
      <c r="E1060" t="s">
        <v>1</v>
      </c>
      <c r="G1060" t="s">
        <v>1400</v>
      </c>
      <c r="H1060" t="s">
        <v>1401</v>
      </c>
      <c r="I1060">
        <v>-17.5627</v>
      </c>
      <c r="J1060">
        <v>124.854</v>
      </c>
      <c r="K1060" t="str">
        <f>HYPERLINK("http://geossdi.dmp.wa.gov.au/NVCLDataServices/mosaic.html?datasetid=569833e7-2949-47a8-ab2f-d5726e41025","79-9D1_Core Image")</f>
        <v>79-9D1_Core Image</v>
      </c>
    </row>
    <row r="1061" spans="1:11" x14ac:dyDescent="0.25">
      <c r="A1061" t="str">
        <f>HYPERLINK("http://www.corstruth.com.au/WA/79-9D2_cs.png","79-9D2_A4")</f>
        <v>79-9D2_A4</v>
      </c>
      <c r="B1061" t="str">
        <f>HYPERLINK("http://www.corstruth.com.au/WA/PNG2/79-9D2_cs.png","79-9D2_0.25m Bins")</f>
        <v>79-9D2_0.25m Bins</v>
      </c>
      <c r="C1061" t="str">
        <f>HYPERLINK("http://www.corstruth.com.au/WA/CSV/79-9D2.csv","79-9D2_CSV File 1m Bins")</f>
        <v>79-9D2_CSV File 1m Bins</v>
      </c>
      <c r="D1061" t="s">
        <v>1402</v>
      </c>
      <c r="E1061" t="s">
        <v>1</v>
      </c>
      <c r="G1061" t="s">
        <v>1400</v>
      </c>
      <c r="H1061" t="s">
        <v>1401</v>
      </c>
      <c r="I1061">
        <v>-17.5627</v>
      </c>
      <c r="J1061">
        <v>124.854</v>
      </c>
      <c r="K1061" t="str">
        <f>HYPERLINK("http://geossdi.dmp.wa.gov.au/NVCLDataServices/mosaic.html?datasetid=55b2fb10-2d0a-47c8-9815-32f6a954365","79-9D2_Core Image")</f>
        <v>79-9D2_Core Image</v>
      </c>
    </row>
    <row r="1062" spans="1:11" x14ac:dyDescent="0.25">
      <c r="A1062" t="str">
        <f>HYPERLINK("http://www.corstruth.com.au/WA/E4DD0803_cs.png","E4DD0803_A4")</f>
        <v>E4DD0803_A4</v>
      </c>
      <c r="B1062" t="str">
        <f>HYPERLINK("http://www.corstruth.com.au/WA/PNG2/E4DD0803_cs.png","E4DD0803_0.25m Bins")</f>
        <v>E4DD0803_0.25m Bins</v>
      </c>
      <c r="C1062" t="str">
        <f>HYPERLINK("http://www.corstruth.com.au/WA/CSV/E4DD0803.csv","E4DD0803_CSV File 1m Bins")</f>
        <v>E4DD0803_CSV File 1m Bins</v>
      </c>
      <c r="D1062" t="s">
        <v>1403</v>
      </c>
      <c r="E1062" t="s">
        <v>1</v>
      </c>
      <c r="G1062" t="s">
        <v>1400</v>
      </c>
      <c r="H1062" t="s">
        <v>1401</v>
      </c>
      <c r="I1062">
        <v>-17.671199999999999</v>
      </c>
      <c r="J1062">
        <v>124.926</v>
      </c>
      <c r="K1062" t="str">
        <f>HYPERLINK("http://geossdi.dmp.wa.gov.au/NVCLDataServices/mosaic.html?datasetid=461e75d0-61a8-4e81-a385-37ce73e9f1a","E4DD0803_Core Image")</f>
        <v>E4DD0803_Core Image</v>
      </c>
    </row>
    <row r="1063" spans="1:11" x14ac:dyDescent="0.25">
      <c r="A1063" t="str">
        <f>HYPERLINK("http://www.corstruth.com.au/WA/E9GT25_cs.png","E9GT25_A4")</f>
        <v>E9GT25_A4</v>
      </c>
      <c r="B1063" t="str">
        <f>HYPERLINK("http://www.corstruth.com.au/WA/PNG2/E9GT25_cs.png","E9GT25_0.25m Bins")</f>
        <v>E9GT25_0.25m Bins</v>
      </c>
      <c r="C1063" t="str">
        <f>HYPERLINK("http://www.corstruth.com.au/WA/CSV/E9GT25.csv","E9GT25_CSV File 1m Bins")</f>
        <v>E9GT25_CSV File 1m Bins</v>
      </c>
      <c r="D1063" t="s">
        <v>1404</v>
      </c>
      <c r="E1063" t="s">
        <v>1</v>
      </c>
      <c r="G1063" t="s">
        <v>1400</v>
      </c>
      <c r="H1063" t="s">
        <v>1401</v>
      </c>
      <c r="I1063">
        <v>-17.564299999999999</v>
      </c>
      <c r="J1063">
        <v>124.858</v>
      </c>
      <c r="K1063" t="str">
        <f>HYPERLINK("http://geossdi.dmp.wa.gov.au/NVCLDataServices/mosaic.html?datasetid=191e62ce-c67d-47d3-98c8-881302b8adf","E9GT25_Core Image")</f>
        <v>E9GT25_Core Image</v>
      </c>
    </row>
    <row r="1064" spans="1:11" x14ac:dyDescent="0.25">
      <c r="A1064" t="str">
        <f>HYPERLINK("http://www.corstruth.com.au/WA/North_Erregulla_1_cuttings_cs.png","North Erregulla 1_cuttings_A4")</f>
        <v>North Erregulla 1_cuttings_A4</v>
      </c>
      <c r="B1064" t="str">
        <f>HYPERLINK("http://www.corstruth.com.au/WA/PNG2/North_Erregulla_1_cuttings_cs.png","North Erregulla 1_cuttings_0.25m Bins")</f>
        <v>North Erregulla 1_cuttings_0.25m Bins</v>
      </c>
      <c r="C1064" t="str">
        <f>HYPERLINK("http://www.corstruth.com.au/WA/CSV/North_Erregulla_1_cuttings.csv","North Erregulla 1_cuttings_CSV File 1m Bins")</f>
        <v>North Erregulla 1_cuttings_CSV File 1m Bins</v>
      </c>
      <c r="D1064" t="s">
        <v>1405</v>
      </c>
      <c r="E1064" t="s">
        <v>1</v>
      </c>
      <c r="H1064" t="s">
        <v>1406</v>
      </c>
      <c r="I1064">
        <v>-29.244299999999999</v>
      </c>
      <c r="J1064">
        <v>115.328</v>
      </c>
      <c r="K1064" t="str">
        <f>HYPERLINK("http://geossdi.dmp.wa.gov.au/NVCLDataServices/mosaic.html?datasetid=573d5ded-7f13-4167-b22d-fee70d50527","North Erregulla 1_cuttings_Core Image")</f>
        <v>North Erregulla 1_cuttings_Core Image</v>
      </c>
    </row>
    <row r="1065" spans="1:11" x14ac:dyDescent="0.25">
      <c r="A1065" t="str">
        <f>HYPERLINK("http://www.corstruth.com.au/WA/BRAD0001_cs.png","BRAD0001_A4")</f>
        <v>BRAD0001_A4</v>
      </c>
      <c r="B1065" t="str">
        <f>HYPERLINK("http://www.corstruth.com.au/WA/PNG2/BRAD0001_cs.png","BRAD0001_0.25m Bins")</f>
        <v>BRAD0001_0.25m Bins</v>
      </c>
      <c r="C1065" t="str">
        <f>HYPERLINK("http://www.corstruth.com.au/WA/CSV/BRAD0001.csv","BRAD0001_CSV File 1m Bins")</f>
        <v>BRAD0001_CSV File 1m Bins</v>
      </c>
      <c r="D1065" t="s">
        <v>59</v>
      </c>
      <c r="E1065" t="s">
        <v>1</v>
      </c>
      <c r="G1065" t="s">
        <v>1407</v>
      </c>
      <c r="H1065" t="s">
        <v>1408</v>
      </c>
      <c r="I1065">
        <v>-18.9025</v>
      </c>
      <c r="J1065">
        <v>128.92500000000001</v>
      </c>
      <c r="K1065" t="str">
        <f>HYPERLINK("http://geossdi.dmp.wa.gov.au/NVCLDataServices/mosaic.html?datasetid=df61fc4d-de9f-4f6d-8b76-9f67a6d2329","BRAD0001_Core Image")</f>
        <v>BRAD0001_Core Image</v>
      </c>
    </row>
    <row r="1066" spans="1:11" x14ac:dyDescent="0.25">
      <c r="A1066" t="str">
        <f>HYPERLINK("http://www.corstruth.com.au/WA/BRGD001_cs.png","BRGD001_A4")</f>
        <v>BRGD001_A4</v>
      </c>
      <c r="B1066" t="str">
        <f>HYPERLINK("http://www.corstruth.com.au/WA/PNG2/BRGD001_cs.png","BRGD001_0.25m Bins")</f>
        <v>BRGD001_0.25m Bins</v>
      </c>
      <c r="C1066" t="str">
        <f>HYPERLINK("http://www.corstruth.com.au/WA/CSV/BRGD001.csv","BRGD001_CSV File 1m Bins")</f>
        <v>BRGD001_CSV File 1m Bins</v>
      </c>
      <c r="D1066" t="s">
        <v>59</v>
      </c>
      <c r="E1066" t="s">
        <v>1</v>
      </c>
      <c r="G1066" t="s">
        <v>1407</v>
      </c>
      <c r="H1066" t="s">
        <v>1409</v>
      </c>
      <c r="I1066">
        <v>-18.867799999999999</v>
      </c>
      <c r="J1066">
        <v>128.94300000000001</v>
      </c>
      <c r="K1066" t="str">
        <f>HYPERLINK("http://geossdi.dmp.wa.gov.au/NVCLDataServices/mosaic.html?datasetid=1ef7c11e-6356-4dc5-bafc-5551b0ea2c7","BRGD001_Core Image")</f>
        <v>BRGD001_Core Image</v>
      </c>
    </row>
    <row r="1067" spans="1:11" x14ac:dyDescent="0.25">
      <c r="A1067" t="str">
        <f>HYPERLINK("http://www.corstruth.com.au/WA/BRWD0014_cs.png","BRWD0014_A4")</f>
        <v>BRWD0014_A4</v>
      </c>
      <c r="B1067" t="str">
        <f>HYPERLINK("http://www.corstruth.com.au/WA/PNG2/BRWD0014_cs.png","BRWD0014_0.25m Bins")</f>
        <v>BRWD0014_0.25m Bins</v>
      </c>
      <c r="C1067" t="str">
        <f>HYPERLINK("http://www.corstruth.com.au/WA/CSV/BRWD0014.csv","BRWD0014_CSV File 1m Bins")</f>
        <v>BRWD0014_CSV File 1m Bins</v>
      </c>
      <c r="D1067" t="s">
        <v>59</v>
      </c>
      <c r="E1067" t="s">
        <v>1</v>
      </c>
      <c r="G1067" t="s">
        <v>1407</v>
      </c>
      <c r="H1067" t="s">
        <v>1410</v>
      </c>
      <c r="I1067">
        <v>-18.859000000000002</v>
      </c>
      <c r="J1067">
        <v>128.94</v>
      </c>
      <c r="K1067" t="str">
        <f>HYPERLINK("http://geossdi.dmp.wa.gov.au/NVCLDataServices/mosaic.html?datasetid=ffd512b2-bb32-4f5d-9916-c620d4f4d9a","BRWD0014_Core Image")</f>
        <v>BRWD0014_Core Image</v>
      </c>
    </row>
    <row r="1068" spans="1:11" x14ac:dyDescent="0.25">
      <c r="A1068" t="str">
        <f>HYPERLINK("http://www.corstruth.com.au/WA/BRWD0018_cs.png","BRWD0018_A4")</f>
        <v>BRWD0018_A4</v>
      </c>
      <c r="B1068" t="str">
        <f>HYPERLINK("http://www.corstruth.com.au/WA/PNG2/BRWD0018_cs.png","BRWD0018_0.25m Bins")</f>
        <v>BRWD0018_0.25m Bins</v>
      </c>
      <c r="C1068" t="str">
        <f>HYPERLINK("http://www.corstruth.com.au/WA/CSV/BRWD0018.csv","BRWD0018_CSV File 1m Bins")</f>
        <v>BRWD0018_CSV File 1m Bins</v>
      </c>
      <c r="D1068" t="s">
        <v>59</v>
      </c>
      <c r="E1068" t="s">
        <v>1</v>
      </c>
      <c r="G1068" t="s">
        <v>1407</v>
      </c>
      <c r="H1068" t="s">
        <v>1410</v>
      </c>
      <c r="I1068">
        <v>-18.858799999999999</v>
      </c>
      <c r="J1068">
        <v>128.941</v>
      </c>
      <c r="K1068" t="str">
        <f>HYPERLINK("http://geossdi.dmp.wa.gov.au/NVCLDataServices/mosaic.html?datasetid=979df5bd-b0d6-465d-91c7-eb4710e5bd1","BRWD0018_Core Image")</f>
        <v>BRWD0018_Core Image</v>
      </c>
    </row>
    <row r="1069" spans="1:11" x14ac:dyDescent="0.25">
      <c r="A1069" t="str">
        <f>HYPERLINK("http://www.corstruth.com.au/WA/BRWD0019_cs.png","BRWD0019_A4")</f>
        <v>BRWD0019_A4</v>
      </c>
      <c r="B1069" t="str">
        <f>HYPERLINK("http://www.corstruth.com.au/WA/PNG2/BRWD0019_cs.png","BRWD0019_0.25m Bins")</f>
        <v>BRWD0019_0.25m Bins</v>
      </c>
      <c r="C1069" t="str">
        <f>HYPERLINK("http://www.corstruth.com.au/WA/CSV/BRWD0019.csv","BRWD0019_CSV File 1m Bins")</f>
        <v>BRWD0019_CSV File 1m Bins</v>
      </c>
      <c r="D1069" t="s">
        <v>1411</v>
      </c>
      <c r="E1069" t="s">
        <v>1</v>
      </c>
      <c r="G1069" t="s">
        <v>1407</v>
      </c>
      <c r="H1069" t="s">
        <v>1410</v>
      </c>
      <c r="I1069">
        <v>-18.8584</v>
      </c>
      <c r="J1069">
        <v>128.94</v>
      </c>
      <c r="K1069" t="str">
        <f>HYPERLINK("http://geossdi.dmp.wa.gov.au/NVCLDataServices/mosaic.html?datasetid=e6038d9c-a3d7-4042-a49a-bb04efa432f","BRWD0019_Core Image")</f>
        <v>BRWD0019_Core Image</v>
      </c>
    </row>
    <row r="1070" spans="1:11" x14ac:dyDescent="0.25">
      <c r="A1070" t="str">
        <f>HYPERLINK("http://www.corstruth.com.au/WA/NMBRDD0006_cs.png","NMBRDD0006_A4")</f>
        <v>NMBRDD0006_A4</v>
      </c>
      <c r="B1070" t="str">
        <f>HYPERLINK("http://www.corstruth.com.au/WA/PNG2/NMBRDD0006_cs.png","NMBRDD0006_0.25m Bins")</f>
        <v>NMBRDD0006_0.25m Bins</v>
      </c>
      <c r="C1070" t="str">
        <f>HYPERLINK("http://www.corstruth.com.au/WA/CSV/NMBRDD0006.csv","NMBRDD0006_CSV File 1m Bins")</f>
        <v>NMBRDD0006_CSV File 1m Bins</v>
      </c>
      <c r="D1070" t="s">
        <v>59</v>
      </c>
      <c r="E1070" t="s">
        <v>1</v>
      </c>
      <c r="G1070" t="s">
        <v>1407</v>
      </c>
      <c r="H1070" t="s">
        <v>1410</v>
      </c>
      <c r="I1070">
        <v>-18.858899999999998</v>
      </c>
      <c r="J1070">
        <v>128.93899999999999</v>
      </c>
      <c r="K1070" t="str">
        <f>HYPERLINK("http://geossdi.dmp.wa.gov.au/NVCLDataServices/mosaic.html?datasetid=f489930a-c876-4938-80d3-78d3683f1e1","NMBRDD0006_Core Image")</f>
        <v>NMBRDD0006_Core Image</v>
      </c>
    </row>
    <row r="1071" spans="1:11" x14ac:dyDescent="0.25">
      <c r="A1071" t="str">
        <f>HYPERLINK("http://www.corstruth.com.au/WA/North_Yardarino_1_cuttings_cs.png","North Yardarino 1_cuttings_A4")</f>
        <v>North Yardarino 1_cuttings_A4</v>
      </c>
      <c r="B1071" t="str">
        <f>HYPERLINK("http://www.corstruth.com.au/WA/PNG2/North_Yardarino_1_cuttings_cs.png","North Yardarino 1_cuttings_0.25m Bins")</f>
        <v>North Yardarino 1_cuttings_0.25m Bins</v>
      </c>
      <c r="C1071" t="str">
        <f>HYPERLINK("http://www.corstruth.com.au/WA/CSV/North_Yardarino_1_cuttings.csv","North Yardarino 1_cuttings_CSV File 1m Bins")</f>
        <v>North Yardarino 1_cuttings_CSV File 1m Bins</v>
      </c>
      <c r="D1071" t="s">
        <v>1412</v>
      </c>
      <c r="E1071" t="s">
        <v>1</v>
      </c>
      <c r="H1071" t="s">
        <v>1413</v>
      </c>
      <c r="I1071">
        <v>-29.188700000000001</v>
      </c>
      <c r="J1071">
        <v>115.041</v>
      </c>
      <c r="K1071" t="str">
        <f>HYPERLINK("http://geossdi.dmp.wa.gov.au/NVCLDataServices/mosaic.html?datasetid=ce399d2b-ed3b-4a71-90af-82260ea39d7","North Yardarino 1_cuttings_Core Image")</f>
        <v>North Yardarino 1_cuttings_Core Image</v>
      </c>
    </row>
    <row r="1072" spans="1:11" x14ac:dyDescent="0.25">
      <c r="A1072" t="str">
        <f>HYPERLINK("http://www.corstruth.com.au/WA/Laminaria_East_1_cs.png","Laminaria East 1_A4")</f>
        <v>Laminaria East 1_A4</v>
      </c>
      <c r="B1072" t="str">
        <f>HYPERLINK("http://www.corstruth.com.au/WA/PNG2/Laminaria_East_1_cs.png","Laminaria East 1_0.25m Bins")</f>
        <v>Laminaria East 1_0.25m Bins</v>
      </c>
      <c r="C1072" t="str">
        <f>HYPERLINK("http://www.corstruth.com.au/WA/CSV/Laminaria_East_1.csv","Laminaria East 1_CSV File 1m Bins")</f>
        <v>Laminaria East 1_CSV File 1m Bins</v>
      </c>
      <c r="D1072" t="s">
        <v>1414</v>
      </c>
      <c r="E1072" t="s">
        <v>1</v>
      </c>
      <c r="G1072" t="s">
        <v>1415</v>
      </c>
      <c r="H1072" t="s">
        <v>1416</v>
      </c>
      <c r="I1072">
        <v>-10.632099999999999</v>
      </c>
      <c r="J1072">
        <v>126.051</v>
      </c>
      <c r="K1072" t="str">
        <f>HYPERLINK("http://geossdi.dmp.wa.gov.au/NVCLDataServices/mosaic.html?datasetid=f031f54b-e1e7-427b-9abf-5bbc5ba4bc2","Laminaria East 1_Core Image")</f>
        <v>Laminaria East 1_Core Image</v>
      </c>
    </row>
    <row r="1073" spans="1:11" x14ac:dyDescent="0.25">
      <c r="A1073" t="str">
        <f>HYPERLINK("http://www.corstruth.com.au/WA/Turtle_1_cs.png","Turtle 1_A4")</f>
        <v>Turtle 1_A4</v>
      </c>
      <c r="B1073" t="str">
        <f>HYPERLINK("http://www.corstruth.com.au/WA/PNG2/Turtle_1_cs.png","Turtle 1_0.25m Bins")</f>
        <v>Turtle 1_0.25m Bins</v>
      </c>
      <c r="C1073" t="str">
        <f>HYPERLINK("http://www.corstruth.com.au/WA/CSV/Turtle_1.csv","Turtle 1_CSV File 1m Bins")</f>
        <v>Turtle 1_CSV File 1m Bins</v>
      </c>
      <c r="D1073" t="s">
        <v>1417</v>
      </c>
      <c r="E1073" t="s">
        <v>1</v>
      </c>
      <c r="G1073" t="s">
        <v>1415</v>
      </c>
      <c r="H1073" t="s">
        <v>1418</v>
      </c>
      <c r="I1073">
        <v>-14.475199999999999</v>
      </c>
      <c r="J1073">
        <v>128.946</v>
      </c>
      <c r="K1073" t="str">
        <f>HYPERLINK("http://geossdi.dmp.wa.gov.au/NVCLDataServices/mosaic.html?datasetid=8b5a62c8-dd6a-469b-a4a7-f61e1caf8bb","Turtle 1_Core Image")</f>
        <v>Turtle 1_Core Image</v>
      </c>
    </row>
    <row r="1074" spans="1:11" x14ac:dyDescent="0.25">
      <c r="A1074" t="str">
        <f>HYPERLINK("http://www.corstruth.com.au/WA/Io_2_cs.png","Io 2_A4")</f>
        <v>Io 2_A4</v>
      </c>
      <c r="B1074" t="str">
        <f>HYPERLINK("http://www.corstruth.com.au/WA/PNG2/Io_2_cs.png","Io 2_0.25m Bins")</f>
        <v>Io 2_0.25m Bins</v>
      </c>
      <c r="C1074" t="str">
        <f>HYPERLINK("http://www.corstruth.com.au/WA/CSV/Io_2.csv","Io 2_CSV File 1m Bins")</f>
        <v>Io 2_CSV File 1m Bins</v>
      </c>
      <c r="D1074" t="s">
        <v>1419</v>
      </c>
      <c r="E1074" t="s">
        <v>1</v>
      </c>
      <c r="G1074" t="s">
        <v>1420</v>
      </c>
      <c r="H1074" t="s">
        <v>1421</v>
      </c>
      <c r="I1074">
        <v>-19.918299999999999</v>
      </c>
      <c r="J1074">
        <v>114.428</v>
      </c>
      <c r="K1074" t="str">
        <f>HYPERLINK("http://geossdi.dmp.wa.gov.au/NVCLDataServices/mosaic.html?datasetid=c5cd695e-5f63-4e39-b66b-d9468db0ec1","Io 2_Core Image")</f>
        <v>Io 2_Core Image</v>
      </c>
    </row>
    <row r="1075" spans="1:11" x14ac:dyDescent="0.25">
      <c r="A1075" t="str">
        <f>HYPERLINK("http://www.corstruth.com.au/WA/Jansz_4_cs.png","Jansz 4_A4")</f>
        <v>Jansz 4_A4</v>
      </c>
      <c r="B1075" t="str">
        <f>HYPERLINK("http://www.corstruth.com.au/WA/PNG2/Jansz_4_cs.png","Jansz 4_0.25m Bins")</f>
        <v>Jansz 4_0.25m Bins</v>
      </c>
      <c r="C1075" t="str">
        <f>HYPERLINK("http://www.corstruth.com.au/WA/CSV/Jansz_4.csv","Jansz 4_CSV File 1m Bins")</f>
        <v>Jansz 4_CSV File 1m Bins</v>
      </c>
      <c r="D1075" t="s">
        <v>1422</v>
      </c>
      <c r="E1075" t="s">
        <v>1</v>
      </c>
      <c r="G1075" t="s">
        <v>1420</v>
      </c>
      <c r="H1075" t="s">
        <v>1423</v>
      </c>
      <c r="I1075">
        <v>-19.852499999999999</v>
      </c>
      <c r="J1075">
        <v>114.514</v>
      </c>
      <c r="K1075" t="str">
        <f>HYPERLINK("http://geossdi.dmp.wa.gov.au/NVCLDataServices/mosaic.html?datasetid=2ab0dbad-5c2d-4541-882b-a37903a94bd","Jansz 4_Core Image")</f>
        <v>Jansz 4_Core Image</v>
      </c>
    </row>
    <row r="1076" spans="1:11" x14ac:dyDescent="0.25">
      <c r="A1076" t="str">
        <f>HYPERLINK("http://www.corstruth.com.au/WA/Io_1_cs.png","Io 1_A4")</f>
        <v>Io 1_A4</v>
      </c>
      <c r="B1076" t="str">
        <f>HYPERLINK("http://www.corstruth.com.au/WA/PNG2/Io_1_cs.png","Io 1_0.25m Bins")</f>
        <v>Io 1_0.25m Bins</v>
      </c>
      <c r="C1076" t="str">
        <f>HYPERLINK("http://www.corstruth.com.au/WA/CSV/Io_1.csv","Io 1_CSV File 1m Bins")</f>
        <v>Io 1_CSV File 1m Bins</v>
      </c>
      <c r="D1076" t="s">
        <v>1424</v>
      </c>
      <c r="E1076" t="s">
        <v>1</v>
      </c>
      <c r="G1076" t="s">
        <v>1425</v>
      </c>
      <c r="H1076" t="s">
        <v>1421</v>
      </c>
      <c r="I1076">
        <v>-19.785499999999999</v>
      </c>
      <c r="J1076">
        <v>114.637</v>
      </c>
      <c r="K1076" t="str">
        <f>HYPERLINK("http://geossdi.dmp.wa.gov.au/NVCLDataServices/mosaic.html?datasetid=f5089b42-3a88-42c8-8484-8c1b5523cf6","Io 1_Core Image")</f>
        <v>Io 1_Core Image</v>
      </c>
    </row>
    <row r="1077" spans="1:11" x14ac:dyDescent="0.25">
      <c r="A1077" t="str">
        <f>HYPERLINK("http://www.corstruth.com.au/WA/Jansz_3_cs.png","Jansz 3_A4")</f>
        <v>Jansz 3_A4</v>
      </c>
      <c r="B1077" t="str">
        <f>HYPERLINK("http://www.corstruth.com.au/WA/PNG2/Jansz_3_cs.png","Jansz 3_0.25m Bins")</f>
        <v>Jansz 3_0.25m Bins</v>
      </c>
      <c r="C1077" t="str">
        <f>HYPERLINK("http://www.corstruth.com.au/WA/CSV/Jansz_3.csv","Jansz 3_CSV File 1m Bins")</f>
        <v>Jansz 3_CSV File 1m Bins</v>
      </c>
      <c r="D1077" t="s">
        <v>1426</v>
      </c>
      <c r="E1077" t="s">
        <v>1</v>
      </c>
      <c r="G1077" t="s">
        <v>1425</v>
      </c>
      <c r="H1077" t="s">
        <v>1423</v>
      </c>
      <c r="I1077">
        <v>-19.8202</v>
      </c>
      <c r="J1077">
        <v>114.578</v>
      </c>
      <c r="K1077" t="str">
        <f>HYPERLINK("http://geossdi.dmp.wa.gov.au/NVCLDataServices/mosaic.html?datasetid=9b6bd0c8-e780-4acd-ad0b-7b7a58c2120","Jansz 3_Core Image")</f>
        <v>Jansz 3_Core Image</v>
      </c>
    </row>
    <row r="1078" spans="1:11" x14ac:dyDescent="0.25">
      <c r="A1078" t="str">
        <f>HYPERLINK("http://www.corstruth.com.au/WA/Bluebell_1_cs.png","Bluebell 1_A4")</f>
        <v>Bluebell 1_A4</v>
      </c>
      <c r="B1078" t="str">
        <f>HYPERLINK("http://www.corstruth.com.au/WA/PNG2/Bluebell_1_cs.png","Bluebell 1_0.25m Bins")</f>
        <v>Bluebell 1_0.25m Bins</v>
      </c>
      <c r="C1078" t="str">
        <f>HYPERLINK("http://www.corstruth.com.au/WA/CSV/Bluebell_1.csv","Bluebell 1_CSV File 1m Bins")</f>
        <v>Bluebell 1_CSV File 1m Bins</v>
      </c>
      <c r="D1078" t="s">
        <v>1427</v>
      </c>
      <c r="E1078" t="s">
        <v>1</v>
      </c>
      <c r="G1078" t="s">
        <v>1428</v>
      </c>
      <c r="H1078" t="s">
        <v>1429</v>
      </c>
      <c r="I1078">
        <v>-20.257000000000001</v>
      </c>
      <c r="J1078">
        <v>114.953</v>
      </c>
      <c r="K1078" t="str">
        <f>HYPERLINK("http://geossdi.dmp.wa.gov.au/NVCLDataServices/mosaic.html?datasetid=6f500c31-9339-4e4f-9132-cd238f37e47","Bluebell 1_Core Image")</f>
        <v>Bluebell 1_Core Image</v>
      </c>
    </row>
    <row r="1079" spans="1:11" x14ac:dyDescent="0.25">
      <c r="A1079" t="str">
        <f>HYPERLINK("http://www.corstruth.com.au/WA/Central_Gorgon_1_cs.png","Central Gorgon 1_A4")</f>
        <v>Central Gorgon 1_A4</v>
      </c>
      <c r="B1079" t="str">
        <f>HYPERLINK("http://www.corstruth.com.au/WA/PNG2/Central_Gorgon_1_cs.png","Central Gorgon 1_0.25m Bins")</f>
        <v>Central Gorgon 1_0.25m Bins</v>
      </c>
      <c r="C1079" t="str">
        <f>HYPERLINK("http://www.corstruth.com.au/WA/CSV/Central_Gorgon_1.csv","Central Gorgon 1_CSV File 1m Bins")</f>
        <v>Central Gorgon 1_CSV File 1m Bins</v>
      </c>
      <c r="D1079" t="s">
        <v>1430</v>
      </c>
      <c r="E1079" t="s">
        <v>1</v>
      </c>
      <c r="G1079" t="s">
        <v>1428</v>
      </c>
      <c r="H1079" t="s">
        <v>1431</v>
      </c>
      <c r="I1079">
        <v>-20.468</v>
      </c>
      <c r="J1079">
        <v>114.81100000000001</v>
      </c>
      <c r="K1079" t="str">
        <f>HYPERLINK("http://geossdi.dmp.wa.gov.au/NVCLDataServices/mosaic.html?datasetid=b14c65f7-6be2-4054-b590-6281e916b08","Central Gorgon 1_Core Image")</f>
        <v>Central Gorgon 1_Core Image</v>
      </c>
    </row>
    <row r="1080" spans="1:11" x14ac:dyDescent="0.25">
      <c r="A1080" t="str">
        <f>HYPERLINK("http://www.corstruth.com.au/WA/Chandon_2_cs.png","Chandon 2_A4")</f>
        <v>Chandon 2_A4</v>
      </c>
      <c r="B1080" t="str">
        <f>HYPERLINK("http://www.corstruth.com.au/WA/PNG2/Chandon_2_cs.png","Chandon 2_0.25m Bins")</f>
        <v>Chandon 2_0.25m Bins</v>
      </c>
      <c r="C1080" t="str">
        <f>HYPERLINK("http://www.corstruth.com.au/WA/CSV/Chandon_2.csv","Chandon 2_CSV File 1m Bins")</f>
        <v>Chandon 2_CSV File 1m Bins</v>
      </c>
      <c r="D1080" t="s">
        <v>1432</v>
      </c>
      <c r="E1080" t="s">
        <v>1</v>
      </c>
      <c r="G1080" t="s">
        <v>1428</v>
      </c>
      <c r="H1080" t="s">
        <v>1433</v>
      </c>
      <c r="I1080">
        <v>-19.549700000000001</v>
      </c>
      <c r="J1080">
        <v>114.13</v>
      </c>
      <c r="K1080" t="str">
        <f>HYPERLINK("http://geossdi.dmp.wa.gov.au/NVCLDataServices/mosaic.html?datasetid=e775e4f2-41df-4412-812d-3647f982ef6","Chandon 2_Core Image")</f>
        <v>Chandon 2_Core Image</v>
      </c>
    </row>
    <row r="1081" spans="1:11" x14ac:dyDescent="0.25">
      <c r="A1081" t="str">
        <f>HYPERLINK("http://www.corstruth.com.au/WA/Clio_2_cs.png","Clio 2_A4")</f>
        <v>Clio 2_A4</v>
      </c>
      <c r="B1081" t="str">
        <f>HYPERLINK("http://www.corstruth.com.au/WA/PNG2/Clio_2_cs.png","Clio 2_0.25m Bins")</f>
        <v>Clio 2_0.25m Bins</v>
      </c>
      <c r="C1081" t="str">
        <f>HYPERLINK("http://www.corstruth.com.au/WA/CSV/Clio_2.csv","Clio 2_CSV File 1m Bins")</f>
        <v>Clio 2_CSV File 1m Bins</v>
      </c>
      <c r="D1081" t="s">
        <v>1434</v>
      </c>
      <c r="E1081" t="s">
        <v>1</v>
      </c>
      <c r="G1081" t="s">
        <v>1428</v>
      </c>
      <c r="H1081" t="s">
        <v>1435</v>
      </c>
      <c r="I1081">
        <v>-20.365400000000001</v>
      </c>
      <c r="J1081">
        <v>114.657</v>
      </c>
      <c r="K1081" t="str">
        <f>HYPERLINK("http://geossdi.dmp.wa.gov.au/NVCLDataServices/mosaic.html?datasetid=c327456e-b44a-42fb-88a8-97fdc1a5c07","Clio 2_Core Image")</f>
        <v>Clio 2_Core Image</v>
      </c>
    </row>
    <row r="1082" spans="1:11" x14ac:dyDescent="0.25">
      <c r="A1082" t="str">
        <f>HYPERLINK("http://www.corstruth.com.au/WA/Dockrell_2_cs.png","Dockrell 2_A4")</f>
        <v>Dockrell 2_A4</v>
      </c>
      <c r="B1082" t="str">
        <f>HYPERLINK("http://www.corstruth.com.au/WA/PNG2/Dockrell_2_cs.png","Dockrell 2_0.25m Bins")</f>
        <v>Dockrell 2_0.25m Bins</v>
      </c>
      <c r="C1082" t="str">
        <f>HYPERLINK("http://www.corstruth.com.au/WA/CSV/Dockrell_2.csv","Dockrell 2_CSV File 1m Bins")</f>
        <v>Dockrell 2_CSV File 1m Bins</v>
      </c>
      <c r="D1082" t="s">
        <v>1436</v>
      </c>
      <c r="E1082" t="s">
        <v>1</v>
      </c>
      <c r="G1082" t="s">
        <v>1428</v>
      </c>
      <c r="H1082" t="s">
        <v>1437</v>
      </c>
      <c r="I1082">
        <v>-19.722899999999999</v>
      </c>
      <c r="J1082">
        <v>115.822</v>
      </c>
      <c r="K1082" t="str">
        <f>HYPERLINK("http://geossdi.dmp.wa.gov.au/NVCLDataServices/mosaic.html?datasetid=85cf9ed1-db0c-47bc-aa58-d6656fb3cf2","Dockrell 2_Core Image")</f>
        <v>Dockrell 2_Core Image</v>
      </c>
    </row>
    <row r="1083" spans="1:11" x14ac:dyDescent="0.25">
      <c r="A1083" t="str">
        <f>HYPERLINK("http://www.corstruth.com.au/WA/Goodwyn_05_cs.png","Goodwyn 05_A4")</f>
        <v>Goodwyn 05_A4</v>
      </c>
      <c r="B1083" t="str">
        <f>HYPERLINK("http://www.corstruth.com.au/WA/PNG2/Goodwyn_05_cs.png","Goodwyn 05_0.25m Bins")</f>
        <v>Goodwyn 05_0.25m Bins</v>
      </c>
      <c r="C1083" t="str">
        <f>HYPERLINK("http://www.corstruth.com.au/WA/CSV/Goodwyn_05.csv","Goodwyn 05_CSV File 1m Bins")</f>
        <v>Goodwyn 05_CSV File 1m Bins</v>
      </c>
      <c r="D1083" t="s">
        <v>1438</v>
      </c>
      <c r="E1083" t="s">
        <v>1</v>
      </c>
      <c r="G1083" t="s">
        <v>1428</v>
      </c>
      <c r="H1083" t="s">
        <v>1439</v>
      </c>
      <c r="I1083">
        <v>-19.677</v>
      </c>
      <c r="J1083">
        <v>115.89700000000001</v>
      </c>
      <c r="K1083" t="str">
        <f>HYPERLINK("http://geossdi.dmp.wa.gov.au/NVCLDataServices/mosaic.html?datasetid=a8ce949a-02e9-47e6-aca5-d6619af9af7","Goodwyn 05_Core Image")</f>
        <v>Goodwyn 05_Core Image</v>
      </c>
    </row>
    <row r="1084" spans="1:11" x14ac:dyDescent="0.25">
      <c r="A1084" t="str">
        <f>HYPERLINK("http://www.corstruth.com.au/WA/Goodwyn_06_cs.png","Goodwyn 06_A4")</f>
        <v>Goodwyn 06_A4</v>
      </c>
      <c r="B1084" t="str">
        <f>HYPERLINK("http://www.corstruth.com.au/WA/PNG2/Goodwyn_06_cs.png","Goodwyn 06_0.25m Bins")</f>
        <v>Goodwyn 06_0.25m Bins</v>
      </c>
      <c r="C1084" t="str">
        <f>HYPERLINK("http://www.corstruth.com.au/WA/CSV/Goodwyn_06.csv","Goodwyn 06_CSV File 1m Bins")</f>
        <v>Goodwyn 06_CSV File 1m Bins</v>
      </c>
      <c r="D1084" t="s">
        <v>1440</v>
      </c>
      <c r="E1084" t="s">
        <v>1</v>
      </c>
      <c r="G1084" t="s">
        <v>1428</v>
      </c>
      <c r="H1084" t="s">
        <v>1439</v>
      </c>
      <c r="I1084">
        <v>-19.721900000000002</v>
      </c>
      <c r="J1084">
        <v>115.855</v>
      </c>
      <c r="K1084" t="str">
        <f>HYPERLINK("http://geossdi.dmp.wa.gov.au/NVCLDataServices/mosaic.html?datasetid=765a1a42-ca27-49ba-9382-8874dc3feb5","Goodwyn 06_Core Image")</f>
        <v>Goodwyn 06_Core Image</v>
      </c>
    </row>
    <row r="1085" spans="1:11" x14ac:dyDescent="0.25">
      <c r="A1085" t="str">
        <f>HYPERLINK("http://www.corstruth.com.au/WA/Gorgon_1_cs.png","Gorgon 1_A4")</f>
        <v>Gorgon 1_A4</v>
      </c>
      <c r="B1085" t="str">
        <f>HYPERLINK("http://www.corstruth.com.au/WA/PNG2/Gorgon_1_cs.png","Gorgon 1_0.25m Bins")</f>
        <v>Gorgon 1_0.25m Bins</v>
      </c>
      <c r="C1085" t="str">
        <f>HYPERLINK("http://www.corstruth.com.au/WA/CSV/Gorgon_1.csv","Gorgon 1_CSV File 1m Bins")</f>
        <v>Gorgon 1_CSV File 1m Bins</v>
      </c>
      <c r="D1085" t="s">
        <v>1441</v>
      </c>
      <c r="E1085" t="s">
        <v>1</v>
      </c>
      <c r="G1085" t="s">
        <v>1428</v>
      </c>
      <c r="H1085" t="s">
        <v>1442</v>
      </c>
      <c r="I1085">
        <v>-20.577300000000001</v>
      </c>
      <c r="J1085">
        <v>114.774</v>
      </c>
      <c r="K1085" t="str">
        <f>HYPERLINK("http://geossdi.dmp.wa.gov.au/NVCLDataServices/mosaic.html?datasetid=dc2a6cf1-61f4-4a22-b3bf-2232841fd29","Gorgon 1_Core Image")</f>
        <v>Gorgon 1_Core Image</v>
      </c>
    </row>
    <row r="1086" spans="1:11" x14ac:dyDescent="0.25">
      <c r="A1086" t="str">
        <f>HYPERLINK("http://www.corstruth.com.au/WA/OND1_cs.png","OND1_A4")</f>
        <v>OND1_A4</v>
      </c>
      <c r="B1086" t="str">
        <f>HYPERLINK("http://www.corstruth.com.au/WA/PNG2/OND1_cs.png","OND1_0.25m Bins")</f>
        <v>OND1_0.25m Bins</v>
      </c>
      <c r="C1086" t="str">
        <f>HYPERLINK("http://www.corstruth.com.au/WA/CSV/OND1.csv","OND1_CSV File 1m Bins")</f>
        <v>OND1_CSV File 1m Bins</v>
      </c>
      <c r="D1086" t="s">
        <v>1443</v>
      </c>
      <c r="E1086" t="s">
        <v>1</v>
      </c>
      <c r="G1086" t="s">
        <v>1428</v>
      </c>
      <c r="H1086" t="s">
        <v>1444</v>
      </c>
      <c r="I1086">
        <v>-22.198799999999999</v>
      </c>
      <c r="J1086">
        <v>115.002</v>
      </c>
      <c r="K1086" t="str">
        <f>HYPERLINK("http://geossdi.dmp.wa.gov.au/NVCLDataServices/mosaic.html?datasetid=e297d3df-70f2-432a-8f56-dc7ae9b5918","OND1_Core Image")</f>
        <v>OND1_Core Image</v>
      </c>
    </row>
    <row r="1087" spans="1:11" x14ac:dyDescent="0.25">
      <c r="A1087" t="str">
        <f>HYPERLINK("http://www.corstruth.com.au/WA/Mutineer_1B_cs.png","Mutineer 1B_A4")</f>
        <v>Mutineer 1B_A4</v>
      </c>
      <c r="B1087" t="str">
        <f>HYPERLINK("http://www.corstruth.com.au/WA/PNG2/Mutineer_1B_cs.png","Mutineer 1B_0.25m Bins")</f>
        <v>Mutineer 1B_0.25m Bins</v>
      </c>
      <c r="C1087" t="str">
        <f>HYPERLINK("http://www.corstruth.com.au/WA/CSV/Mutineer_1B.csv","Mutineer 1B_CSV File 1m Bins")</f>
        <v>Mutineer 1B_CSV File 1m Bins</v>
      </c>
      <c r="D1087" t="s">
        <v>1445</v>
      </c>
      <c r="E1087" t="s">
        <v>1</v>
      </c>
      <c r="G1087" t="s">
        <v>1428</v>
      </c>
      <c r="H1087" t="s">
        <v>1446</v>
      </c>
      <c r="I1087">
        <v>-19.2486</v>
      </c>
      <c r="J1087">
        <v>116.637</v>
      </c>
      <c r="K1087" t="str">
        <f>HYPERLINK("http://geossdi.dmp.wa.gov.au/NVCLDataServices/mosaic.html?datasetid=d8e0914d-fa84-42f8-a761-490f0ac46f6","Mutineer 1B_Core Image")</f>
        <v>Mutineer 1B_Core Image</v>
      </c>
    </row>
    <row r="1088" spans="1:11" x14ac:dyDescent="0.25">
      <c r="A1088" t="str">
        <f>HYPERLINK("http://www.corstruth.com.au/WA/Mutineer_3_cs.png","Mutineer 3_A4")</f>
        <v>Mutineer 3_A4</v>
      </c>
      <c r="B1088" t="str">
        <f>HYPERLINK("http://www.corstruth.com.au/WA/PNG2/Mutineer_3_cs.png","Mutineer 3_0.25m Bins")</f>
        <v>Mutineer 3_0.25m Bins</v>
      </c>
      <c r="C1088" t="str">
        <f>HYPERLINK("http://www.corstruth.com.au/WA/CSV/Mutineer_3.csv","Mutineer 3_CSV File 1m Bins")</f>
        <v>Mutineer 3_CSV File 1m Bins</v>
      </c>
      <c r="D1088" t="s">
        <v>1447</v>
      </c>
      <c r="E1088" t="s">
        <v>1</v>
      </c>
      <c r="G1088" t="s">
        <v>1428</v>
      </c>
      <c r="H1088" t="s">
        <v>1446</v>
      </c>
      <c r="I1088">
        <v>-19.262499999999999</v>
      </c>
      <c r="J1088">
        <v>116.628</v>
      </c>
      <c r="K1088" t="str">
        <f>HYPERLINK("http://geossdi.dmp.wa.gov.au/NVCLDataServices/mosaic.html?datasetid=ffdcb30b-6a5b-4d49-8b56-963675bbc8b","Mutineer 3_Core Image")</f>
        <v>Mutineer 3_Core Image</v>
      </c>
    </row>
    <row r="1089" spans="1:11" x14ac:dyDescent="0.25">
      <c r="A1089" t="str">
        <f>HYPERLINK("http://www.corstruth.com.au/WA/North_Gorgon_2_cs.png","North Gorgon 2_A4")</f>
        <v>North Gorgon 2_A4</v>
      </c>
      <c r="B1089" t="str">
        <f>HYPERLINK("http://www.corstruth.com.au/WA/PNG2/North_Gorgon_2_cs.png","North Gorgon 2_0.25m Bins")</f>
        <v>North Gorgon 2_0.25m Bins</v>
      </c>
      <c r="C1089" t="str">
        <f>HYPERLINK("http://www.corstruth.com.au/WA/CSV/North_Gorgon_2.csv","North Gorgon 2_CSV File 1m Bins")</f>
        <v>North Gorgon 2_CSV File 1m Bins</v>
      </c>
      <c r="D1089" t="s">
        <v>1448</v>
      </c>
      <c r="E1089" t="s">
        <v>1</v>
      </c>
      <c r="G1089" t="s">
        <v>1428</v>
      </c>
      <c r="H1089" t="s">
        <v>1449</v>
      </c>
      <c r="I1089">
        <v>-20.347100000000001</v>
      </c>
      <c r="J1089">
        <v>114.855</v>
      </c>
      <c r="K1089" t="str">
        <f>HYPERLINK("http://geossdi.dmp.wa.gov.au/NVCLDataServices/mosaic.html?datasetid=9df05fc6-8b68-4d5d-b995-c32e5fb4395","North Gorgon 2_Core Image")</f>
        <v>North Gorgon 2_Core Image</v>
      </c>
    </row>
    <row r="1090" spans="1:11" x14ac:dyDescent="0.25">
      <c r="A1090" t="str">
        <f>HYPERLINK("http://www.corstruth.com.au/WA/North_Rankin_5_cs.png","North Rankin 5_A4")</f>
        <v>North Rankin 5_A4</v>
      </c>
      <c r="B1090" t="str">
        <f>HYPERLINK("http://www.corstruth.com.au/WA/PNG2/North_Rankin_5_cs.png","North Rankin 5_0.25m Bins")</f>
        <v>North Rankin 5_0.25m Bins</v>
      </c>
      <c r="C1090" t="str">
        <f>HYPERLINK("http://www.corstruth.com.au/WA/CSV/North_Rankin_5.csv","North Rankin 5_CSV File 1m Bins")</f>
        <v>North Rankin 5_CSV File 1m Bins</v>
      </c>
      <c r="D1090" t="s">
        <v>1450</v>
      </c>
      <c r="E1090" t="s">
        <v>1</v>
      </c>
      <c r="G1090" t="s">
        <v>1428</v>
      </c>
      <c r="H1090" t="s">
        <v>1451</v>
      </c>
      <c r="I1090">
        <v>-19.570599999999999</v>
      </c>
      <c r="J1090">
        <v>116.16</v>
      </c>
      <c r="K1090" t="str">
        <f>HYPERLINK("http://geossdi.dmp.wa.gov.au/NVCLDataServices/mosaic.html?datasetid=357c67a3-2e23-40e1-a0fb-1480193bc6c","North Rankin 5_Core Image")</f>
        <v>North Rankin 5_Core Image</v>
      </c>
    </row>
    <row r="1091" spans="1:11" x14ac:dyDescent="0.25">
      <c r="A1091" t="str">
        <f>HYPERLINK("http://www.corstruth.com.au/WA/Perseus_2_cs.png","Perseus 2_A4")</f>
        <v>Perseus 2_A4</v>
      </c>
      <c r="B1091" t="str">
        <f>HYPERLINK("http://www.corstruth.com.au/WA/PNG2/Perseus_2_cs.png","Perseus 2_0.25m Bins")</f>
        <v>Perseus 2_0.25m Bins</v>
      </c>
      <c r="C1091" t="str">
        <f>HYPERLINK("http://www.corstruth.com.au/WA/CSV/Perseus_2.csv","Perseus 2_CSV File 1m Bins")</f>
        <v>Perseus 2_CSV File 1m Bins</v>
      </c>
      <c r="D1091" t="s">
        <v>1452</v>
      </c>
      <c r="E1091" t="s">
        <v>1</v>
      </c>
      <c r="G1091" t="s">
        <v>1428</v>
      </c>
      <c r="H1091" t="s">
        <v>1453</v>
      </c>
      <c r="I1091">
        <v>-19.538699999999999</v>
      </c>
      <c r="J1091">
        <v>116.07299999999999</v>
      </c>
      <c r="K1091" t="str">
        <f>HYPERLINK("http://geossdi.dmp.wa.gov.au/NVCLDataServices/mosaic.html?datasetid=a022966e-b57c-448a-bceb-7b861ef7e01","Perseus 2_Core Image")</f>
        <v>Perseus 2_Core Image</v>
      </c>
    </row>
    <row r="1092" spans="1:11" x14ac:dyDescent="0.25">
      <c r="A1092" t="str">
        <f>HYPERLINK("http://www.corstruth.com.au/WA/Reindeer_1_cs.png","Reindeer 1_A4")</f>
        <v>Reindeer 1_A4</v>
      </c>
      <c r="B1092" t="str">
        <f>HYPERLINK("http://www.corstruth.com.au/WA/PNG2/Reindeer_1_cs.png","Reindeer 1_0.25m Bins")</f>
        <v>Reindeer 1_0.25m Bins</v>
      </c>
      <c r="C1092" t="str">
        <f>HYPERLINK("http://www.corstruth.com.au/WA/CSV/Reindeer_1.csv","Reindeer 1_CSV File 1m Bins")</f>
        <v>Reindeer 1_CSV File 1m Bins</v>
      </c>
      <c r="D1092" t="s">
        <v>1454</v>
      </c>
      <c r="E1092" t="s">
        <v>1</v>
      </c>
      <c r="G1092" t="s">
        <v>1428</v>
      </c>
      <c r="H1092" t="s">
        <v>1455</v>
      </c>
      <c r="I1092">
        <v>-20.016400000000001</v>
      </c>
      <c r="J1092">
        <v>116.307</v>
      </c>
      <c r="K1092" t="str">
        <f>HYPERLINK("http://geossdi.dmp.wa.gov.au/NVCLDataServices/mosaic.html?datasetid=655112a2-91f8-44aa-bd14-4c2dc9b50f9","Reindeer 1_Core Image")</f>
        <v>Reindeer 1_Core Image</v>
      </c>
    </row>
    <row r="1093" spans="1:11" x14ac:dyDescent="0.25">
      <c r="A1093" t="str">
        <f>HYPERLINK("http://www.corstruth.com.au/WA/Reindeer_2_cs.png","Reindeer 2_A4")</f>
        <v>Reindeer 2_A4</v>
      </c>
      <c r="B1093" t="str">
        <f>HYPERLINK("http://www.corstruth.com.au/WA/PNG2/Reindeer_2_cs.png","Reindeer 2_0.25m Bins")</f>
        <v>Reindeer 2_0.25m Bins</v>
      </c>
      <c r="C1093" t="str">
        <f>HYPERLINK("http://www.corstruth.com.au/WA/CSV/Reindeer_2.csv","Reindeer 2_CSV File 1m Bins")</f>
        <v>Reindeer 2_CSV File 1m Bins</v>
      </c>
      <c r="D1093" t="s">
        <v>1456</v>
      </c>
      <c r="E1093" t="s">
        <v>1</v>
      </c>
      <c r="G1093" t="s">
        <v>1428</v>
      </c>
      <c r="H1093" t="s">
        <v>1455</v>
      </c>
      <c r="I1093">
        <v>-20.024100000000001</v>
      </c>
      <c r="J1093">
        <v>116.31</v>
      </c>
      <c r="K1093" t="str">
        <f>HYPERLINK("http://geossdi.dmp.wa.gov.au/NVCLDataServices/mosaic.html?datasetid=dcf3151e-dad4-41bc-a728-d9955a8ff6e","Reindeer 2_Core Image")</f>
        <v>Reindeer 2_Core Image</v>
      </c>
    </row>
    <row r="1094" spans="1:11" x14ac:dyDescent="0.25">
      <c r="A1094" t="str">
        <f>HYPERLINK("http://www.corstruth.com.au/WA/Thebe_2_cs.png","Thebe 2_A4")</f>
        <v>Thebe 2_A4</v>
      </c>
      <c r="B1094" t="str">
        <f>HYPERLINK("http://www.corstruth.com.au/WA/PNG2/Thebe_2_cs.png","Thebe 2_0.25m Bins")</f>
        <v>Thebe 2_0.25m Bins</v>
      </c>
      <c r="C1094" t="str">
        <f>HYPERLINK("http://www.corstruth.com.au/WA/CSV/Thebe_2.csv","Thebe 2_CSV File 1m Bins")</f>
        <v>Thebe 2_CSV File 1m Bins</v>
      </c>
      <c r="D1094" t="s">
        <v>1457</v>
      </c>
      <c r="E1094" t="s">
        <v>1</v>
      </c>
      <c r="G1094" t="s">
        <v>1428</v>
      </c>
      <c r="H1094" t="s">
        <v>1458</v>
      </c>
      <c r="I1094">
        <v>-19.260100000000001</v>
      </c>
      <c r="J1094">
        <v>113.131</v>
      </c>
      <c r="K1094" t="str">
        <f>HYPERLINK("http://geossdi.dmp.wa.gov.au/NVCLDataServices/mosaic.html?datasetid=ed3878e8-bbe9-44c0-aa20-6b3321d1f6c","Thebe 2_Core Image")</f>
        <v>Thebe 2_Core Image</v>
      </c>
    </row>
    <row r="1095" spans="1:11" x14ac:dyDescent="0.25">
      <c r="A1095" t="str">
        <f>HYPERLINK("http://www.corstruth.com.au/WA/Wanaea_1_cs.png","Wanaea 1_A4")</f>
        <v>Wanaea 1_A4</v>
      </c>
      <c r="B1095" t="str">
        <f>HYPERLINK("http://www.corstruth.com.au/WA/PNG2/Wanaea_1_cs.png","Wanaea 1_0.25m Bins")</f>
        <v>Wanaea 1_0.25m Bins</v>
      </c>
      <c r="C1095" t="str">
        <f>HYPERLINK("http://www.corstruth.com.au/WA/CSV/Wanaea_1.csv","Wanaea 1_CSV File 1m Bins")</f>
        <v>Wanaea 1_CSV File 1m Bins</v>
      </c>
      <c r="D1095" t="s">
        <v>1459</v>
      </c>
      <c r="E1095" t="s">
        <v>1</v>
      </c>
      <c r="G1095" t="s">
        <v>1428</v>
      </c>
      <c r="H1095" t="s">
        <v>1460</v>
      </c>
      <c r="I1095">
        <v>-19.591799999999999</v>
      </c>
      <c r="J1095">
        <v>116.435</v>
      </c>
      <c r="K1095" t="str">
        <f>HYPERLINK("http://geossdi.dmp.wa.gov.au/NVCLDataServices/mosaic.html?datasetid=acbc80ff-9918-472f-b64e-fa75a56c823","Wanaea 1_Core Image")</f>
        <v>Wanaea 1_Core Image</v>
      </c>
    </row>
    <row r="1096" spans="1:11" x14ac:dyDescent="0.25">
      <c r="A1096" t="str">
        <f>HYPERLINK("http://www.corstruth.com.au/WA/West_Tryal_Rocks_3_cs.png","West Tryal Rocks 3_A4")</f>
        <v>West Tryal Rocks 3_A4</v>
      </c>
      <c r="B1096" t="str">
        <f>HYPERLINK("http://www.corstruth.com.au/WA/PNG2/West_Tryal_Rocks_3_cs.png","West Tryal Rocks 3_0.25m Bins")</f>
        <v>West Tryal Rocks 3_0.25m Bins</v>
      </c>
      <c r="C1096" t="str">
        <f>HYPERLINK("http://www.corstruth.com.au/WA/CSV/West_Tryal_Rocks_3.csv","West Tryal Rocks 3_CSV File 1m Bins")</f>
        <v>West Tryal Rocks 3_CSV File 1m Bins</v>
      </c>
      <c r="D1096" t="s">
        <v>1461</v>
      </c>
      <c r="E1096" t="s">
        <v>1</v>
      </c>
      <c r="G1096" t="s">
        <v>1428</v>
      </c>
      <c r="H1096" t="s">
        <v>1462</v>
      </c>
      <c r="I1096">
        <v>-20.153600000000001</v>
      </c>
      <c r="J1096">
        <v>115.05</v>
      </c>
      <c r="K1096" t="str">
        <f>HYPERLINK("http://geossdi.dmp.wa.gov.au/NVCLDataServices/mosaic.html?datasetid=44558114-7c42-48a2-a9ac-5ac3bb39011","West Tryal Rocks 3_Core Image")</f>
        <v>West Tryal Rocks 3_Core Image</v>
      </c>
    </row>
    <row r="1097" spans="1:11" x14ac:dyDescent="0.25">
      <c r="A1097" t="str">
        <f>HYPERLINK("http://www.corstruth.com.au/WA/West_Tryal_Rocks_1_cs.png","West Tryal Rocks 1_A4")</f>
        <v>West Tryal Rocks 1_A4</v>
      </c>
      <c r="B1097" t="str">
        <f>HYPERLINK("http://www.corstruth.com.au/WA/PNG2/West_Tryal_Rocks_1_cs.png","West Tryal Rocks 1_0.25m Bins")</f>
        <v>West Tryal Rocks 1_0.25m Bins</v>
      </c>
      <c r="C1097" t="str">
        <f>HYPERLINK("http://www.corstruth.com.au/WA/CSV/West_Tryal_Rocks_1.csv","West Tryal Rocks 1_CSV File 1m Bins")</f>
        <v>West Tryal Rocks 1_CSV File 1m Bins</v>
      </c>
      <c r="D1097" t="s">
        <v>1463</v>
      </c>
      <c r="E1097" t="s">
        <v>1</v>
      </c>
      <c r="G1097" t="s">
        <v>1428</v>
      </c>
      <c r="H1097" t="s">
        <v>1464</v>
      </c>
      <c r="I1097">
        <v>-20.227900000000002</v>
      </c>
      <c r="J1097">
        <v>115.036</v>
      </c>
      <c r="K1097" t="str">
        <f>HYPERLINK("http://geossdi.dmp.wa.gov.au/NVCLDataServices/mosaic.html?datasetid=991f4101-96fb-46cf-9545-288ec988f97","West Tryal Rocks 1_Core Image")</f>
        <v>West Tryal Rocks 1_Core Image</v>
      </c>
    </row>
    <row r="1098" spans="1:11" x14ac:dyDescent="0.25">
      <c r="A1098" t="str">
        <f>HYPERLINK("http://www.corstruth.com.au/WA/Yodel_2_cs.png","Yodel 2_A4")</f>
        <v>Yodel 2_A4</v>
      </c>
      <c r="B1098" t="str">
        <f>HYPERLINK("http://www.corstruth.com.au/WA/PNG2/Yodel_2_cs.png","Yodel 2_0.25m Bins")</f>
        <v>Yodel 2_0.25m Bins</v>
      </c>
      <c r="C1098" t="str">
        <f>HYPERLINK("http://www.corstruth.com.au/WA/CSV/Yodel_2.csv","Yodel 2_CSV File 1m Bins")</f>
        <v>Yodel 2_CSV File 1m Bins</v>
      </c>
      <c r="D1098" t="s">
        <v>1465</v>
      </c>
      <c r="E1098" t="s">
        <v>1</v>
      </c>
      <c r="G1098" t="s">
        <v>1428</v>
      </c>
      <c r="H1098" t="s">
        <v>1466</v>
      </c>
      <c r="I1098">
        <v>-19.722100000000001</v>
      </c>
      <c r="J1098">
        <v>115.741</v>
      </c>
      <c r="K1098" t="str">
        <f>HYPERLINK("http://geossdi.dmp.wa.gov.au/NVCLDataServices/mosaic.html?datasetid=d8c6edd7-1f64-45e6-b54e-32680f137e5","Yodel 2_Core Image")</f>
        <v>Yodel 2_Core Image</v>
      </c>
    </row>
    <row r="1099" spans="1:11" x14ac:dyDescent="0.25">
      <c r="A1099" t="str">
        <f>HYPERLINK("http://www.corstruth.com.au/WA/Poissonnier_1_cs.png","Poissonnier 1_A4")</f>
        <v>Poissonnier 1_A4</v>
      </c>
      <c r="B1099" t="str">
        <f>HYPERLINK("http://www.corstruth.com.au/WA/PNG2/Poissonnier_1_cs.png","Poissonnier 1_0.25m Bins")</f>
        <v>Poissonnier 1_0.25m Bins</v>
      </c>
      <c r="C1099" t="str">
        <f>HYPERLINK("http://www.corstruth.com.au/WA/CSV/Poissonnier_1.csv","Poissonnier 1_CSV File 1m Bins")</f>
        <v>Poissonnier 1_CSV File 1m Bins</v>
      </c>
      <c r="D1099" t="s">
        <v>1467</v>
      </c>
      <c r="E1099" t="s">
        <v>1</v>
      </c>
      <c r="G1099" t="s">
        <v>1468</v>
      </c>
      <c r="H1099" t="s">
        <v>1469</v>
      </c>
      <c r="I1099">
        <v>-19.308</v>
      </c>
      <c r="J1099">
        <v>118.157</v>
      </c>
      <c r="K1099" t="str">
        <f>HYPERLINK("http://geossdi.dmp.wa.gov.au/NVCLDataServices/mosaic.html?datasetid=6b509e14-60e8-46d3-b7df-de2c8ddf23a","Poissonnier 1_Core Image")</f>
        <v>Poissonnier 1_Core Image</v>
      </c>
    </row>
    <row r="1100" spans="1:11" x14ac:dyDescent="0.25">
      <c r="A1100" t="str">
        <f>HYPERLINK("http://www.corstruth.com.au/WA/Akubra_1_cs.png","Akubra 1_A4")</f>
        <v>Akubra 1_A4</v>
      </c>
      <c r="B1100" t="str">
        <f>HYPERLINK("http://www.corstruth.com.au/WA/PNG2/Akubra_1_cs.png","Akubra 1_0.25m Bins")</f>
        <v>Akubra 1_0.25m Bins</v>
      </c>
      <c r="C1100" t="str">
        <f>HYPERLINK("http://www.corstruth.com.au/WA/CSV/Akubra_1.csv","Akubra 1_CSV File 1m Bins")</f>
        <v>Akubra 1_CSV File 1m Bins</v>
      </c>
      <c r="D1100" t="s">
        <v>1470</v>
      </c>
      <c r="E1100" t="s">
        <v>1</v>
      </c>
      <c r="G1100" t="s">
        <v>1471</v>
      </c>
      <c r="H1100" t="s">
        <v>1472</v>
      </c>
      <c r="I1100">
        <v>-23.490400000000001</v>
      </c>
      <c r="J1100">
        <v>121.377</v>
      </c>
      <c r="K1100" t="str">
        <f>HYPERLINK("http://geossdi.dmp.wa.gov.au/NVCLDataServices/mosaic.html?datasetid=7045654f-9bf9-418d-bd04-cec1132d89c","Akubra 1_Core Image")</f>
        <v>Akubra 1_Core Image</v>
      </c>
    </row>
    <row r="1101" spans="1:11" x14ac:dyDescent="0.25">
      <c r="A1101" t="str">
        <f>HYPERLINK("http://www.corstruth.com.au/WA/Boondawari_1_cs.png","Boondawari 1_A4")</f>
        <v>Boondawari 1_A4</v>
      </c>
      <c r="B1101" t="str">
        <f>HYPERLINK("http://www.corstruth.com.au/WA/PNG2/Boondawari_1_cs.png","Boondawari 1_0.25m Bins")</f>
        <v>Boondawari 1_0.25m Bins</v>
      </c>
      <c r="C1101" t="str">
        <f>HYPERLINK("http://www.corstruth.com.au/WA/CSV/Boondawari_1.csv","Boondawari 1_CSV File 1m Bins")</f>
        <v>Boondawari 1_CSV File 1m Bins</v>
      </c>
      <c r="D1101" t="s">
        <v>1473</v>
      </c>
      <c r="E1101" t="s">
        <v>1</v>
      </c>
      <c r="G1101" t="s">
        <v>1471</v>
      </c>
      <c r="H1101" t="s">
        <v>1474</v>
      </c>
      <c r="I1101">
        <v>-23.519600000000001</v>
      </c>
      <c r="J1101">
        <v>121.521</v>
      </c>
      <c r="K1101" t="str">
        <f>HYPERLINK("http://geossdi.dmp.wa.gov.au/NVCLDataServices/mosaic.html?datasetid=8fd4fa93-2838-492c-b810-7b2fd504424","Boondawari 1_Core Image")</f>
        <v>Boondawari 1_Core Image</v>
      </c>
    </row>
    <row r="1102" spans="1:11" x14ac:dyDescent="0.25">
      <c r="A1102" t="str">
        <f>HYPERLINK("http://www.corstruth.com.au/WA/Mundadjini_1_cs.png","Mundadjini 1_A4")</f>
        <v>Mundadjini 1_A4</v>
      </c>
      <c r="B1102" t="str">
        <f>HYPERLINK("http://www.corstruth.com.au/WA/PNG2/Mundadjini_1_cs.png","Mundadjini 1_0.25m Bins")</f>
        <v>Mundadjini 1_0.25m Bins</v>
      </c>
      <c r="C1102" t="str">
        <f>HYPERLINK("http://www.corstruth.com.au/WA/CSV/Mundadjini_1.csv","Mundadjini 1_CSV File 1m Bins")</f>
        <v>Mundadjini 1_CSV File 1m Bins</v>
      </c>
      <c r="D1102" t="s">
        <v>1475</v>
      </c>
      <c r="E1102" t="s">
        <v>1</v>
      </c>
      <c r="G1102" t="s">
        <v>1471</v>
      </c>
      <c r="H1102" t="s">
        <v>1476</v>
      </c>
      <c r="I1102">
        <v>-23.453800000000001</v>
      </c>
      <c r="J1102">
        <v>121.23099999999999</v>
      </c>
      <c r="K1102" t="str">
        <f>HYPERLINK("http://geossdi.dmp.wa.gov.au/NVCLDataServices/mosaic.html?datasetid=f99f5deb-0a14-4355-ba99-72b34df7255","Mundadjini 1_Core Image")</f>
        <v>Mundadjini 1_Core Image</v>
      </c>
    </row>
    <row r="1103" spans="1:11" x14ac:dyDescent="0.25">
      <c r="A1103" t="str">
        <f>HYPERLINK("http://www.corstruth.com.au/WA/BH01_hole2_cs.png","BH01_hole2_A4")</f>
        <v>BH01_hole2_A4</v>
      </c>
      <c r="B1103" t="str">
        <f>HYPERLINK("http://www.corstruth.com.au/WA/PNG2/BH01_hole2_cs.png","BH01_hole2_0.25m Bins")</f>
        <v>BH01_hole2_0.25m Bins</v>
      </c>
      <c r="C1103" t="str">
        <f>HYPERLINK("http://www.corstruth.com.au/WA/CSV/BH01_hole2.csv","BH01_hole2_CSV File 1m Bins")</f>
        <v>BH01_hole2_CSV File 1m Bins</v>
      </c>
      <c r="D1103" t="s">
        <v>1477</v>
      </c>
      <c r="E1103" t="s">
        <v>1</v>
      </c>
      <c r="G1103" t="s">
        <v>1478</v>
      </c>
      <c r="H1103" t="s">
        <v>1479</v>
      </c>
      <c r="I1103">
        <v>-28.380099999999999</v>
      </c>
      <c r="J1103">
        <v>127.438</v>
      </c>
    </row>
    <row r="1104" spans="1:11" x14ac:dyDescent="0.25">
      <c r="A1104" t="str">
        <f>HYPERLINK("http://www.corstruth.com.au/WA/BH02_hole2_cs.png","BH02_hole2_A4")</f>
        <v>BH02_hole2_A4</v>
      </c>
      <c r="B1104" t="str">
        <f>HYPERLINK("http://www.corstruth.com.au/WA/PNG2/BH02_hole2_cs.png","BH02_hole2_0.25m Bins")</f>
        <v>BH02_hole2_0.25m Bins</v>
      </c>
      <c r="C1104" t="str">
        <f>HYPERLINK("http://www.corstruth.com.au/WA/CSV/BH02_hole2.csv","BH02_hole2_CSV File 1m Bins")</f>
        <v>BH02_hole2_CSV File 1m Bins</v>
      </c>
      <c r="D1104" t="s">
        <v>1480</v>
      </c>
      <c r="E1104" t="s">
        <v>1</v>
      </c>
      <c r="G1104" t="s">
        <v>1478</v>
      </c>
      <c r="H1104" t="s">
        <v>1479</v>
      </c>
      <c r="I1104">
        <v>-28.380700000000001</v>
      </c>
      <c r="J1104">
        <v>127.41800000000001</v>
      </c>
    </row>
    <row r="1105" spans="1:11" x14ac:dyDescent="0.25">
      <c r="A1105" t="str">
        <f>HYPERLINK("http://www.corstruth.com.au/WA/GSWA_Empress_1A_cs.png","GSWA Empress 1A_A4")</f>
        <v>GSWA Empress 1A_A4</v>
      </c>
      <c r="B1105" t="str">
        <f>HYPERLINK("http://www.corstruth.com.au/WA/PNG2/GSWA_Empress_1A_cs.png","GSWA Empress 1A_0.25m Bins")</f>
        <v>GSWA Empress 1A_0.25m Bins</v>
      </c>
      <c r="C1105" t="str">
        <f>HYPERLINK("http://www.corstruth.com.au/WA/CSV/GSWA_Empress_1A.csv","GSWA Empress 1A_CSV File 1m Bins")</f>
        <v>GSWA Empress 1A_CSV File 1m Bins</v>
      </c>
      <c r="D1105" t="s">
        <v>1481</v>
      </c>
      <c r="E1105" t="s">
        <v>1</v>
      </c>
      <c r="G1105" t="s">
        <v>1478</v>
      </c>
      <c r="H1105" t="s">
        <v>1482</v>
      </c>
      <c r="I1105">
        <v>-27.052299999999999</v>
      </c>
      <c r="J1105">
        <v>125.158</v>
      </c>
      <c r="K1105" t="str">
        <f>HYPERLINK("http://geossdi.dmp.wa.gov.au/NVCLDataServices/mosaic.html?datasetid=6cb1fd24-6bd3-48d4-8e77-44a9e83ea21","GSWA Empress 1A_Core Image")</f>
        <v>GSWA Empress 1A_Core Image</v>
      </c>
    </row>
    <row r="1106" spans="1:11" x14ac:dyDescent="0.25">
      <c r="A1106" t="str">
        <f>HYPERLINK("http://www.corstruth.com.au/WA/LDDH_1_cs.png","LDDH 1_A4")</f>
        <v>LDDH 1_A4</v>
      </c>
      <c r="B1106" t="str">
        <f>HYPERLINK("http://www.corstruth.com.au/WA/PNG2/LDDH_1_cs.png","LDDH 1_0.25m Bins")</f>
        <v>LDDH 1_0.25m Bins</v>
      </c>
      <c r="C1106" t="str">
        <f>HYPERLINK("http://www.corstruth.com.au/WA/CSV/LDDH_1.csv","LDDH 1_CSV File 1m Bins")</f>
        <v>LDDH 1_CSV File 1m Bins</v>
      </c>
      <c r="D1106" t="s">
        <v>1483</v>
      </c>
      <c r="E1106" t="s">
        <v>1</v>
      </c>
      <c r="G1106" t="s">
        <v>1478</v>
      </c>
      <c r="H1106" t="s">
        <v>1484</v>
      </c>
      <c r="I1106">
        <v>-23.1114</v>
      </c>
      <c r="J1106">
        <v>122.32899999999999</v>
      </c>
      <c r="K1106" t="str">
        <f>HYPERLINK("http://geossdi.dmp.wa.gov.au/NVCLDataServices/mosaic.html?datasetid=d2dbfbcf-ee1e-4549-ad02-df6b4b87d6e","LDDH 1_Core Image")</f>
        <v>LDDH 1_Core Image</v>
      </c>
    </row>
    <row r="1107" spans="1:11" x14ac:dyDescent="0.25">
      <c r="A1107" t="str">
        <f>HYPERLINK("http://www.corstruth.com.au/WA/GSWA_Lancer_1_cs.png","GSWA Lancer 1_A4")</f>
        <v>GSWA Lancer 1_A4</v>
      </c>
      <c r="B1107" t="str">
        <f>HYPERLINK("http://www.corstruth.com.au/WA/PNG2/GSWA_Lancer_1_cs.png","GSWA Lancer 1_0.25m Bins")</f>
        <v>GSWA Lancer 1_0.25m Bins</v>
      </c>
      <c r="C1107" t="str">
        <f>HYPERLINK("http://www.corstruth.com.au/WA/CSV/GSWA_Lancer_1.csv","GSWA Lancer 1_CSV File 1m Bins")</f>
        <v>GSWA Lancer 1_CSV File 1m Bins</v>
      </c>
      <c r="D1107" t="s">
        <v>1485</v>
      </c>
      <c r="E1107" t="s">
        <v>1</v>
      </c>
      <c r="G1107" t="s">
        <v>1478</v>
      </c>
      <c r="H1107" t="s">
        <v>1486</v>
      </c>
      <c r="I1107">
        <v>-25.0457</v>
      </c>
      <c r="J1107">
        <v>123.756</v>
      </c>
      <c r="K1107" t="str">
        <f>HYPERLINK("http://geossdi.dmp.wa.gov.au/NVCLDataServices/mosaic.html?datasetid=98a0b602-5b1c-4731-8f32-b6f34d07545","GSWA Lancer 1_Core Image")</f>
        <v>GSWA Lancer 1_Core Image</v>
      </c>
    </row>
    <row r="1108" spans="1:11" x14ac:dyDescent="0.25">
      <c r="A1108" t="str">
        <f>HYPERLINK("http://www.corstruth.com.au/WA/N1-1_cs.png","N1-1_A4")</f>
        <v>N1-1_A4</v>
      </c>
      <c r="B1108" t="str">
        <f>HYPERLINK("http://www.corstruth.com.au/WA/PNG2/N1-1_cs.png","N1-1_0.25m Bins")</f>
        <v>N1-1_0.25m Bins</v>
      </c>
      <c r="C1108" t="str">
        <f>HYPERLINK("http://www.corstruth.com.au/WA/CSV/N1-1.csv","N1-1_CSV File 1m Bins")</f>
        <v>N1-1_CSV File 1m Bins</v>
      </c>
      <c r="D1108" t="s">
        <v>1487</v>
      </c>
      <c r="E1108" t="s">
        <v>1</v>
      </c>
      <c r="G1108" t="s">
        <v>1478</v>
      </c>
      <c r="H1108" t="s">
        <v>1488</v>
      </c>
      <c r="I1108">
        <v>-28.4556</v>
      </c>
      <c r="J1108">
        <v>125.30800000000001</v>
      </c>
      <c r="K1108" t="str">
        <f>HYPERLINK("http://geossdi.dmp.wa.gov.au/NVCLDataServices/mosaic.html?datasetid=32fe7e86-ae70-4ff9-a4ee-6b9bc559928","N1-1_Core Image")</f>
        <v>N1-1_Core Image</v>
      </c>
    </row>
    <row r="1109" spans="1:11" x14ac:dyDescent="0.25">
      <c r="A1109" t="str">
        <f>HYPERLINK("http://www.corstruth.com.au/WA/N3-1_cs.png","N3-1_A4")</f>
        <v>N3-1_A4</v>
      </c>
      <c r="B1109" t="str">
        <f>HYPERLINK("http://www.corstruth.com.au/WA/PNG2/N3-1_cs.png","N3-1_0.25m Bins")</f>
        <v>N3-1_0.25m Bins</v>
      </c>
      <c r="C1109" t="str">
        <f>HYPERLINK("http://www.corstruth.com.au/WA/CSV/N3-1.csv","N3-1_CSV File 1m Bins")</f>
        <v>N3-1_CSV File 1m Bins</v>
      </c>
      <c r="D1109" t="s">
        <v>1489</v>
      </c>
      <c r="E1109" t="s">
        <v>1</v>
      </c>
      <c r="G1109" t="s">
        <v>1478</v>
      </c>
      <c r="H1109" t="s">
        <v>1488</v>
      </c>
      <c r="I1109">
        <v>-28.822199999999999</v>
      </c>
      <c r="J1109">
        <v>125.04600000000001</v>
      </c>
      <c r="K1109" t="str">
        <f>HYPERLINK("http://geossdi.dmp.wa.gov.au/NVCLDataServices/mosaic.html?datasetid=1e6f6cda-246e-4c75-9f45-4ec14b0ddfe","N3-1_Core Image")</f>
        <v>N3-1_Core Image</v>
      </c>
    </row>
    <row r="1110" spans="1:11" x14ac:dyDescent="0.25">
      <c r="A1110" t="str">
        <f>HYPERLINK("http://www.corstruth.com.au/WA/N4-1_cs.png","N4-1_A4")</f>
        <v>N4-1_A4</v>
      </c>
      <c r="B1110" t="str">
        <f>HYPERLINK("http://www.corstruth.com.au/WA/PNG2/N4-1_cs.png","N4-1_0.25m Bins")</f>
        <v>N4-1_0.25m Bins</v>
      </c>
      <c r="C1110" t="str">
        <f>HYPERLINK("http://www.corstruth.com.au/WA/CSV/N4-1.csv","N4-1_CSV File 1m Bins")</f>
        <v>N4-1_CSV File 1m Bins</v>
      </c>
      <c r="D1110" t="s">
        <v>1490</v>
      </c>
      <c r="E1110" t="s">
        <v>1</v>
      </c>
      <c r="G1110" t="s">
        <v>1478</v>
      </c>
      <c r="H1110" t="s">
        <v>1488</v>
      </c>
      <c r="I1110">
        <v>-28.875</v>
      </c>
      <c r="J1110">
        <v>124.896</v>
      </c>
      <c r="K1110" t="str">
        <f>HYPERLINK("http://geossdi.dmp.wa.gov.au/NVCLDataServices/mosaic.html?datasetid=799660c3-ccc1-479a-927d-28a31d213bd","N4-1_Core Image")</f>
        <v>N4-1_Core Image</v>
      </c>
    </row>
    <row r="1111" spans="1:11" x14ac:dyDescent="0.25">
      <c r="A1111" t="str">
        <f>HYPERLINK("http://www.corstruth.com.au/WA/11SAVD003_cs.png","11SAVD003_A4")</f>
        <v>11SAVD003_A4</v>
      </c>
      <c r="B1111" t="str">
        <f>HYPERLINK("http://www.corstruth.com.au/WA/PNG2/11SAVD003_cs.png","11SAVD003_0.25m Bins")</f>
        <v>11SAVD003_0.25m Bins</v>
      </c>
      <c r="C1111" t="str">
        <f>HYPERLINK("http://www.corstruth.com.au/WA/CSV/11SAVD003.csv","11SAVD003_CSV File 1m Bins")</f>
        <v>11SAVD003_CSV File 1m Bins</v>
      </c>
      <c r="D1111" t="s">
        <v>1491</v>
      </c>
      <c r="E1111" t="s">
        <v>1</v>
      </c>
      <c r="G1111" t="s">
        <v>1478</v>
      </c>
      <c r="H1111" t="s">
        <v>1492</v>
      </c>
      <c r="I1111">
        <v>-24.153300000000002</v>
      </c>
      <c r="J1111">
        <v>120.822</v>
      </c>
      <c r="K1111" t="str">
        <f>HYPERLINK("http://geossdi.dmp.wa.gov.au/NVCLDataServices/mosaic.html?datasetid=8c008fb5-63a6-41f9-8442-7fc10908760","11SAVD003_Core Image")</f>
        <v>11SAVD003_Core Image</v>
      </c>
    </row>
    <row r="1112" spans="1:11" x14ac:dyDescent="0.25">
      <c r="A1112" t="str">
        <f>HYPERLINK("http://www.corstruth.com.au/WA/07THD002_cs.png","07THD002_A4")</f>
        <v>07THD002_A4</v>
      </c>
      <c r="B1112" t="str">
        <f>HYPERLINK("http://www.corstruth.com.au/WA/PNG2/07THD002_cs.png","07THD002_0.25m Bins")</f>
        <v>07THD002_0.25m Bins</v>
      </c>
      <c r="C1112" t="str">
        <f>HYPERLINK("http://www.corstruth.com.au/WA/CSV/07THD002.csv","07THD002_CSV File 1m Bins")</f>
        <v>07THD002_CSV File 1m Bins</v>
      </c>
      <c r="D1112" t="s">
        <v>1493</v>
      </c>
      <c r="E1112" t="s">
        <v>1</v>
      </c>
      <c r="G1112" t="s">
        <v>1478</v>
      </c>
      <c r="H1112" t="s">
        <v>1494</v>
      </c>
      <c r="I1112">
        <v>-23.569900000000001</v>
      </c>
      <c r="J1112">
        <v>121.46</v>
      </c>
      <c r="K1112" t="str">
        <f>HYPERLINK("http://geossdi.dmp.wa.gov.au/NVCLDataServices/mosaic.html?datasetid=92b7750d-5bf9-4115-bf29-dff7db936f6","07THD002_Core Image")</f>
        <v>07THD002_Core Image</v>
      </c>
    </row>
    <row r="1113" spans="1:11" x14ac:dyDescent="0.25">
      <c r="A1113" t="str">
        <f>HYPERLINK("http://www.corstruth.com.au/WA/07THD003_cs.png","07THD003_A4")</f>
        <v>07THD003_A4</v>
      </c>
      <c r="B1113" t="str">
        <f>HYPERLINK("http://www.corstruth.com.au/WA/PNG2/07THD003_cs.png","07THD003_0.25m Bins")</f>
        <v>07THD003_0.25m Bins</v>
      </c>
      <c r="C1113" t="str">
        <f>HYPERLINK("http://www.corstruth.com.au/WA/CSV/07THD003.csv","07THD003_CSV File 1m Bins")</f>
        <v>07THD003_CSV File 1m Bins</v>
      </c>
      <c r="D1113" t="s">
        <v>1495</v>
      </c>
      <c r="E1113" t="s">
        <v>1</v>
      </c>
      <c r="G1113" t="s">
        <v>1478</v>
      </c>
      <c r="H1113" t="s">
        <v>1494</v>
      </c>
      <c r="I1113">
        <v>-23.681699999999999</v>
      </c>
      <c r="J1113">
        <v>121.19799999999999</v>
      </c>
      <c r="K1113" t="str">
        <f>HYPERLINK("http://geossdi.dmp.wa.gov.au/NVCLDataServices/mosaic.html?datasetid=4598e2a6-7910-43c1-8894-09b01d36567","07THD003_Core Image")</f>
        <v>07THD003_Core Image</v>
      </c>
    </row>
    <row r="1114" spans="1:11" x14ac:dyDescent="0.25">
      <c r="A1114" t="str">
        <f>HYPERLINK("http://www.corstruth.com.au/WA/09THD028_cs.png","09THD028_A4")</f>
        <v>09THD028_A4</v>
      </c>
      <c r="B1114" t="str">
        <f>HYPERLINK("http://www.corstruth.com.au/WA/PNG2/09THD028_cs.png","09THD028_0.25m Bins")</f>
        <v>09THD028_0.25m Bins</v>
      </c>
      <c r="C1114" t="str">
        <f>HYPERLINK("http://www.corstruth.com.au/WA/CSV/09THD028.csv","09THD028_CSV File 1m Bins")</f>
        <v>09THD028_CSV File 1m Bins</v>
      </c>
      <c r="D1114" t="s">
        <v>1496</v>
      </c>
      <c r="E1114" t="s">
        <v>1</v>
      </c>
      <c r="G1114" t="s">
        <v>1478</v>
      </c>
      <c r="H1114" t="s">
        <v>1494</v>
      </c>
      <c r="I1114">
        <v>-24.104900000000001</v>
      </c>
      <c r="J1114">
        <v>121.697</v>
      </c>
      <c r="K1114" t="str">
        <f>HYPERLINK("http://geossdi.dmp.wa.gov.au/NVCLDataServices/mosaic.html?datasetid=8ee07ba8-5646-45a0-b503-a0aeceec13b","09THD028_Core Image")</f>
        <v>09THD028_Core Image</v>
      </c>
    </row>
    <row r="1115" spans="1:11" x14ac:dyDescent="0.25">
      <c r="A1115" t="str">
        <f>HYPERLINK("http://www.corstruth.com.au/WA/09THD029_cs.png","09THD029_A4")</f>
        <v>09THD029_A4</v>
      </c>
      <c r="B1115" t="str">
        <f>HYPERLINK("http://www.corstruth.com.au/WA/PNG2/09THD029_cs.png","09THD029_0.25m Bins")</f>
        <v>09THD029_0.25m Bins</v>
      </c>
      <c r="C1115" t="str">
        <f>HYPERLINK("http://www.corstruth.com.au/WA/CSV/09THD029.csv","09THD029_CSV File 1m Bins")</f>
        <v>09THD029_CSV File 1m Bins</v>
      </c>
      <c r="D1115" t="s">
        <v>1497</v>
      </c>
      <c r="E1115" t="s">
        <v>1</v>
      </c>
      <c r="G1115" t="s">
        <v>1478</v>
      </c>
      <c r="H1115" t="s">
        <v>1494</v>
      </c>
      <c r="I1115">
        <v>-24.110099999999999</v>
      </c>
      <c r="J1115">
        <v>121.682</v>
      </c>
      <c r="K1115" t="str">
        <f>HYPERLINK("http://geossdi.dmp.wa.gov.au/NVCLDataServices/mosaic.html?datasetid=56b8a0eb-8f59-414a-8d5c-01280873106","09THD029_Core Image")</f>
        <v>09THD029_Core Image</v>
      </c>
    </row>
    <row r="1116" spans="1:11" x14ac:dyDescent="0.25">
      <c r="A1116" t="str">
        <f>HYPERLINK("http://www.corstruth.com.au/WA/09THD030_cs.png","09THD030_A4")</f>
        <v>09THD030_A4</v>
      </c>
      <c r="B1116" t="str">
        <f>HYPERLINK("http://www.corstruth.com.au/WA/PNG2/09THD030_cs.png","09THD030_0.25m Bins")</f>
        <v>09THD030_0.25m Bins</v>
      </c>
      <c r="C1116" t="str">
        <f>HYPERLINK("http://www.corstruth.com.au/WA/CSV/09THD030.csv","09THD030_CSV File 1m Bins")</f>
        <v>09THD030_CSV File 1m Bins</v>
      </c>
      <c r="D1116" t="s">
        <v>1498</v>
      </c>
      <c r="E1116" t="s">
        <v>1</v>
      </c>
      <c r="G1116" t="s">
        <v>1478</v>
      </c>
      <c r="H1116" t="s">
        <v>1494</v>
      </c>
      <c r="I1116">
        <v>-24.102499999999999</v>
      </c>
      <c r="J1116">
        <v>121.70699999999999</v>
      </c>
      <c r="K1116" t="str">
        <f>HYPERLINK("http://geossdi.dmp.wa.gov.au/NVCLDataServices/mosaic.html?datasetid=7c37bfca-2e2e-469c-b10a-3d972ca53ff","09THD030_Core Image")</f>
        <v>09THD030_Core Image</v>
      </c>
    </row>
    <row r="1117" spans="1:11" x14ac:dyDescent="0.25">
      <c r="A1117" t="str">
        <f>HYPERLINK("http://www.corstruth.com.au/WA/09THD031_cs.png","09THD031_A4")</f>
        <v>09THD031_A4</v>
      </c>
      <c r="B1117" t="str">
        <f>HYPERLINK("http://www.corstruth.com.au/WA/PNG2/09THD031_cs.png","09THD031_0.25m Bins")</f>
        <v>09THD031_0.25m Bins</v>
      </c>
      <c r="C1117" t="str">
        <f>HYPERLINK("http://www.corstruth.com.au/WA/CSV/09THD031.csv","09THD031_CSV File 1m Bins")</f>
        <v>09THD031_CSV File 1m Bins</v>
      </c>
      <c r="D1117" t="s">
        <v>1499</v>
      </c>
      <c r="E1117" t="s">
        <v>1</v>
      </c>
      <c r="G1117" t="s">
        <v>1478</v>
      </c>
      <c r="H1117" t="s">
        <v>1494</v>
      </c>
      <c r="I1117">
        <v>-24.219899999999999</v>
      </c>
      <c r="J1117">
        <v>121.328</v>
      </c>
      <c r="K1117" t="str">
        <f>HYPERLINK("http://geossdi.dmp.wa.gov.au/NVCLDataServices/mosaic.html?datasetid=54f71dfc-c5f3-4ead-8f6c-5c0315fd89c","09THD031_Core Image")</f>
        <v>09THD031_Core Image</v>
      </c>
    </row>
    <row r="1118" spans="1:11" x14ac:dyDescent="0.25">
      <c r="A1118" t="str">
        <f>HYPERLINK("http://www.corstruth.com.au/WA/09THD032_cs.png","09THD032_A4")</f>
        <v>09THD032_A4</v>
      </c>
      <c r="B1118" t="str">
        <f>HYPERLINK("http://www.corstruth.com.au/WA/PNG2/09THD032_cs.png","09THD032_0.25m Bins")</f>
        <v>09THD032_0.25m Bins</v>
      </c>
      <c r="C1118" t="str">
        <f>HYPERLINK("http://www.corstruth.com.au/WA/CSV/09THD032.csv","09THD032_CSV File 1m Bins")</f>
        <v>09THD032_CSV File 1m Bins</v>
      </c>
      <c r="D1118" t="s">
        <v>1500</v>
      </c>
      <c r="E1118" t="s">
        <v>1</v>
      </c>
      <c r="G1118" t="s">
        <v>1478</v>
      </c>
      <c r="H1118" t="s">
        <v>1494</v>
      </c>
      <c r="I1118">
        <v>-24.227699999999999</v>
      </c>
      <c r="J1118">
        <v>121.325</v>
      </c>
      <c r="K1118" t="str">
        <f>HYPERLINK("http://geossdi.dmp.wa.gov.au/NVCLDataServices/mosaic.html?datasetid=76a77cfe-95cc-41c9-81f4-37705c499eb","09THD032_Core Image")</f>
        <v>09THD032_Core Image</v>
      </c>
    </row>
    <row r="1119" spans="1:11" x14ac:dyDescent="0.25">
      <c r="A1119" t="str">
        <f>HYPERLINK("http://www.corstruth.com.au/WA/09THD033_cs.png","09THD033_A4")</f>
        <v>09THD033_A4</v>
      </c>
      <c r="B1119" t="str">
        <f>HYPERLINK("http://www.corstruth.com.au/WA/PNG2/09THD033_cs.png","09THD033_0.25m Bins")</f>
        <v>09THD033_0.25m Bins</v>
      </c>
      <c r="C1119" t="str">
        <f>HYPERLINK("http://www.corstruth.com.au/WA/CSV/09THD033.csv","09THD033_CSV File 1m Bins")</f>
        <v>09THD033_CSV File 1m Bins</v>
      </c>
      <c r="D1119" t="s">
        <v>1501</v>
      </c>
      <c r="E1119" t="s">
        <v>1</v>
      </c>
      <c r="G1119" t="s">
        <v>1478</v>
      </c>
      <c r="H1119" t="s">
        <v>1494</v>
      </c>
      <c r="I1119">
        <v>-24.206099999999999</v>
      </c>
      <c r="J1119">
        <v>121.306</v>
      </c>
      <c r="K1119" t="str">
        <f>HYPERLINK("http://geossdi.dmp.wa.gov.au/NVCLDataServices/mosaic.html?datasetid=d4f7e955-74d7-4ed1-85bc-78ae44ede53","09THD033_Core Image")</f>
        <v>09THD033_Core Image</v>
      </c>
    </row>
    <row r="1120" spans="1:11" x14ac:dyDescent="0.25">
      <c r="A1120" t="str">
        <f>HYPERLINK("http://www.corstruth.com.au/WA/GSWA_Trainor_1_cs.png","GSWA Trainor 1_A4")</f>
        <v>GSWA Trainor 1_A4</v>
      </c>
      <c r="B1120" t="str">
        <f>HYPERLINK("http://www.corstruth.com.au/WA/PNG2/GSWA_Trainor_1_cs.png","GSWA Trainor 1_0.25m Bins")</f>
        <v>GSWA Trainor 1_0.25m Bins</v>
      </c>
      <c r="C1120" t="str">
        <f>HYPERLINK("http://www.corstruth.com.au/WA/CSV/GSWA_Trainor_1.csv","GSWA Trainor 1_CSV File 1m Bins")</f>
        <v>GSWA Trainor 1_CSV File 1m Bins</v>
      </c>
      <c r="D1120" t="s">
        <v>1502</v>
      </c>
      <c r="E1120" t="s">
        <v>1</v>
      </c>
      <c r="G1120" t="s">
        <v>1478</v>
      </c>
      <c r="H1120" t="s">
        <v>1503</v>
      </c>
      <c r="I1120">
        <v>-24.526900000000001</v>
      </c>
      <c r="J1120">
        <v>122.74</v>
      </c>
      <c r="K1120" t="str">
        <f>HYPERLINK("http://geossdi.dmp.wa.gov.au/NVCLDataServices/mosaic.html?datasetid=9cf9e98c-6e92-4407-8916-3db0004c8e7","GSWA Trainor 1_Core Image")</f>
        <v>GSWA Trainor 1_Core Image</v>
      </c>
    </row>
    <row r="1121" spans="1:11" x14ac:dyDescent="0.25">
      <c r="A1121" t="str">
        <f>HYPERLINK("http://www.corstruth.com.au/WA/GSWA_Vines_1_cs.png","GSWA Vines 1_A4")</f>
        <v>GSWA Vines 1_A4</v>
      </c>
      <c r="B1121" t="str">
        <f>HYPERLINK("http://www.corstruth.com.au/WA/PNG2/GSWA_Vines_1_cs.png","GSWA Vines 1_0.25m Bins")</f>
        <v>GSWA Vines 1_0.25m Bins</v>
      </c>
      <c r="C1121" t="str">
        <f>HYPERLINK("http://www.corstruth.com.au/WA/CSV/GSWA_Vines_1.csv","GSWA Vines 1_CSV File 1m Bins")</f>
        <v>GSWA Vines 1_CSV File 1m Bins</v>
      </c>
      <c r="D1121" t="s">
        <v>1504</v>
      </c>
      <c r="E1121" t="s">
        <v>1</v>
      </c>
      <c r="G1121" t="s">
        <v>1478</v>
      </c>
      <c r="H1121" t="s">
        <v>1505</v>
      </c>
      <c r="I1121">
        <v>-26.7014</v>
      </c>
      <c r="J1121">
        <v>128.25200000000001</v>
      </c>
      <c r="K1121" t="str">
        <f>HYPERLINK("http://geossdi.dmp.wa.gov.au/NVCLDataServices/mosaic.html?datasetid=1c4a5510-9fb4-4ede-8089-b7fb6057598","GSWA Vines 1_Core Image")</f>
        <v>GSWA Vines 1_Core Image</v>
      </c>
    </row>
    <row r="1122" spans="1:11" x14ac:dyDescent="0.25">
      <c r="A1122" t="str">
        <f>HYPERLINK("http://www.corstruth.com.au/WA/20ALDD0001_cs.png","20ALDD0001_A4")</f>
        <v>20ALDD0001_A4</v>
      </c>
      <c r="B1122" t="str">
        <f>HYPERLINK("http://www.corstruth.com.au/WA/PNG2/20ALDD0001_cs.png","20ALDD0001_0.25m Bins")</f>
        <v>20ALDD0001_0.25m Bins</v>
      </c>
      <c r="C1122" t="str">
        <f>HYPERLINK("http://www.corstruth.com.au/WA/CSV/20ALDD0001.csv","20ALDD0001_CSV File 1m Bins")</f>
        <v>20ALDD0001_CSV File 1m Bins</v>
      </c>
      <c r="D1122" t="s">
        <v>1506</v>
      </c>
      <c r="E1122" t="s">
        <v>1</v>
      </c>
      <c r="G1122" t="s">
        <v>1507</v>
      </c>
      <c r="H1122" t="s">
        <v>56</v>
      </c>
      <c r="I1122">
        <v>-21.913</v>
      </c>
      <c r="J1122">
        <v>122.035</v>
      </c>
      <c r="K1122" t="str">
        <f>HYPERLINK("http://geossdi.dmp.wa.gov.au/NVCLDataServices/mosaic.html?datasetid=ba18bc93-271a-49d9-a448-1e767e3454d","20ALDD0001_Core Image")</f>
        <v>20ALDD0001_Core Image</v>
      </c>
    </row>
    <row r="1123" spans="1:11" x14ac:dyDescent="0.25">
      <c r="A1123" t="str">
        <f>HYPERLINK("http://www.corstruth.com.au/WA/20ALDD0002_cs.png","20ALDD0002_A4")</f>
        <v>20ALDD0002_A4</v>
      </c>
      <c r="B1123" t="str">
        <f>HYPERLINK("http://www.corstruth.com.au/WA/PNG2/20ALDD0002_cs.png","20ALDD0002_0.25m Bins")</f>
        <v>20ALDD0002_0.25m Bins</v>
      </c>
      <c r="C1123" t="str">
        <f>HYPERLINK("http://www.corstruth.com.au/WA/CSV/20ALDD0002.csv","20ALDD0002_CSV File 1m Bins")</f>
        <v>20ALDD0002_CSV File 1m Bins</v>
      </c>
      <c r="D1123" t="s">
        <v>1508</v>
      </c>
      <c r="E1123" t="s">
        <v>1</v>
      </c>
      <c r="G1123" t="s">
        <v>1507</v>
      </c>
      <c r="H1123" t="s">
        <v>56</v>
      </c>
      <c r="I1123">
        <v>-21.919599999999999</v>
      </c>
      <c r="J1123">
        <v>122.04300000000001</v>
      </c>
      <c r="K1123" t="str">
        <f>HYPERLINK("http://geossdi.dmp.wa.gov.au/NVCLDataServices/mosaic.html?datasetid=cba41c3b-0d9b-4741-bc79-5bf907cf3d5","20ALDD0002_Core Image")</f>
        <v>20ALDD0002_Core Image</v>
      </c>
    </row>
    <row r="1124" spans="1:11" x14ac:dyDescent="0.25">
      <c r="A1124" t="str">
        <f>HYPERLINK("http://www.corstruth.com.au/WA/20ALDD0003_cs.png","20ALDD0003_A4")</f>
        <v>20ALDD0003_A4</v>
      </c>
      <c r="B1124" t="str">
        <f>HYPERLINK("http://www.corstruth.com.au/WA/PNG2/20ALDD0003_cs.png","20ALDD0003_0.25m Bins")</f>
        <v>20ALDD0003_0.25m Bins</v>
      </c>
      <c r="C1124" t="str">
        <f>HYPERLINK("http://www.corstruth.com.au/WA/CSV/20ALDD0003.csv","20ALDD0003_CSV File 1m Bins")</f>
        <v>20ALDD0003_CSV File 1m Bins</v>
      </c>
      <c r="D1124" t="s">
        <v>1509</v>
      </c>
      <c r="E1124" t="s">
        <v>1</v>
      </c>
      <c r="G1124" t="s">
        <v>1507</v>
      </c>
      <c r="H1124" t="s">
        <v>56</v>
      </c>
      <c r="I1124">
        <v>-21.933800000000002</v>
      </c>
      <c r="J1124">
        <v>122.053</v>
      </c>
      <c r="K1124" t="str">
        <f>HYPERLINK("http://geossdi.dmp.wa.gov.au/NVCLDataServices/mosaic.html?datasetid=9e23398d-e5af-483c-b88c-6fc06aff807","20ALDD0003_Core Image")</f>
        <v>20ALDD0003_Core Image</v>
      </c>
    </row>
    <row r="1125" spans="1:11" x14ac:dyDescent="0.25">
      <c r="A1125" t="str">
        <f>HYPERLINK("http://www.corstruth.com.au/WA/20ALDD0004_cs.png","20ALDD0004_A4")</f>
        <v>20ALDD0004_A4</v>
      </c>
      <c r="B1125" t="str">
        <f>HYPERLINK("http://www.corstruth.com.au/WA/PNG2/20ALDD0004_cs.png","20ALDD0004_0.25m Bins")</f>
        <v>20ALDD0004_0.25m Bins</v>
      </c>
      <c r="C1125" t="str">
        <f>HYPERLINK("http://www.corstruth.com.au/WA/CSV/20ALDD0004.csv","20ALDD0004_CSV File 1m Bins")</f>
        <v>20ALDD0004_CSV File 1m Bins</v>
      </c>
      <c r="D1125" t="s">
        <v>1510</v>
      </c>
      <c r="E1125" t="s">
        <v>1</v>
      </c>
      <c r="G1125" t="s">
        <v>1507</v>
      </c>
      <c r="H1125" t="s">
        <v>56</v>
      </c>
      <c r="I1125">
        <v>-21.979199999999999</v>
      </c>
      <c r="J1125">
        <v>122.036</v>
      </c>
      <c r="K1125" t="str">
        <f>HYPERLINK("http://geossdi.dmp.wa.gov.au/NVCLDataServices/mosaic.html?datasetid=4c1828bc-099d-4bb1-af7d-9001ee7e266","20ALDD0004_Core Image")</f>
        <v>20ALDD0004_Core Image</v>
      </c>
    </row>
    <row r="1126" spans="1:11" x14ac:dyDescent="0.25">
      <c r="A1126" t="str">
        <f>HYPERLINK("http://www.corstruth.com.au/WA/20ALDD0005_cs.png","20ALDD0005_A4")</f>
        <v>20ALDD0005_A4</v>
      </c>
      <c r="B1126" t="str">
        <f>HYPERLINK("http://www.corstruth.com.au/WA/PNG2/20ALDD0005_cs.png","20ALDD0005_0.25m Bins")</f>
        <v>20ALDD0005_0.25m Bins</v>
      </c>
      <c r="C1126" t="str">
        <f>HYPERLINK("http://www.corstruth.com.au/WA/CSV/20ALDD0005.csv","20ALDD0005_CSV File 1m Bins")</f>
        <v>20ALDD0005_CSV File 1m Bins</v>
      </c>
      <c r="D1126" t="s">
        <v>1511</v>
      </c>
      <c r="E1126" t="s">
        <v>1</v>
      </c>
      <c r="G1126" t="s">
        <v>1507</v>
      </c>
      <c r="H1126" t="s">
        <v>56</v>
      </c>
      <c r="I1126">
        <v>-21.9377</v>
      </c>
      <c r="J1126">
        <v>122.041</v>
      </c>
      <c r="K1126" t="str">
        <f>HYPERLINK("http://geossdi.dmp.wa.gov.au/NVCLDataServices/mosaic.html?datasetid=b72332e8-25b4-4fdb-8354-4e4e7a34748","20ALDD0005_Core Image")</f>
        <v>20ALDD0005_Core Image</v>
      </c>
    </row>
    <row r="1127" spans="1:11" x14ac:dyDescent="0.25">
      <c r="A1127" t="str">
        <f>HYPERLINK("http://www.corstruth.com.au/WA/20ALDD0006_cs.png","20ALDD0006_A4")</f>
        <v>20ALDD0006_A4</v>
      </c>
      <c r="B1127" t="str">
        <f>HYPERLINK("http://www.corstruth.com.au/WA/PNG2/20ALDD0006_cs.png","20ALDD0006_0.25m Bins")</f>
        <v>20ALDD0006_0.25m Bins</v>
      </c>
      <c r="C1127" t="str">
        <f>HYPERLINK("http://www.corstruth.com.au/WA/CSV/20ALDD0006.csv","20ALDD0006_CSV File 1m Bins")</f>
        <v>20ALDD0006_CSV File 1m Bins</v>
      </c>
      <c r="D1127" t="s">
        <v>1512</v>
      </c>
      <c r="E1127" t="s">
        <v>1</v>
      </c>
      <c r="G1127" t="s">
        <v>1507</v>
      </c>
      <c r="H1127" t="s">
        <v>56</v>
      </c>
      <c r="I1127">
        <v>-21.949300000000001</v>
      </c>
      <c r="J1127">
        <v>122.06100000000001</v>
      </c>
      <c r="K1127" t="str">
        <f>HYPERLINK("http://geossdi.dmp.wa.gov.au/NVCLDataServices/mosaic.html?datasetid=f2f14589-dbfd-40ef-ba79-685d14725ed","20ALDD0006_Core Image")</f>
        <v>20ALDD0006_Core Image</v>
      </c>
    </row>
    <row r="1128" spans="1:11" x14ac:dyDescent="0.25">
      <c r="A1128" t="str">
        <f>HYPERLINK("http://www.corstruth.com.au/WA/20ALDD0007_cs.png","20ALDD0007_A4")</f>
        <v>20ALDD0007_A4</v>
      </c>
      <c r="B1128" t="str">
        <f>HYPERLINK("http://www.corstruth.com.au/WA/PNG2/20ALDD0007_cs.png","20ALDD0007_0.25m Bins")</f>
        <v>20ALDD0007_0.25m Bins</v>
      </c>
      <c r="C1128" t="str">
        <f>HYPERLINK("http://www.corstruth.com.au/WA/CSV/20ALDD0007.csv","20ALDD0007_CSV File 1m Bins")</f>
        <v>20ALDD0007_CSV File 1m Bins</v>
      </c>
      <c r="D1128" t="s">
        <v>1513</v>
      </c>
      <c r="E1128" t="s">
        <v>1</v>
      </c>
      <c r="G1128" t="s">
        <v>1507</v>
      </c>
      <c r="H1128" t="s">
        <v>56</v>
      </c>
      <c r="I1128">
        <v>-21.9422</v>
      </c>
      <c r="J1128">
        <v>122.06</v>
      </c>
      <c r="K1128" t="str">
        <f>HYPERLINK("http://geossdi.dmp.wa.gov.au/NVCLDataServices/mosaic.html?datasetid=9f3817d3-8c58-48b5-a633-6f619a83359","20ALDD0007_Core Image")</f>
        <v>20ALDD0007_Core Image</v>
      </c>
    </row>
    <row r="1129" spans="1:11" x14ac:dyDescent="0.25">
      <c r="A1129" t="str">
        <f>HYPERLINK("http://www.corstruth.com.au/WA/TMD001_cs.png","TMD001_A4")</f>
        <v>TMD001_A4</v>
      </c>
      <c r="B1129" t="str">
        <f>HYPERLINK("http://www.corstruth.com.au/WA/PNG2/TMD001_cs.png","TMD001_0.25m Bins")</f>
        <v>TMD001_0.25m Bins</v>
      </c>
      <c r="C1129" t="str">
        <f>HYPERLINK("http://www.corstruth.com.au/WA/CSV/TMD001.csv","TMD001_CSV File 1m Bins")</f>
        <v>TMD001_CSV File 1m Bins</v>
      </c>
      <c r="D1129" t="s">
        <v>1514</v>
      </c>
      <c r="E1129" t="s">
        <v>1</v>
      </c>
      <c r="G1129" t="s">
        <v>52</v>
      </c>
      <c r="H1129" t="s">
        <v>1515</v>
      </c>
      <c r="I1129">
        <v>-25.779399999999999</v>
      </c>
      <c r="J1129">
        <v>127.667</v>
      </c>
      <c r="K1129" t="str">
        <f>HYPERLINK("http://geossdi.dmp.wa.gov.au/NVCLDataServices/mosaic.html?datasetid=027babc3-912c-4da8-85ca-c4af268df0b","TMD001_Core Image")</f>
        <v>TMD001_Core Image</v>
      </c>
    </row>
    <row r="1130" spans="1:11" x14ac:dyDescent="0.25">
      <c r="A1130" t="str">
        <f>HYPERLINK("http://www.corstruth.com.au/WA/TMD002_cs.png","TMD002_A4")</f>
        <v>TMD002_A4</v>
      </c>
      <c r="B1130" t="str">
        <f>HYPERLINK("http://www.corstruth.com.au/WA/PNG2/TMD002_cs.png","TMD002_0.25m Bins")</f>
        <v>TMD002_0.25m Bins</v>
      </c>
      <c r="C1130" t="str">
        <f>HYPERLINK("http://www.corstruth.com.au/WA/CSV/TMD002.csv","TMD002_CSV File 1m Bins")</f>
        <v>TMD002_CSV File 1m Bins</v>
      </c>
      <c r="D1130" t="s">
        <v>1516</v>
      </c>
      <c r="E1130" t="s">
        <v>1</v>
      </c>
      <c r="G1130" t="s">
        <v>52</v>
      </c>
      <c r="H1130" t="s">
        <v>1517</v>
      </c>
      <c r="I1130">
        <v>-25.795400000000001</v>
      </c>
      <c r="J1130">
        <v>127.574</v>
      </c>
      <c r="K1130" t="str">
        <f>HYPERLINK("http://geossdi.dmp.wa.gov.au/NVCLDataServices/mosaic.html?datasetid=89e3519e-7ee0-484e-bf2d-7ac0f0c7840","TMD002_Core Image")</f>
        <v>TMD002_Core Image</v>
      </c>
    </row>
    <row r="1131" spans="1:11" x14ac:dyDescent="0.25">
      <c r="A1131" t="str">
        <f>HYPERLINK("http://www.corstruth.com.au/WA/MDDH0001_cs.png","MDDH0001_A4")</f>
        <v>MDDH0001_A4</v>
      </c>
      <c r="B1131" t="str">
        <f>HYPERLINK("http://www.corstruth.com.au/WA/PNG2/MDDH0001_cs.png","MDDH0001_0.25m Bins")</f>
        <v>MDDH0001_0.25m Bins</v>
      </c>
      <c r="C1131" t="str">
        <f>HYPERLINK("http://www.corstruth.com.au/WA/CSV/MDDH0001.csv","MDDH0001_CSV File 1m Bins")</f>
        <v>MDDH0001_CSV File 1m Bins</v>
      </c>
      <c r="D1131" t="s">
        <v>1518</v>
      </c>
      <c r="E1131" t="s">
        <v>1</v>
      </c>
      <c r="G1131" t="s">
        <v>52</v>
      </c>
      <c r="H1131" t="s">
        <v>1519</v>
      </c>
      <c r="I1131">
        <v>-26.3506</v>
      </c>
      <c r="J1131">
        <v>128.87100000000001</v>
      </c>
      <c r="K1131" t="str">
        <f>HYPERLINK("http://geossdi.dmp.wa.gov.au/NVCLDataServices/mosaic.html?datasetid=737e8f00-df33-4f7c-ac30-f9df9c0e9bb","MDDH0001_Core Image")</f>
        <v>MDDH0001_Core Image</v>
      </c>
    </row>
    <row r="1132" spans="1:11" x14ac:dyDescent="0.25">
      <c r="A1132" t="str">
        <f>HYPERLINK("http://www.corstruth.com.au/WA/MDDH0002_cs.png","MDDH0002_A4")</f>
        <v>MDDH0002_A4</v>
      </c>
      <c r="B1132" t="str">
        <f>HYPERLINK("http://www.corstruth.com.au/WA/PNG2/MDDH0002_cs.png","MDDH0002_0.25m Bins")</f>
        <v>MDDH0002_0.25m Bins</v>
      </c>
      <c r="C1132" t="str">
        <f>HYPERLINK("http://www.corstruth.com.au/WA/CSV/MDDH0002.csv","MDDH0002_CSV File 1m Bins")</f>
        <v>MDDH0002_CSV File 1m Bins</v>
      </c>
      <c r="D1132" t="s">
        <v>1520</v>
      </c>
      <c r="E1132" t="s">
        <v>1</v>
      </c>
      <c r="G1132" t="s">
        <v>52</v>
      </c>
      <c r="H1132" t="s">
        <v>1519</v>
      </c>
      <c r="I1132">
        <v>-26.349399999999999</v>
      </c>
      <c r="J1132">
        <v>128.87200000000001</v>
      </c>
      <c r="K1132" t="str">
        <f>HYPERLINK("http://geossdi.dmp.wa.gov.au/NVCLDataServices/mosaic.html?datasetid=bf68640c-5ed4-43a8-a32b-cf94adc3e8d","MDDH0002_Core Image")</f>
        <v>MDDH0002_Core Image</v>
      </c>
    </row>
    <row r="1133" spans="1:11" x14ac:dyDescent="0.25">
      <c r="A1133" t="str">
        <f>HYPERLINK("http://www.corstruth.com.au/WA/MDDH0003_cs.png","MDDH0003_A4")</f>
        <v>MDDH0003_A4</v>
      </c>
      <c r="B1133" t="str">
        <f>HYPERLINK("http://www.corstruth.com.au/WA/PNG2/MDDH0003_cs.png","MDDH0003_0.25m Bins")</f>
        <v>MDDH0003_0.25m Bins</v>
      </c>
      <c r="C1133" t="str">
        <f>HYPERLINK("http://www.corstruth.com.au/WA/CSV/MDDH0003.csv","MDDH0003_CSV File 1m Bins")</f>
        <v>MDDH0003_CSV File 1m Bins</v>
      </c>
      <c r="D1133" t="s">
        <v>1521</v>
      </c>
      <c r="E1133" t="s">
        <v>1</v>
      </c>
      <c r="G1133" t="s">
        <v>52</v>
      </c>
      <c r="H1133" t="s">
        <v>1519</v>
      </c>
      <c r="I1133">
        <v>-26.346800000000002</v>
      </c>
      <c r="J1133">
        <v>128.875</v>
      </c>
      <c r="K1133" t="str">
        <f>HYPERLINK("http://geossdi.dmp.wa.gov.au/NVCLDataServices/mosaic.html?datasetid=0bdd1901-9ec3-4313-a3ec-41cfa7a871c","MDDH0003_Core Image")</f>
        <v>MDDH0003_Core Image</v>
      </c>
    </row>
    <row r="1134" spans="1:11" x14ac:dyDescent="0.25">
      <c r="A1134" t="str">
        <f>HYPERLINK("http://www.corstruth.com.au/WA/CZD0006_cs.png","CZD0006_A4")</f>
        <v>CZD0006_A4</v>
      </c>
      <c r="B1134" t="str">
        <f>HYPERLINK("http://www.corstruth.com.au/WA/PNG2/CZD0006_cs.png","CZD0006_0.25m Bins")</f>
        <v>CZD0006_0.25m Bins</v>
      </c>
      <c r="C1134" t="str">
        <f>HYPERLINK("http://www.corstruth.com.au/WA/CSV/CZD0006.csv","CZD0006_CSV File 1m Bins")</f>
        <v>CZD0006_CSV File 1m Bins</v>
      </c>
      <c r="D1134" t="s">
        <v>1522</v>
      </c>
      <c r="E1134" t="s">
        <v>1</v>
      </c>
      <c r="G1134" t="s">
        <v>52</v>
      </c>
      <c r="H1134" t="s">
        <v>1523</v>
      </c>
      <c r="I1134">
        <v>-25.4544</v>
      </c>
      <c r="J1134">
        <v>126.60599999999999</v>
      </c>
      <c r="K1134" t="str">
        <f>HYPERLINK("http://geossdi.dmp.wa.gov.au/NVCLDataServices/mosaic.html?datasetid=296f0db6-249c-481e-8cb3-63c04a60dd3","CZD0006_Core Image")</f>
        <v>CZD0006_Core Image</v>
      </c>
    </row>
    <row r="1135" spans="1:11" x14ac:dyDescent="0.25">
      <c r="A1135" t="str">
        <f>HYPERLINK("http://www.corstruth.com.au/WA/MDDH0007_cs.png","MDDH0007_A4")</f>
        <v>MDDH0007_A4</v>
      </c>
      <c r="B1135" t="str">
        <f>HYPERLINK("http://www.corstruth.com.au/WA/PNG2/MDDH0007_cs.png","MDDH0007_0.25m Bins")</f>
        <v>MDDH0007_0.25m Bins</v>
      </c>
      <c r="C1135" t="str">
        <f>HYPERLINK("http://www.corstruth.com.au/WA/CSV/MDDH0007.csv","MDDH0007_CSV File 1m Bins")</f>
        <v>MDDH0007_CSV File 1m Bins</v>
      </c>
      <c r="D1135" t="s">
        <v>1524</v>
      </c>
      <c r="E1135" t="s">
        <v>1</v>
      </c>
      <c r="G1135" t="s">
        <v>52</v>
      </c>
      <c r="H1135" t="s">
        <v>1525</v>
      </c>
      <c r="I1135">
        <v>-26.280100000000001</v>
      </c>
      <c r="J1135">
        <v>127.252</v>
      </c>
      <c r="K1135" t="str">
        <f>HYPERLINK("http://geossdi.dmp.wa.gov.au/NVCLDataServices/mosaic.html?datasetid=976cf01f-2f5e-4b58-bda6-f229f3984cb","MDDH0007_Core Image")</f>
        <v>MDDH0007_Core Image</v>
      </c>
    </row>
    <row r="1136" spans="1:11" x14ac:dyDescent="0.25">
      <c r="A1136" t="str">
        <f>HYPERLINK("http://www.corstruth.com.au/WA/CZD0007_cs.png","CZD0007_A4")</f>
        <v>CZD0007_A4</v>
      </c>
      <c r="B1136" t="str">
        <f>HYPERLINK("http://www.corstruth.com.au/WA/PNG2/CZD0007_cs.png","CZD0007_0.25m Bins")</f>
        <v>CZD0007_0.25m Bins</v>
      </c>
      <c r="C1136" t="str">
        <f>HYPERLINK("http://www.corstruth.com.au/WA/CSV/CZD0007.csv","CZD0007_CSV File 1m Bins")</f>
        <v>CZD0007_CSV File 1m Bins</v>
      </c>
      <c r="D1136" t="s">
        <v>1526</v>
      </c>
      <c r="E1136" t="s">
        <v>1</v>
      </c>
      <c r="G1136" t="s">
        <v>52</v>
      </c>
      <c r="H1136" t="s">
        <v>1527</v>
      </c>
      <c r="I1136">
        <v>-26.054500000000001</v>
      </c>
      <c r="J1136">
        <v>127.863</v>
      </c>
      <c r="K1136" t="str">
        <f>HYPERLINK("http://geossdi.dmp.wa.gov.au/NVCLDataServices/mosaic.html?datasetid=1d77860f-5fa2-4ce7-9730-6d5b06c8c2c","CZD0007_Core Image")</f>
        <v>CZD0007_Core Image</v>
      </c>
    </row>
    <row r="1137" spans="1:11" x14ac:dyDescent="0.25">
      <c r="A1137" t="str">
        <f>HYPERLINK("http://www.corstruth.com.au/WA/RWDD0001_cs.png","RWDD0001_A4")</f>
        <v>RWDD0001_A4</v>
      </c>
      <c r="B1137" t="str">
        <f>HYPERLINK("http://www.corstruth.com.au/WA/PNG2/RWDD0001_cs.png","RWDD0001_0.25m Bins")</f>
        <v>RWDD0001_0.25m Bins</v>
      </c>
      <c r="C1137" t="str">
        <f>HYPERLINK("http://www.corstruth.com.au/WA/CSV/RWDD0001.csv","RWDD0001_CSV File 1m Bins")</f>
        <v>RWDD0001_CSV File 1m Bins</v>
      </c>
      <c r="D1137" t="s">
        <v>1528</v>
      </c>
      <c r="E1137" t="s">
        <v>1</v>
      </c>
      <c r="G1137" t="s">
        <v>52</v>
      </c>
      <c r="H1137" t="s">
        <v>1529</v>
      </c>
      <c r="I1137">
        <v>-26.060700000000001</v>
      </c>
      <c r="J1137">
        <v>126.464</v>
      </c>
      <c r="K1137" t="str">
        <f>HYPERLINK("http://geossdi.dmp.wa.gov.au/NVCLDataServices/mosaic.html?datasetid=9405b2b7-69fe-4345-bc18-73997f32730","RWDD0001_Core Image")</f>
        <v>RWDD0001_Core Image</v>
      </c>
    </row>
    <row r="1138" spans="1:11" x14ac:dyDescent="0.25">
      <c r="A1138" t="str">
        <f>HYPERLINK("http://www.corstruth.com.au/WA/RWDD0002_cs.png","RWDD0002_A4")</f>
        <v>RWDD0002_A4</v>
      </c>
      <c r="B1138" t="str">
        <f>HYPERLINK("http://www.corstruth.com.au/WA/PNG2/RWDD0002_cs.png","RWDD0002_0.25m Bins")</f>
        <v>RWDD0002_0.25m Bins</v>
      </c>
      <c r="C1138" t="str">
        <f>HYPERLINK("http://www.corstruth.com.au/WA/CSV/RWDD0002.csv","RWDD0002_CSV File 1m Bins")</f>
        <v>RWDD0002_CSV File 1m Bins</v>
      </c>
      <c r="D1138" t="s">
        <v>1530</v>
      </c>
      <c r="E1138" t="s">
        <v>1</v>
      </c>
      <c r="G1138" t="s">
        <v>52</v>
      </c>
      <c r="H1138" t="s">
        <v>1529</v>
      </c>
      <c r="I1138">
        <v>-26.313500000000001</v>
      </c>
      <c r="J1138">
        <v>126.899</v>
      </c>
      <c r="K1138" t="str">
        <f>HYPERLINK("http://geossdi.dmp.wa.gov.au/NVCLDataServices/mosaic.html?datasetid=88488468-c7d7-4b45-bbb3-b323af8cc2b","RWDD0002_Core Image")</f>
        <v>RWDD0002_Core Image</v>
      </c>
    </row>
    <row r="1139" spans="1:11" x14ac:dyDescent="0.25">
      <c r="A1139" t="str">
        <f>HYPERLINK("http://www.corstruth.com.au/WA/BDRCD009_cs.png","BDRCD009_A4")</f>
        <v>BDRCD009_A4</v>
      </c>
      <c r="B1139" t="str">
        <f>HYPERLINK("http://www.corstruth.com.au/WA/PNG2/BDRCD009_cs.png","BDRCD009_0.25m Bins")</f>
        <v>BDRCD009_0.25m Bins</v>
      </c>
      <c r="C1139" t="str">
        <f>HYPERLINK("http://www.corstruth.com.au/WA/CSV/BDRCD009.csv","BDRCD009_CSV File 1m Bins")</f>
        <v>BDRCD009_CSV File 1m Bins</v>
      </c>
      <c r="D1139" t="s">
        <v>1531</v>
      </c>
      <c r="E1139" t="s">
        <v>1</v>
      </c>
      <c r="G1139" t="s">
        <v>1532</v>
      </c>
      <c r="H1139" t="s">
        <v>1533</v>
      </c>
      <c r="I1139">
        <v>-22.8828</v>
      </c>
      <c r="J1139">
        <v>122.696</v>
      </c>
      <c r="K1139" t="str">
        <f>HYPERLINK("http://geossdi.dmp.wa.gov.au/NVCLDataServices/mosaic.html?datasetid=af022d16-2ee3-43d5-bc80-0ee77ba0785","BDRCD009_Core Image")</f>
        <v>BDRCD009_Core Image</v>
      </c>
    </row>
    <row r="1140" spans="1:11" x14ac:dyDescent="0.25">
      <c r="A1140" t="str">
        <f>HYPERLINK("http://www.corstruth.com.au/WA/BDRCD018_cs.png","BDRCD018_A4")</f>
        <v>BDRCD018_A4</v>
      </c>
      <c r="B1140" t="str">
        <f>HYPERLINK("http://www.corstruth.com.au/WA/PNG2/BDRCD018_cs.png","BDRCD018_0.25m Bins")</f>
        <v>BDRCD018_0.25m Bins</v>
      </c>
      <c r="C1140" t="str">
        <f>HYPERLINK("http://www.corstruth.com.au/WA/CSV/BDRCD018.csv","BDRCD018_CSV File 1m Bins")</f>
        <v>BDRCD018_CSV File 1m Bins</v>
      </c>
      <c r="D1140" t="s">
        <v>1534</v>
      </c>
      <c r="E1140" t="s">
        <v>1</v>
      </c>
      <c r="G1140" t="s">
        <v>1532</v>
      </c>
      <c r="H1140" t="s">
        <v>1533</v>
      </c>
      <c r="I1140">
        <v>-22.8828</v>
      </c>
      <c r="J1140">
        <v>122.696</v>
      </c>
      <c r="K1140" t="str">
        <f>HYPERLINK("http://geossdi.dmp.wa.gov.au/NVCLDataServices/mosaic.html?datasetid=1bda9a8c-39cb-4878-b949-28a6763d6ef","BDRCD018_Core Image")</f>
        <v>BDRCD018_Core Image</v>
      </c>
    </row>
    <row r="1141" spans="1:11" x14ac:dyDescent="0.25">
      <c r="A1141" t="str">
        <f>HYPERLINK("http://www.corstruth.com.au/WA/BDRCD019_cs.png","BDRCD019_A4")</f>
        <v>BDRCD019_A4</v>
      </c>
      <c r="B1141" t="str">
        <f>HYPERLINK("http://www.corstruth.com.au/WA/PNG2/BDRCD019_cs.png","BDRCD019_0.25m Bins")</f>
        <v>BDRCD019_0.25m Bins</v>
      </c>
      <c r="C1141" t="str">
        <f>HYPERLINK("http://www.corstruth.com.au/WA/CSV/BDRCD019.csv","BDRCD019_CSV File 1m Bins")</f>
        <v>BDRCD019_CSV File 1m Bins</v>
      </c>
      <c r="D1141" t="s">
        <v>1535</v>
      </c>
      <c r="E1141" t="s">
        <v>1</v>
      </c>
      <c r="G1141" t="s">
        <v>1532</v>
      </c>
      <c r="H1141" t="s">
        <v>1533</v>
      </c>
      <c r="I1141">
        <v>-22.881499999999999</v>
      </c>
      <c r="J1141">
        <v>122.696</v>
      </c>
      <c r="K1141" t="str">
        <f>HYPERLINK("http://geossdi.dmp.wa.gov.au/NVCLDataServices/mosaic.html?datasetid=7f2d3e3d-af3d-47ad-a852-ea2f5585325","BDRCD019_Core Image")</f>
        <v>BDRCD019_Core Image</v>
      </c>
    </row>
    <row r="1142" spans="1:11" x14ac:dyDescent="0.25">
      <c r="A1142" t="str">
        <f>HYPERLINK("http://www.corstruth.com.au/WA/10KRD06_cs.png","10KRD06_A4")</f>
        <v>10KRD06_A4</v>
      </c>
      <c r="B1142" t="str">
        <f>HYPERLINK("http://www.corstruth.com.au/WA/PNG2/10KRD06_cs.png","10KRD06_0.25m Bins")</f>
        <v>10KRD06_0.25m Bins</v>
      </c>
      <c r="C1142" t="str">
        <f>HYPERLINK("http://www.corstruth.com.au/WA/CSV/10KRD06.csv","10KRD06_CSV File 1m Bins")</f>
        <v>10KRD06_CSV File 1m Bins</v>
      </c>
      <c r="D1142" t="s">
        <v>1536</v>
      </c>
      <c r="E1142" t="s">
        <v>1</v>
      </c>
      <c r="G1142" t="s">
        <v>1532</v>
      </c>
      <c r="H1142" t="s">
        <v>1537</v>
      </c>
      <c r="I1142">
        <v>-22.343800000000002</v>
      </c>
      <c r="J1142">
        <v>122.10899999999999</v>
      </c>
      <c r="K1142" t="str">
        <f>HYPERLINK("http://geossdi.dmp.wa.gov.au/NVCLDataServices/mosaic.html?datasetid=301cf25e-a089-40c5-bd05-d39299a4c42","10KRD06_Core Image")</f>
        <v>10KRD06_Core Image</v>
      </c>
    </row>
    <row r="1143" spans="1:11" x14ac:dyDescent="0.25">
      <c r="A1143" t="str">
        <f>HYPERLINK("http://www.corstruth.com.au/WA/10KRD04_cs.png","10KRD04_A4")</f>
        <v>10KRD04_A4</v>
      </c>
      <c r="B1143" t="str">
        <f>HYPERLINK("http://www.corstruth.com.au/WA/PNG2/10KRD04_cs.png","10KRD04_0.25m Bins")</f>
        <v>10KRD04_0.25m Bins</v>
      </c>
      <c r="C1143" t="str">
        <f>HYPERLINK("http://www.corstruth.com.au/WA/CSV/10KRD04.csv","10KRD04_CSV File 1m Bins")</f>
        <v>10KRD04_CSV File 1m Bins</v>
      </c>
      <c r="D1143" t="s">
        <v>1538</v>
      </c>
      <c r="E1143" t="s">
        <v>1</v>
      </c>
      <c r="G1143" t="s">
        <v>1532</v>
      </c>
      <c r="H1143" t="s">
        <v>1539</v>
      </c>
      <c r="I1143">
        <v>-22.364699999999999</v>
      </c>
      <c r="J1143">
        <v>122.131</v>
      </c>
      <c r="K1143" t="str">
        <f>HYPERLINK("http://geossdi.dmp.wa.gov.au/NVCLDataServices/mosaic.html?datasetid=de1caa3e-f8c7-4532-9f05-3fdd8da8b80","10KRD04_Core Image")</f>
        <v>10KRD04_Core Image</v>
      </c>
    </row>
    <row r="1144" spans="1:11" x14ac:dyDescent="0.25">
      <c r="A1144" t="str">
        <f>HYPERLINK("http://www.corstruth.com.au/WA/RUD0001_cs.png","RUD0001_A4")</f>
        <v>RUD0001_A4</v>
      </c>
      <c r="B1144" t="str">
        <f>HYPERLINK("http://www.corstruth.com.au/WA/PNG2/RUD0001_cs.png","RUD0001_0.25m Bins")</f>
        <v>RUD0001_0.25m Bins</v>
      </c>
      <c r="C1144" t="str">
        <f>HYPERLINK("http://www.corstruth.com.au/WA/CSV/RUD0001.csv","RUD0001_CSV File 1m Bins")</f>
        <v>RUD0001_CSV File 1m Bins</v>
      </c>
      <c r="D1144" t="s">
        <v>1540</v>
      </c>
      <c r="E1144" t="s">
        <v>1</v>
      </c>
      <c r="G1144" t="s">
        <v>1532</v>
      </c>
      <c r="H1144" t="s">
        <v>1541</v>
      </c>
      <c r="I1144">
        <v>-22.799399999999999</v>
      </c>
      <c r="J1144">
        <v>123.04300000000001</v>
      </c>
      <c r="K1144" t="str">
        <f>HYPERLINK("http://geossdi.dmp.wa.gov.au/NVCLDataServices/mosaic.html?datasetid=d3cad573-c51e-4a93-b319-1ba8a259aa2","RUD0001_Core Image")</f>
        <v>RUD0001_Core Image</v>
      </c>
    </row>
    <row r="1145" spans="1:11" x14ac:dyDescent="0.25">
      <c r="A1145" t="str">
        <f>HYPERLINK("http://www.corstruth.com.au/WA/RUD0002_cs.png","RUD0002_A4")</f>
        <v>RUD0002_A4</v>
      </c>
      <c r="B1145" t="str">
        <f>HYPERLINK("http://www.corstruth.com.au/WA/PNG2/RUD0002_cs.png","RUD0002_0.25m Bins")</f>
        <v>RUD0002_0.25m Bins</v>
      </c>
      <c r="C1145" t="str">
        <f>HYPERLINK("http://www.corstruth.com.au/WA/CSV/RUD0002.csv","RUD0002_CSV File 1m Bins")</f>
        <v>RUD0002_CSV File 1m Bins</v>
      </c>
      <c r="D1145" t="s">
        <v>1542</v>
      </c>
      <c r="E1145" t="s">
        <v>1</v>
      </c>
      <c r="G1145" t="s">
        <v>1532</v>
      </c>
      <c r="H1145" t="s">
        <v>1541</v>
      </c>
      <c r="I1145">
        <v>-23.041399999999999</v>
      </c>
      <c r="J1145">
        <v>123.48399999999999</v>
      </c>
      <c r="K1145" t="str">
        <f>HYPERLINK("http://geossdi.dmp.wa.gov.au/NVCLDataServices/mosaic.html?datasetid=6b2f9acc-27a4-430b-b17f-76fa78bacc1","RUD0002_Core Image")</f>
        <v>RUD0002_Core Image</v>
      </c>
    </row>
    <row r="1146" spans="1:11" x14ac:dyDescent="0.25">
      <c r="A1146" t="str">
        <f>HYPERLINK("http://www.corstruth.com.au/WA/RUD0003_cs.png","RUD0003_A4")</f>
        <v>RUD0003_A4</v>
      </c>
      <c r="B1146" t="str">
        <f>HYPERLINK("http://www.corstruth.com.au/WA/PNG2/RUD0003_cs.png","RUD0003_0.25m Bins")</f>
        <v>RUD0003_0.25m Bins</v>
      </c>
      <c r="C1146" t="str">
        <f>HYPERLINK("http://www.corstruth.com.au/WA/CSV/RUD0003.csv","RUD0003_CSV File 1m Bins")</f>
        <v>RUD0003_CSV File 1m Bins</v>
      </c>
      <c r="D1146" t="s">
        <v>1543</v>
      </c>
      <c r="E1146" t="s">
        <v>1</v>
      </c>
      <c r="G1146" t="s">
        <v>1532</v>
      </c>
      <c r="H1146" t="s">
        <v>1541</v>
      </c>
      <c r="I1146">
        <v>-23.036200000000001</v>
      </c>
      <c r="J1146">
        <v>123.48699999999999</v>
      </c>
      <c r="K1146" t="str">
        <f>HYPERLINK("http://geossdi.dmp.wa.gov.au/NVCLDataServices/mosaic.html?datasetid=0ae22e01-bf95-457f-95ff-35fafdb4971","RUD0003_Core Image")</f>
        <v>RUD0003_Core Image</v>
      </c>
    </row>
    <row r="1147" spans="1:11" x14ac:dyDescent="0.25">
      <c r="A1147" t="str">
        <f>HYPERLINK("http://www.corstruth.com.au/WA/RUD0004_cs.png","RUD0004_A4")</f>
        <v>RUD0004_A4</v>
      </c>
      <c r="B1147" t="str">
        <f>HYPERLINK("http://www.corstruth.com.au/WA/PNG2/RUD0004_cs.png","RUD0004_0.25m Bins")</f>
        <v>RUD0004_0.25m Bins</v>
      </c>
      <c r="C1147" t="str">
        <f>HYPERLINK("http://www.corstruth.com.au/WA/CSV/RUD0004.csv","RUD0004_CSV File 1m Bins")</f>
        <v>RUD0004_CSV File 1m Bins</v>
      </c>
      <c r="D1147" t="s">
        <v>1544</v>
      </c>
      <c r="E1147" t="s">
        <v>1</v>
      </c>
      <c r="G1147" t="s">
        <v>1532</v>
      </c>
      <c r="H1147" t="s">
        <v>1541</v>
      </c>
      <c r="I1147">
        <v>-23.184000000000001</v>
      </c>
      <c r="J1147">
        <v>123.583</v>
      </c>
      <c r="K1147" t="str">
        <f>HYPERLINK("http://geossdi.dmp.wa.gov.au/NVCLDataServices/mosaic.html?datasetid=79f381c2-c9dc-4b59-a197-f2e4878dae5","RUD0004_Core Image")</f>
        <v>RUD0004_Core Image</v>
      </c>
    </row>
    <row r="1148" spans="1:11" x14ac:dyDescent="0.25">
      <c r="A1148" t="str">
        <f>HYPERLINK("http://www.corstruth.com.au/WA/RUD0006_cs.png","RUD0006_A4")</f>
        <v>RUD0006_A4</v>
      </c>
      <c r="B1148" t="str">
        <f>HYPERLINK("http://www.corstruth.com.au/WA/PNG2/RUD0006_cs.png","RUD0006_0.25m Bins")</f>
        <v>RUD0006_0.25m Bins</v>
      </c>
      <c r="C1148" t="str">
        <f>HYPERLINK("http://www.corstruth.com.au/WA/CSV/RUD0006.csv","RUD0006_CSV File 1m Bins")</f>
        <v>RUD0006_CSV File 1m Bins</v>
      </c>
      <c r="D1148" t="s">
        <v>1545</v>
      </c>
      <c r="E1148" t="s">
        <v>1</v>
      </c>
      <c r="G1148" t="s">
        <v>1532</v>
      </c>
      <c r="H1148" t="s">
        <v>1546</v>
      </c>
      <c r="I1148">
        <v>-23.1296</v>
      </c>
      <c r="J1148">
        <v>124.34399999999999</v>
      </c>
      <c r="K1148" t="str">
        <f>HYPERLINK("http://geossdi.dmp.wa.gov.au/NVCLDataServices/mosaic.html?datasetid=349e872c-6781-4971-97eb-8644b13aa9c","RUD0006_Core Image")</f>
        <v>RUD0006_Core Image</v>
      </c>
    </row>
    <row r="1149" spans="1:11" x14ac:dyDescent="0.25">
      <c r="A1149" t="str">
        <f>HYPERLINK("http://www.corstruth.com.au/WA/RUD0007_cs.png","RUD0007_A4")</f>
        <v>RUD0007_A4</v>
      </c>
      <c r="B1149" t="str">
        <f>HYPERLINK("http://www.corstruth.com.au/WA/PNG2/RUD0007_cs.png","RUD0007_0.25m Bins")</f>
        <v>RUD0007_0.25m Bins</v>
      </c>
      <c r="C1149" t="str">
        <f>HYPERLINK("http://www.corstruth.com.au/WA/CSV/RUD0007.csv","RUD0007_CSV File 1m Bins")</f>
        <v>RUD0007_CSV File 1m Bins</v>
      </c>
      <c r="D1149" t="s">
        <v>1547</v>
      </c>
      <c r="E1149" t="s">
        <v>1</v>
      </c>
      <c r="G1149" t="s">
        <v>1532</v>
      </c>
      <c r="H1149" t="s">
        <v>1546</v>
      </c>
      <c r="I1149">
        <v>-23.1296</v>
      </c>
      <c r="J1149">
        <v>124.34399999999999</v>
      </c>
      <c r="K1149" t="str">
        <f>HYPERLINK("http://geossdi.dmp.wa.gov.au/NVCLDataServices/mosaic.html?datasetid=74a3ece9-10dc-44fa-a17c-4b1101048e0","RUD0007_Core Image")</f>
        <v>RUD0007_Core Image</v>
      </c>
    </row>
    <row r="1150" spans="1:11" x14ac:dyDescent="0.25">
      <c r="A1150" t="str">
        <f>HYPERLINK("http://www.corstruth.com.au/WA/RUD0005_cs.png","RUD0005_A4")</f>
        <v>RUD0005_A4</v>
      </c>
      <c r="B1150" t="str">
        <f>HYPERLINK("http://www.corstruth.com.au/WA/PNG2/RUD0005_cs.png","RUD0005_0.25m Bins")</f>
        <v>RUD0005_0.25m Bins</v>
      </c>
      <c r="C1150" t="str">
        <f>HYPERLINK("http://www.corstruth.com.au/WA/CSV/RUD0005.csv","RUD0005_CSV File 1m Bins")</f>
        <v>RUD0005_CSV File 1m Bins</v>
      </c>
      <c r="D1150" t="s">
        <v>1548</v>
      </c>
      <c r="E1150" t="s">
        <v>1</v>
      </c>
      <c r="G1150" t="s">
        <v>1532</v>
      </c>
      <c r="H1150" t="s">
        <v>1549</v>
      </c>
      <c r="I1150">
        <v>-22.995999999999999</v>
      </c>
      <c r="J1150">
        <v>123.878</v>
      </c>
      <c r="K1150" t="str">
        <f>HYPERLINK("http://geossdi.dmp.wa.gov.au/NVCLDataServices/mosaic.html?datasetid=6f91d2de-a727-4ada-b9af-019a25e820c","RUD0005_Core Image")</f>
        <v>RUD0005_Core Image</v>
      </c>
    </row>
    <row r="1151" spans="1:11" x14ac:dyDescent="0.25">
      <c r="A1151" t="str">
        <f>HYPERLINK("http://www.corstruth.com.au/WA/HAC_9201_cs.png","HAC 9201_A4")</f>
        <v>HAC 9201_A4</v>
      </c>
      <c r="B1151" t="str">
        <f>HYPERLINK("http://www.corstruth.com.au/WA/PNG2/HAC_9201_cs.png","HAC 9201_0.25m Bins")</f>
        <v>HAC 9201_0.25m Bins</v>
      </c>
      <c r="C1151" t="str">
        <f>HYPERLINK("http://www.corstruth.com.au/WA/CSV/HAC_9201.csv","HAC 9201_CSV File 1m Bins")</f>
        <v>HAC 9201_CSV File 1m Bins</v>
      </c>
      <c r="D1151" t="s">
        <v>1550</v>
      </c>
      <c r="E1151" t="s">
        <v>1</v>
      </c>
      <c r="G1151" t="s">
        <v>55</v>
      </c>
      <c r="H1151" t="s">
        <v>1551</v>
      </c>
      <c r="I1151">
        <v>-21.722999999999999</v>
      </c>
      <c r="J1151">
        <v>122.651</v>
      </c>
      <c r="K1151" t="str">
        <f>HYPERLINK("http://geossdi.dmp.wa.gov.au/NVCLDataServices/mosaic.html?datasetid=a1d73c69-e9d6-4796-b17e-f01ce448f19","HAC 9201_Core Image")</f>
        <v>HAC 9201_Core Image</v>
      </c>
    </row>
    <row r="1152" spans="1:11" x14ac:dyDescent="0.25">
      <c r="A1152" t="str">
        <f>HYPERLINK("http://www.corstruth.com.au/WA/T3_cs.png","T3_A4")</f>
        <v>T3_A4</v>
      </c>
      <c r="B1152" t="str">
        <f>HYPERLINK("http://www.corstruth.com.au/WA/PNG2/T3_cs.png","T3_0.25m Bins")</f>
        <v>T3_0.25m Bins</v>
      </c>
      <c r="C1152" t="str">
        <f>HYPERLINK("http://www.corstruth.com.au/WA/CSV/T3.csv","T3_CSV File 1m Bins")</f>
        <v>T3_CSV File 1m Bins</v>
      </c>
      <c r="D1152" t="s">
        <v>1552</v>
      </c>
      <c r="E1152" t="s">
        <v>1</v>
      </c>
      <c r="G1152" t="s">
        <v>55</v>
      </c>
      <c r="H1152" t="s">
        <v>1553</v>
      </c>
      <c r="I1152">
        <v>-20.230399999999999</v>
      </c>
      <c r="J1152">
        <v>121.776</v>
      </c>
      <c r="K1152" t="str">
        <f>HYPERLINK("http://geossdi.dmp.wa.gov.au/NVCLDataServices/mosaic.html?datasetid=074aa41a-4a4f-4e02-ae6a-25d60acdde8","T3_Core Image")</f>
        <v>T3_Core Image</v>
      </c>
    </row>
    <row r="1153" spans="1:11" x14ac:dyDescent="0.25">
      <c r="A1153" t="str">
        <f>HYPERLINK("http://www.corstruth.com.au/WA/C6_cs.png","C6_A4")</f>
        <v>C6_A4</v>
      </c>
      <c r="B1153" t="str">
        <f>HYPERLINK("http://www.corstruth.com.au/WA/PNG2/C6_cs.png","C6_0.25m Bins")</f>
        <v>C6_0.25m Bins</v>
      </c>
      <c r="C1153" t="str">
        <f>HYPERLINK("http://www.corstruth.com.au/WA/CSV/C6.csv","C6_CSV File 1m Bins")</f>
        <v>C6_CSV File 1m Bins</v>
      </c>
      <c r="D1153" t="s">
        <v>1554</v>
      </c>
      <c r="E1153" t="s">
        <v>1</v>
      </c>
      <c r="G1153" t="s">
        <v>55</v>
      </c>
      <c r="H1153" t="s">
        <v>445</v>
      </c>
      <c r="I1153">
        <v>-20.355499999999999</v>
      </c>
      <c r="J1153">
        <v>121.898</v>
      </c>
      <c r="K1153" t="str">
        <f>HYPERLINK("http://geossdi.dmp.wa.gov.au/NVCLDataServices/mosaic.html?datasetid=b0a1d5f3-b5ba-4cd9-9263-723357ea6f1","C6_Core Image")</f>
        <v>C6_Core Image</v>
      </c>
    </row>
    <row r="1154" spans="1:11" x14ac:dyDescent="0.25">
      <c r="A1154" t="str">
        <f>HYPERLINK("http://www.corstruth.com.au/WA/C8_cs.png","C8_A4")</f>
        <v>C8_A4</v>
      </c>
      <c r="B1154" t="str">
        <f>HYPERLINK("http://www.corstruth.com.au/WA/PNG2/C8_cs.png","C8_0.25m Bins")</f>
        <v>C8_0.25m Bins</v>
      </c>
      <c r="C1154" t="str">
        <f>HYPERLINK("http://www.corstruth.com.au/WA/CSV/C8.csv","C8_CSV File 1m Bins")</f>
        <v>C8_CSV File 1m Bins</v>
      </c>
      <c r="D1154" t="s">
        <v>1555</v>
      </c>
      <c r="E1154" t="s">
        <v>1</v>
      </c>
      <c r="G1154" t="s">
        <v>55</v>
      </c>
      <c r="H1154" t="s">
        <v>445</v>
      </c>
      <c r="I1154">
        <v>-20.380299999999998</v>
      </c>
      <c r="J1154">
        <v>121.908</v>
      </c>
      <c r="K1154" t="str">
        <f>HYPERLINK("http://geossdi.dmp.wa.gov.au/NVCLDataServices/mosaic.html?datasetid=366e0c1b-9320-4ff7-acbc-c73d4ae9546","C8_Core Image")</f>
        <v>C8_Core Image</v>
      </c>
    </row>
    <row r="1155" spans="1:11" x14ac:dyDescent="0.25">
      <c r="A1155" t="str">
        <f>HYPERLINK("http://www.corstruth.com.au/WA/C9_cs.png","C9_A4")</f>
        <v>C9_A4</v>
      </c>
      <c r="B1155" t="str">
        <f>HYPERLINK("http://www.corstruth.com.au/WA/PNG2/C9_cs.png","C9_0.25m Bins")</f>
        <v>C9_0.25m Bins</v>
      </c>
      <c r="C1155" t="str">
        <f>HYPERLINK("http://www.corstruth.com.au/WA/CSV/C9.csv","C9_CSV File 1m Bins")</f>
        <v>C9_CSV File 1m Bins</v>
      </c>
      <c r="D1155" t="s">
        <v>1556</v>
      </c>
      <c r="E1155" t="s">
        <v>1</v>
      </c>
      <c r="G1155" t="s">
        <v>55</v>
      </c>
      <c r="H1155" t="s">
        <v>445</v>
      </c>
      <c r="I1155">
        <v>-20.4209</v>
      </c>
      <c r="J1155">
        <v>121.94</v>
      </c>
      <c r="K1155" t="str">
        <f>HYPERLINK("http://geossdi.dmp.wa.gov.au/NVCLDataServices/mosaic.html?datasetid=367c74d6-445c-4ca3-aed3-8d3bf332b6d","C9_Core Image")</f>
        <v>C9_Core Image</v>
      </c>
    </row>
    <row r="1156" spans="1:11" x14ac:dyDescent="0.25">
      <c r="A1156" t="str">
        <f>HYPERLINK("http://www.corstruth.com.au/WA/17FCHRCD001_cs.png","17FCHRCD001_A4")</f>
        <v>17FCHRCD001_A4</v>
      </c>
      <c r="B1156" t="str">
        <f>HYPERLINK("http://www.corstruth.com.au/WA/PNG2/17FCHRCD001_cs.png","17FCHRCD001_0.25m Bins")</f>
        <v>17FCHRCD001_0.25m Bins</v>
      </c>
      <c r="C1156" t="str">
        <f>HYPERLINK("http://www.corstruth.com.au/WA/CSV/17FCHRCD001.csv","17FCHRCD001_CSV File 1m Bins")</f>
        <v>17FCHRCD001_CSV File 1m Bins</v>
      </c>
      <c r="D1156" t="s">
        <v>1557</v>
      </c>
      <c r="E1156" t="s">
        <v>1</v>
      </c>
      <c r="G1156" t="s">
        <v>55</v>
      </c>
      <c r="H1156" t="s">
        <v>1558</v>
      </c>
      <c r="I1156">
        <v>-21.781099999999999</v>
      </c>
      <c r="J1156">
        <v>121.65900000000001</v>
      </c>
      <c r="K1156" t="str">
        <f>HYPERLINK("http://geossdi.dmp.wa.gov.au/NVCLDataServices/mosaic.html?datasetid=bf5965f4-aa82-4669-8a40-f062b22000f","17FCHRCD001_Core Image")</f>
        <v>17FCHRCD001_Core Image</v>
      </c>
    </row>
    <row r="1157" spans="1:11" x14ac:dyDescent="0.25">
      <c r="A1157" t="str">
        <f>HYPERLINK("http://www.corstruth.com.au/WA/MWD14001_cs.png","MWD14001_A4")</f>
        <v>MWD14001_A4</v>
      </c>
      <c r="B1157" t="str">
        <f>HYPERLINK("http://www.corstruth.com.au/WA/PNG2/MWD14001_cs.png","MWD14001_0.25m Bins")</f>
        <v>MWD14001_0.25m Bins</v>
      </c>
      <c r="C1157" t="str">
        <f>HYPERLINK("http://www.corstruth.com.au/WA/CSV/MWD14001.csv","MWD14001_CSV File 1m Bins")</f>
        <v>MWD14001_CSV File 1m Bins</v>
      </c>
      <c r="D1157" t="s">
        <v>1559</v>
      </c>
      <c r="E1157" t="s">
        <v>1</v>
      </c>
      <c r="G1157" t="s">
        <v>55</v>
      </c>
      <c r="H1157" t="s">
        <v>1560</v>
      </c>
      <c r="I1157">
        <v>-21.838200000000001</v>
      </c>
      <c r="J1157">
        <v>122.229</v>
      </c>
      <c r="K1157" t="str">
        <f>HYPERLINK("http://geossdi.dmp.wa.gov.au/NVCLDataServices/mosaic.html?datasetid=4c7b3643-1862-4cda-bba5-5049612b290","MWD14001_Core Image")</f>
        <v>MWD14001_Core Image</v>
      </c>
    </row>
    <row r="1158" spans="1:11" x14ac:dyDescent="0.25">
      <c r="A1158" t="str">
        <f>HYPERLINK("http://www.corstruth.com.au/WA/MWD14002_cs.png","MWD14002_A4")</f>
        <v>MWD14002_A4</v>
      </c>
      <c r="B1158" t="str">
        <f>HYPERLINK("http://www.corstruth.com.au/WA/PNG2/MWD14002_cs.png","MWD14002_0.25m Bins")</f>
        <v>MWD14002_0.25m Bins</v>
      </c>
      <c r="C1158" t="str">
        <f>HYPERLINK("http://www.corstruth.com.au/WA/CSV/MWD14002.csv","MWD14002_CSV File 1m Bins")</f>
        <v>MWD14002_CSV File 1m Bins</v>
      </c>
      <c r="D1158" t="s">
        <v>1561</v>
      </c>
      <c r="E1158" t="s">
        <v>1</v>
      </c>
      <c r="G1158" t="s">
        <v>55</v>
      </c>
      <c r="H1158" t="s">
        <v>1560</v>
      </c>
      <c r="I1158">
        <v>-21.849499999999999</v>
      </c>
      <c r="J1158">
        <v>122.24299999999999</v>
      </c>
      <c r="K1158" t="str">
        <f>HYPERLINK("http://geossdi.dmp.wa.gov.au/NVCLDataServices/mosaic.html?datasetid=492e9765-728d-48e1-9389-e2f0853acf0","MWD14002_Core Image")</f>
        <v>MWD14002_Core Image</v>
      </c>
    </row>
    <row r="1159" spans="1:11" x14ac:dyDescent="0.25">
      <c r="A1159" t="str">
        <f>HYPERLINK("http://www.corstruth.com.au/WA/YNC350_cs.png","YNC350_A4")</f>
        <v>YNC350_A4</v>
      </c>
      <c r="B1159" t="str">
        <f>HYPERLINK("http://www.corstruth.com.au/WA/PNG2/YNC350_cs.png","YNC350_0.25m Bins")</f>
        <v>YNC350_0.25m Bins</v>
      </c>
      <c r="C1159" t="str">
        <f>HYPERLINK("http://www.corstruth.com.au/WA/CSV/YNC350.csv","YNC350_CSV File 1m Bins")</f>
        <v>YNC350_CSV File 1m Bins</v>
      </c>
      <c r="D1159" t="s">
        <v>1562</v>
      </c>
      <c r="E1159" t="s">
        <v>1</v>
      </c>
      <c r="G1159" t="s">
        <v>55</v>
      </c>
      <c r="H1159" t="s">
        <v>1563</v>
      </c>
      <c r="I1159">
        <v>-21.668399999999998</v>
      </c>
      <c r="J1159">
        <v>121.551</v>
      </c>
      <c r="K1159" t="str">
        <f>HYPERLINK("http://geossdi.dmp.wa.gov.au/NVCLDataServices/mosaic.html?datasetid=f0c2ec0d-fefd-4ffd-a948-0b9ec7630af","YNC350_Core Image")</f>
        <v>YNC350_Core Image</v>
      </c>
    </row>
    <row r="1160" spans="1:11" x14ac:dyDescent="0.25">
      <c r="A1160" t="str">
        <f>HYPERLINK("http://www.corstruth.com.au/WA/PND001_cs.png","PND001_A4")</f>
        <v>PND001_A4</v>
      </c>
      <c r="B1160" t="str">
        <f>HYPERLINK("http://www.corstruth.com.au/WA/PNG2/PND001_cs.png","PND001_0.25m Bins")</f>
        <v>PND001_0.25m Bins</v>
      </c>
      <c r="C1160" t="str">
        <f>HYPERLINK("http://www.corstruth.com.au/WA/CSV/PND001.csv","PND001_CSV File 1m Bins")</f>
        <v>PND001_CSV File 1m Bins</v>
      </c>
      <c r="D1160" t="s">
        <v>59</v>
      </c>
      <c r="E1160" t="s">
        <v>1</v>
      </c>
      <c r="G1160" t="s">
        <v>55</v>
      </c>
      <c r="H1160" t="s">
        <v>1564</v>
      </c>
      <c r="I1160">
        <v>-20.625399999999999</v>
      </c>
      <c r="J1160">
        <v>121.968</v>
      </c>
      <c r="K1160" t="str">
        <f>HYPERLINK("http://geossdi.dmp.wa.gov.au/NVCLDataServices/mosaic.html?datasetid=e5a02e2f-5d84-49d6-8cae-618fedba796","PND001_Core Image")</f>
        <v>PND001_Core Image</v>
      </c>
    </row>
    <row r="1161" spans="1:11" x14ac:dyDescent="0.25">
      <c r="A1161" t="str">
        <f>HYPERLINK("http://www.corstruth.com.au/WA/PND002_cs.png","PND002_A4")</f>
        <v>PND002_A4</v>
      </c>
      <c r="B1161" t="str">
        <f>HYPERLINK("http://www.corstruth.com.au/WA/PNG2/PND002_cs.png","PND002_0.25m Bins")</f>
        <v>PND002_0.25m Bins</v>
      </c>
      <c r="C1161" t="str">
        <f>HYPERLINK("http://www.corstruth.com.au/WA/CSV/PND002.csv","PND002_CSV File 1m Bins")</f>
        <v>PND002_CSV File 1m Bins</v>
      </c>
      <c r="D1161" t="s">
        <v>59</v>
      </c>
      <c r="E1161" t="s">
        <v>1</v>
      </c>
      <c r="G1161" t="s">
        <v>55</v>
      </c>
      <c r="H1161" t="s">
        <v>1564</v>
      </c>
      <c r="I1161">
        <v>-20.626300000000001</v>
      </c>
      <c r="J1161">
        <v>121.96899999999999</v>
      </c>
      <c r="K1161" t="str">
        <f>HYPERLINK("http://geossdi.dmp.wa.gov.au/NVCLDataServices/mosaic.html?datasetid=d4aae333-55f3-4b34-b305-363ab9dd0a1","PND002_Core Image")</f>
        <v>PND002_Core Image</v>
      </c>
    </row>
    <row r="1162" spans="1:11" x14ac:dyDescent="0.25">
      <c r="A1162" t="str">
        <f>HYPERLINK("http://www.corstruth.com.au/WA/PND003_cs.png","PND003_A4")</f>
        <v>PND003_A4</v>
      </c>
      <c r="B1162" t="str">
        <f>HYPERLINK("http://www.corstruth.com.au/WA/PNG2/PND003_cs.png","PND003_0.25m Bins")</f>
        <v>PND003_0.25m Bins</v>
      </c>
      <c r="C1162" t="str">
        <f>HYPERLINK("http://www.corstruth.com.au/WA/CSV/PND003.csv","PND003_CSV File 1m Bins")</f>
        <v>PND003_CSV File 1m Bins</v>
      </c>
      <c r="D1162" t="s">
        <v>59</v>
      </c>
      <c r="E1162" t="s">
        <v>1</v>
      </c>
      <c r="G1162" t="s">
        <v>55</v>
      </c>
      <c r="H1162" t="s">
        <v>1564</v>
      </c>
      <c r="I1162">
        <v>-20.627700000000001</v>
      </c>
      <c r="J1162">
        <v>121.97199999999999</v>
      </c>
      <c r="K1162" t="str">
        <f>HYPERLINK("http://geossdi.dmp.wa.gov.au/NVCLDataServices/mosaic.html?datasetid=28f12e96-dbc4-4446-917c-0068bd6988c","PND003_Core Image")</f>
        <v>PND003_Core Image</v>
      </c>
    </row>
    <row r="1163" spans="1:11" x14ac:dyDescent="0.25">
      <c r="A1163" t="str">
        <f>HYPERLINK("http://www.corstruth.com.au/WA/PND004_cs.png","PND004_A4")</f>
        <v>PND004_A4</v>
      </c>
      <c r="B1163" t="str">
        <f>HYPERLINK("http://www.corstruth.com.au/WA/PNG2/PND004_cs.png","PND004_0.25m Bins")</f>
        <v>PND004_0.25m Bins</v>
      </c>
      <c r="C1163" t="str">
        <f>HYPERLINK("http://www.corstruth.com.au/WA/CSV/PND004.csv","PND004_CSV File 1m Bins")</f>
        <v>PND004_CSV File 1m Bins</v>
      </c>
      <c r="D1163" t="s">
        <v>59</v>
      </c>
      <c r="E1163" t="s">
        <v>1</v>
      </c>
      <c r="G1163" t="s">
        <v>55</v>
      </c>
      <c r="H1163" t="s">
        <v>1564</v>
      </c>
      <c r="I1163">
        <v>-20.6264</v>
      </c>
      <c r="J1163">
        <v>121.971</v>
      </c>
      <c r="K1163" t="str">
        <f>HYPERLINK("http://geossdi.dmp.wa.gov.au/NVCLDataServices/mosaic.html?datasetid=19d56ad4-7aa8-4fc5-b664-b25f26e985f","PND004_Core Image")</f>
        <v>PND004_Core Image</v>
      </c>
    </row>
    <row r="1164" spans="1:11" x14ac:dyDescent="0.25">
      <c r="A1164" t="str">
        <f>HYPERLINK("http://www.corstruth.com.au/WA/PND005_cs.png","PND005_A4")</f>
        <v>PND005_A4</v>
      </c>
      <c r="B1164" t="str">
        <f>HYPERLINK("http://www.corstruth.com.au/WA/PNG2/PND005_cs.png","PND005_0.25m Bins")</f>
        <v>PND005_0.25m Bins</v>
      </c>
      <c r="C1164" t="str">
        <f>HYPERLINK("http://www.corstruth.com.au/WA/CSV/PND005.csv","PND005_CSV File 1m Bins")</f>
        <v>PND005_CSV File 1m Bins</v>
      </c>
      <c r="D1164" t="s">
        <v>1565</v>
      </c>
      <c r="E1164" t="s">
        <v>1</v>
      </c>
      <c r="G1164" t="s">
        <v>55</v>
      </c>
      <c r="H1164" t="s">
        <v>1564</v>
      </c>
      <c r="I1164">
        <v>-20.622399999999999</v>
      </c>
      <c r="J1164">
        <v>121.968</v>
      </c>
      <c r="K1164" t="str">
        <f>HYPERLINK("http://geossdi.dmp.wa.gov.au/NVCLDataServices/mosaic.html?datasetid=66bb058b-5285-45d9-a751-6b9a868bc3c","PND005_Core Image")</f>
        <v>PND005_Core Image</v>
      </c>
    </row>
    <row r="1165" spans="1:11" x14ac:dyDescent="0.25">
      <c r="A1165" t="str">
        <f>HYPERLINK("http://www.corstruth.com.au/WA/MHC10001_cs.png","MHC10001_A4")</f>
        <v>MHC10001_A4</v>
      </c>
      <c r="B1165" t="str">
        <f>HYPERLINK("http://www.corstruth.com.au/WA/PNG2/MHC10001_cs.png","MHC10001_0.25m Bins")</f>
        <v>MHC10001_0.25m Bins</v>
      </c>
      <c r="C1165" t="str">
        <f>HYPERLINK("http://www.corstruth.com.au/WA/CSV/MHC10001.csv","MHC10001_CSV File 1m Bins")</f>
        <v>MHC10001_CSV File 1m Bins</v>
      </c>
      <c r="D1165" t="s">
        <v>1566</v>
      </c>
      <c r="E1165" t="s">
        <v>1</v>
      </c>
      <c r="G1165" t="s">
        <v>55</v>
      </c>
      <c r="H1165" t="s">
        <v>1567</v>
      </c>
      <c r="I1165">
        <v>-21.3809</v>
      </c>
      <c r="J1165">
        <v>122.26</v>
      </c>
      <c r="K1165" t="str">
        <f>HYPERLINK("http://geossdi.dmp.wa.gov.au/NVCLDataServices/mosaic.html?datasetid=03dfe543-8963-42c6-8bed-507d659cd67","MHC10001_Core Image")</f>
        <v>MHC10001_Core Image</v>
      </c>
    </row>
    <row r="1166" spans="1:11" x14ac:dyDescent="0.25">
      <c r="A1166" t="str">
        <f>HYPERLINK("http://www.corstruth.com.au/WA/16MYD0052_cs.png","16MYD0052_A4")</f>
        <v>16MYD0052_A4</v>
      </c>
      <c r="B1166" t="str">
        <f>HYPERLINK("http://www.corstruth.com.au/WA/PNG2/16MYD0052_cs.png","16MYD0052_0.25m Bins")</f>
        <v>16MYD0052_0.25m Bins</v>
      </c>
      <c r="C1166" t="str">
        <f>HYPERLINK("http://www.corstruth.com.au/WA/CSV/16MYD0052.csv","16MYD0052_CSV File 1m Bins")</f>
        <v>16MYD0052_CSV File 1m Bins</v>
      </c>
      <c r="D1166" t="s">
        <v>1568</v>
      </c>
      <c r="E1166" t="s">
        <v>1</v>
      </c>
      <c r="G1166" t="s">
        <v>55</v>
      </c>
      <c r="H1166" t="s">
        <v>1569</v>
      </c>
      <c r="I1166">
        <v>-21.3827</v>
      </c>
      <c r="J1166">
        <v>122.256</v>
      </c>
      <c r="K1166" t="str">
        <f>HYPERLINK("http://geossdi.dmp.wa.gov.au/NVCLDataServices/mosaic.html?datasetid=66c7d43c-ccd4-4c7c-8d4a-e83a54b15ed","16MYD0052_Core Image")</f>
        <v>16MYD0052_Core Image</v>
      </c>
    </row>
    <row r="1167" spans="1:11" x14ac:dyDescent="0.25">
      <c r="A1167" t="str">
        <f>HYPERLINK("http://www.corstruth.com.au/WA/16MYD0058_cs.png","16MYD0058_A4")</f>
        <v>16MYD0058_A4</v>
      </c>
      <c r="B1167" t="str">
        <f>HYPERLINK("http://www.corstruth.com.au/WA/PNG2/16MYD0058_cs.png","16MYD0058_0.25m Bins")</f>
        <v>16MYD0058_0.25m Bins</v>
      </c>
      <c r="C1167" t="str">
        <f>HYPERLINK("http://www.corstruth.com.au/WA/CSV/16MYD0058.csv","16MYD0058_CSV File 1m Bins")</f>
        <v>16MYD0058_CSV File 1m Bins</v>
      </c>
      <c r="D1167" t="s">
        <v>1570</v>
      </c>
      <c r="E1167" t="s">
        <v>1</v>
      </c>
      <c r="G1167" t="s">
        <v>55</v>
      </c>
      <c r="H1167" t="s">
        <v>1569</v>
      </c>
      <c r="I1167">
        <v>-21.384</v>
      </c>
      <c r="J1167">
        <v>122.25700000000001</v>
      </c>
      <c r="K1167" t="str">
        <f>HYPERLINK("http://geossdi.dmp.wa.gov.au/NVCLDataServices/mosaic.html?datasetid=6a23f66a-00ff-44ae-9d3d-662a1c2a653","16MYD0058_Core Image")</f>
        <v>16MYD0058_Core Image</v>
      </c>
    </row>
    <row r="1168" spans="1:11" x14ac:dyDescent="0.25">
      <c r="A1168" t="str">
        <f>HYPERLINK("http://www.corstruth.com.au/WA/16MYD0047_cs.png","16MYD0047_A4")</f>
        <v>16MYD0047_A4</v>
      </c>
      <c r="B1168" t="str">
        <f>HYPERLINK("http://www.corstruth.com.au/WA/PNG2/16MYD0047_cs.png","16MYD0047_0.25m Bins")</f>
        <v>16MYD0047_0.25m Bins</v>
      </c>
      <c r="C1168" t="str">
        <f>HYPERLINK("http://www.corstruth.com.au/WA/CSV/16MYD0047.csv","16MYD0047_CSV File 1m Bins")</f>
        <v>16MYD0047_CSV File 1m Bins</v>
      </c>
      <c r="D1168" t="s">
        <v>1571</v>
      </c>
      <c r="E1168" t="s">
        <v>1</v>
      </c>
      <c r="G1168" t="s">
        <v>55</v>
      </c>
      <c r="H1168" t="s">
        <v>1572</v>
      </c>
      <c r="I1168">
        <v>-21.3827</v>
      </c>
      <c r="J1168">
        <v>122.255</v>
      </c>
      <c r="K1168" t="str">
        <f>HYPERLINK("http://geossdi.dmp.wa.gov.au/NVCLDataServices/mosaic.html?datasetid=51afa092-b66b-44f2-960c-86f9ae1a31c","16MYD0047_Core Image")</f>
        <v>16MYD0047_Core Image</v>
      </c>
    </row>
    <row r="1169" spans="1:11" x14ac:dyDescent="0.25">
      <c r="A1169" t="str">
        <f>HYPERLINK("http://www.corstruth.com.au/WA/ETG0094_cs.png","ETG0094_A4")</f>
        <v>ETG0094_A4</v>
      </c>
      <c r="B1169" t="str">
        <f>HYPERLINK("http://www.corstruth.com.au/WA/PNG2/ETG0094_cs.png","ETG0094_0.25m Bins")</f>
        <v>ETG0094_0.25m Bins</v>
      </c>
      <c r="C1169" t="str">
        <f>HYPERLINK("http://www.corstruth.com.au/WA/CSV/ETG0094.csv","ETG0094_CSV File 1m Bins")</f>
        <v>ETG0094_CSV File 1m Bins</v>
      </c>
      <c r="D1169" t="s">
        <v>1573</v>
      </c>
      <c r="E1169" t="s">
        <v>1</v>
      </c>
      <c r="G1169" t="s">
        <v>55</v>
      </c>
      <c r="H1169" t="s">
        <v>1574</v>
      </c>
      <c r="I1169">
        <v>-21.601800000000001</v>
      </c>
      <c r="J1169">
        <v>121.946</v>
      </c>
      <c r="K1169" t="str">
        <f>HYPERLINK("http://geossdi.dmp.wa.gov.au/NVCLDataServices/mosaic.html?datasetid=b3364197-9459-4592-af15-7b2131f21b9","ETG0094_Core Image")</f>
        <v>ETG0094_Core Image</v>
      </c>
    </row>
    <row r="1170" spans="1:11" x14ac:dyDescent="0.25">
      <c r="A1170" t="str">
        <f>HYPERLINK("http://www.corstruth.com.au/WA/ETG0184_cs.png","ETG0184_A4")</f>
        <v>ETG0184_A4</v>
      </c>
      <c r="B1170" t="str">
        <f>HYPERLINK("http://www.corstruth.com.au/WA/PNG2/ETG0184_cs.png","ETG0184_0.25m Bins")</f>
        <v>ETG0184_0.25m Bins</v>
      </c>
      <c r="C1170" t="str">
        <f>HYPERLINK("http://www.corstruth.com.au/WA/CSV/ETG0184.csv","ETG0184_CSV File 1m Bins")</f>
        <v>ETG0184_CSV File 1m Bins</v>
      </c>
      <c r="D1170" t="s">
        <v>1575</v>
      </c>
      <c r="E1170" t="s">
        <v>1</v>
      </c>
      <c r="G1170" t="s">
        <v>55</v>
      </c>
      <c r="H1170" t="s">
        <v>1574</v>
      </c>
      <c r="I1170">
        <v>-21.599599999999999</v>
      </c>
      <c r="J1170">
        <v>121.944</v>
      </c>
      <c r="K1170" t="str">
        <f>HYPERLINK("http://geossdi.dmp.wa.gov.au/NVCLDataServices/mosaic.html?datasetid=89770677-3bd0-468d-8d2e-b466b675382","ETG0184_Core Image")</f>
        <v>ETG0184_Core Image</v>
      </c>
    </row>
    <row r="1171" spans="1:11" x14ac:dyDescent="0.25">
      <c r="A1171" t="str">
        <f>HYPERLINK("http://www.corstruth.com.au/WA/ETG0007_cs.png","ETG0007_A4")</f>
        <v>ETG0007_A4</v>
      </c>
      <c r="B1171" t="str">
        <f>HYPERLINK("http://www.corstruth.com.au/WA/PNG2/ETG0007_cs.png","ETG0007_0.25m Bins")</f>
        <v>ETG0007_0.25m Bins</v>
      </c>
      <c r="C1171" t="str">
        <f>HYPERLINK("http://www.corstruth.com.au/WA/CSV/ETG0007.csv","ETG0007_CSV File 1m Bins")</f>
        <v>ETG0007_CSV File 1m Bins</v>
      </c>
      <c r="D1171" t="s">
        <v>1576</v>
      </c>
      <c r="E1171" t="s">
        <v>1</v>
      </c>
      <c r="G1171" t="s">
        <v>55</v>
      </c>
      <c r="H1171" t="s">
        <v>65</v>
      </c>
      <c r="I1171">
        <v>-21.591799999999999</v>
      </c>
      <c r="J1171">
        <v>121.941</v>
      </c>
      <c r="K1171" t="str">
        <f>HYPERLINK("http://geossdi.dmp.wa.gov.au/NVCLDataServices/mosaic.html?datasetid=533772d9-29a0-4f1e-acb8-4177594f6e4","ETG0007_Core Image")</f>
        <v>ETG0007_Core Image</v>
      </c>
    </row>
    <row r="1172" spans="1:11" x14ac:dyDescent="0.25">
      <c r="A1172" t="str">
        <f>HYPERLINK("http://www.corstruth.com.au/WA/ETG0009_cs.png","ETG0009_A4")</f>
        <v>ETG0009_A4</v>
      </c>
      <c r="B1172" t="str">
        <f>HYPERLINK("http://www.corstruth.com.au/WA/PNG2/ETG0009_cs.png","ETG0009_0.25m Bins")</f>
        <v>ETG0009_0.25m Bins</v>
      </c>
      <c r="C1172" t="str">
        <f>HYPERLINK("http://www.corstruth.com.au/WA/CSV/ETG0009.csv","ETG0009_CSV File 1m Bins")</f>
        <v>ETG0009_CSV File 1m Bins</v>
      </c>
      <c r="D1172" t="s">
        <v>1577</v>
      </c>
      <c r="E1172" t="s">
        <v>1</v>
      </c>
      <c r="G1172" t="s">
        <v>55</v>
      </c>
      <c r="H1172" t="s">
        <v>65</v>
      </c>
      <c r="I1172">
        <v>-21.5777</v>
      </c>
      <c r="J1172">
        <v>121.916</v>
      </c>
      <c r="K1172" t="str">
        <f>HYPERLINK("http://geossdi.dmp.wa.gov.au/NVCLDataServices/mosaic.html?datasetid=5523edf5-55f9-468a-be74-46a1181780c","ETG0009_Core Image")</f>
        <v>ETG0009_Core Image</v>
      </c>
    </row>
    <row r="1173" spans="1:11" x14ac:dyDescent="0.25">
      <c r="A1173" t="str">
        <f>HYPERLINK("http://www.corstruth.com.au/WA/ETG0023_cs.png","ETG0023_A4")</f>
        <v>ETG0023_A4</v>
      </c>
      <c r="B1173" t="str">
        <f>HYPERLINK("http://www.corstruth.com.au/WA/PNG2/ETG0023_cs.png","ETG0023_0.25m Bins")</f>
        <v>ETG0023_0.25m Bins</v>
      </c>
      <c r="C1173" t="str">
        <f>HYPERLINK("http://www.corstruth.com.au/WA/CSV/ETG0023.csv","ETG0023_CSV File 1m Bins")</f>
        <v>ETG0023_CSV File 1m Bins</v>
      </c>
      <c r="D1173" t="s">
        <v>1578</v>
      </c>
      <c r="E1173" t="s">
        <v>1</v>
      </c>
      <c r="G1173" t="s">
        <v>55</v>
      </c>
      <c r="H1173" t="s">
        <v>65</v>
      </c>
      <c r="I1173">
        <v>-21.598800000000001</v>
      </c>
      <c r="J1173">
        <v>121.95</v>
      </c>
      <c r="K1173" t="str">
        <f>HYPERLINK("http://geossdi.dmp.wa.gov.au/NVCLDataServices/mosaic.html?datasetid=78b3866d-a988-4746-94fc-c42bf793083","ETG0023_Core Image")</f>
        <v>ETG0023_Core Image</v>
      </c>
    </row>
    <row r="1174" spans="1:11" x14ac:dyDescent="0.25">
      <c r="A1174" t="str">
        <f>HYPERLINK("http://www.corstruth.com.au/WA/ETG0187_cs.png","ETG0187_A4")</f>
        <v>ETG0187_A4</v>
      </c>
      <c r="B1174" t="str">
        <f>HYPERLINK("http://www.corstruth.com.au/WA/PNG2/ETG0187_cs.png","ETG0187_0.25m Bins")</f>
        <v>ETG0187_0.25m Bins</v>
      </c>
      <c r="C1174" t="str">
        <f>HYPERLINK("http://www.corstruth.com.au/WA/CSV/ETG0187.csv","ETG0187_CSV File 1m Bins")</f>
        <v>ETG0187_CSV File 1m Bins</v>
      </c>
      <c r="D1174" t="s">
        <v>1579</v>
      </c>
      <c r="E1174" t="s">
        <v>1</v>
      </c>
      <c r="G1174" t="s">
        <v>55</v>
      </c>
      <c r="H1174" t="s">
        <v>65</v>
      </c>
      <c r="I1174">
        <v>-21.627800000000001</v>
      </c>
      <c r="J1174">
        <v>122.16200000000001</v>
      </c>
      <c r="K1174" t="str">
        <f>HYPERLINK("http://geossdi.dmp.wa.gov.au/NVCLDataServices/mosaic.html?datasetid=601fd448-6989-4462-865c-138e3f287af","ETG0187_Core Image")</f>
        <v>ETG0187_Core Image</v>
      </c>
    </row>
    <row r="1175" spans="1:11" x14ac:dyDescent="0.25">
      <c r="A1175" t="str">
        <f>HYPERLINK("http://www.corstruth.com.au/WA/PADD002_cs.png","PADD002_A4")</f>
        <v>PADD002_A4</v>
      </c>
      <c r="B1175" t="str">
        <f>HYPERLINK("http://www.corstruth.com.au/WA/PNG2/PADD002_cs.png","PADD002_0.25m Bins")</f>
        <v>PADD002_0.25m Bins</v>
      </c>
      <c r="C1175" t="str">
        <f>HYPERLINK("http://www.corstruth.com.au/WA/CSV/PADD002.csv","PADD002_CSV File 1m Bins")</f>
        <v>PADD002_CSV File 1m Bins</v>
      </c>
      <c r="D1175" t="s">
        <v>1580</v>
      </c>
      <c r="E1175" t="s">
        <v>1</v>
      </c>
      <c r="G1175" t="s">
        <v>55</v>
      </c>
      <c r="H1175" t="s">
        <v>1581</v>
      </c>
      <c r="I1175">
        <v>-21.9499</v>
      </c>
      <c r="J1175">
        <v>121.56</v>
      </c>
      <c r="K1175" t="str">
        <f>HYPERLINK("http://geossdi.dmp.wa.gov.au/NVCLDataServices/mosaic.html?datasetid=8d9f0281-147c-4e88-8463-7aa0d19c981","PADD002_Core Image")</f>
        <v>PADD002_Core Image</v>
      </c>
    </row>
    <row r="1176" spans="1:11" x14ac:dyDescent="0.25">
      <c r="A1176" t="str">
        <f>HYPERLINK("http://www.corstruth.com.au/WA/PADD002A_cs.png","PADD002A_A4")</f>
        <v>PADD002A_A4</v>
      </c>
      <c r="B1176" t="str">
        <f>HYPERLINK("http://www.corstruth.com.au/WA/PNG2/PADD002A_cs.png","PADD002A_0.25m Bins")</f>
        <v>PADD002A_0.25m Bins</v>
      </c>
      <c r="C1176" t="str">
        <f>HYPERLINK("http://www.corstruth.com.au/WA/CSV/PADD002A.csv","PADD002A_CSV File 1m Bins")</f>
        <v>PADD002A_CSV File 1m Bins</v>
      </c>
      <c r="D1176" t="s">
        <v>1582</v>
      </c>
      <c r="E1176" t="s">
        <v>1</v>
      </c>
      <c r="G1176" t="s">
        <v>55</v>
      </c>
      <c r="H1176" t="s">
        <v>1581</v>
      </c>
      <c r="I1176">
        <v>-21.9499</v>
      </c>
      <c r="J1176">
        <v>121.56</v>
      </c>
      <c r="K1176" t="str">
        <f>HYPERLINK("http://geossdi.dmp.wa.gov.au/NVCLDataServices/mosaic.html?datasetid=79b10f1d-ca06-4942-a520-1ae15d4ffc0","PADD002A_Core Image")</f>
        <v>PADD002A_Core Image</v>
      </c>
    </row>
    <row r="1177" spans="1:11" x14ac:dyDescent="0.25">
      <c r="A1177" t="str">
        <f>HYPERLINK("http://www.corstruth.com.au/WA/EPT0798_cs.png","EPT0798_A4")</f>
        <v>EPT0798_A4</v>
      </c>
      <c r="B1177" t="str">
        <f>HYPERLINK("http://www.corstruth.com.au/WA/PNG2/EPT0798_cs.png","EPT0798_0.25m Bins")</f>
        <v>EPT0798_0.25m Bins</v>
      </c>
      <c r="C1177" t="str">
        <f>HYPERLINK("http://www.corstruth.com.au/WA/CSV/EPT0798.csv","EPT0798_CSV File 1m Bins")</f>
        <v>EPT0798_CSV File 1m Bins</v>
      </c>
      <c r="D1177" t="s">
        <v>1583</v>
      </c>
      <c r="E1177" t="s">
        <v>1</v>
      </c>
      <c r="G1177" t="s">
        <v>55</v>
      </c>
      <c r="H1177" t="s">
        <v>1584</v>
      </c>
      <c r="I1177">
        <v>-21.9681</v>
      </c>
      <c r="J1177">
        <v>121.928</v>
      </c>
      <c r="K1177" t="str">
        <f>HYPERLINK("http://geossdi.dmp.wa.gov.au/NVCLDataServices/mosaic.html?datasetid=70bf299b-db6e-405c-a8b5-21be0e6b947","EPT0798_Core Image")</f>
        <v>EPT0798_Core Image</v>
      </c>
    </row>
    <row r="1178" spans="1:11" x14ac:dyDescent="0.25">
      <c r="A1178" t="str">
        <f>HYPERLINK("http://www.corstruth.com.au/WA/EPT2276_cs.png","EPT2276_A4")</f>
        <v>EPT2276_A4</v>
      </c>
      <c r="B1178" t="str">
        <f>HYPERLINK("http://www.corstruth.com.au/WA/PNG2/EPT2276_cs.png","EPT2276_0.25m Bins")</f>
        <v>EPT2276_0.25m Bins</v>
      </c>
      <c r="C1178" t="str">
        <f>HYPERLINK("http://www.corstruth.com.au/WA/CSV/EPT2276.csv","EPT2276_CSV File 1m Bins")</f>
        <v>EPT2276_CSV File 1m Bins</v>
      </c>
      <c r="D1178" t="s">
        <v>1585</v>
      </c>
      <c r="E1178" t="s">
        <v>1</v>
      </c>
      <c r="G1178" t="s">
        <v>55</v>
      </c>
      <c r="H1178" t="s">
        <v>1586</v>
      </c>
      <c r="I1178">
        <v>-21.953199999999999</v>
      </c>
      <c r="J1178">
        <v>121.56</v>
      </c>
      <c r="K1178" t="str">
        <f>HYPERLINK("http://geossdi.dmp.wa.gov.au/NVCLDataServices/mosaic.html?datasetid=1e6ca17c-e533-418d-a42b-9c8453f01b2","EPT2276_Core Image")</f>
        <v>EPT2276_Core Image</v>
      </c>
    </row>
    <row r="1179" spans="1:11" x14ac:dyDescent="0.25">
      <c r="A1179" t="str">
        <f>HYPERLINK("http://www.corstruth.com.au/WA/EPT2289_cs.png","EPT2289_A4")</f>
        <v>EPT2289_A4</v>
      </c>
      <c r="B1179" t="str">
        <f>HYPERLINK("http://www.corstruth.com.au/WA/PNG2/EPT2289_cs.png","EPT2289_0.25m Bins")</f>
        <v>EPT2289_0.25m Bins</v>
      </c>
      <c r="C1179" t="str">
        <f>HYPERLINK("http://www.corstruth.com.au/WA/CSV/EPT2289.csv","EPT2289_CSV File 1m Bins")</f>
        <v>EPT2289_CSV File 1m Bins</v>
      </c>
      <c r="D1179" t="s">
        <v>1587</v>
      </c>
      <c r="E1179" t="s">
        <v>1</v>
      </c>
      <c r="G1179" t="s">
        <v>55</v>
      </c>
      <c r="H1179" t="s">
        <v>1586</v>
      </c>
      <c r="I1179">
        <v>-21.989799999999999</v>
      </c>
      <c r="J1179">
        <v>121.54900000000001</v>
      </c>
      <c r="K1179" t="str">
        <f>HYPERLINK("http://geossdi.dmp.wa.gov.au/NVCLDataServices/mosaic.html?datasetid=cab53ef8-d9d2-4d37-9b3e-c2ea191c0b3","EPT2289_Core Image")</f>
        <v>EPT2289_Core Image</v>
      </c>
    </row>
    <row r="1180" spans="1:11" x14ac:dyDescent="0.25">
      <c r="A1180" t="str">
        <f>HYPERLINK("http://www.corstruth.com.au/WA/EPT2303_cs.png","EPT2303_A4")</f>
        <v>EPT2303_A4</v>
      </c>
      <c r="B1180" t="str">
        <f>HYPERLINK("http://www.corstruth.com.au/WA/PNG2/EPT2303_cs.png","EPT2303_0.25m Bins")</f>
        <v>EPT2303_0.25m Bins</v>
      </c>
      <c r="C1180" t="str">
        <f>HYPERLINK("http://www.corstruth.com.au/WA/CSV/EPT2303.csv","EPT2303_CSV File 1m Bins")</f>
        <v>EPT2303_CSV File 1m Bins</v>
      </c>
      <c r="D1180" t="s">
        <v>1588</v>
      </c>
      <c r="E1180" t="s">
        <v>1</v>
      </c>
      <c r="G1180" t="s">
        <v>55</v>
      </c>
      <c r="H1180" t="s">
        <v>1589</v>
      </c>
      <c r="I1180">
        <v>-21.957599999999999</v>
      </c>
      <c r="J1180">
        <v>121.923</v>
      </c>
      <c r="K1180" t="str">
        <f>HYPERLINK("http://geossdi.dmp.wa.gov.au/NVCLDataServices/mosaic.html?datasetid=8fe8e10f-e87a-4710-9f0f-d2389d3cecb","EPT2303_Core Image")</f>
        <v>EPT2303_Core Image</v>
      </c>
    </row>
    <row r="1181" spans="1:11" x14ac:dyDescent="0.25">
      <c r="A1181" t="str">
        <f>HYPERLINK("http://www.corstruth.com.au/WA/EPT1174_cs.png","EPT1174_A4")</f>
        <v>EPT1174_A4</v>
      </c>
      <c r="B1181" t="str">
        <f>HYPERLINK("http://www.corstruth.com.au/WA/PNG2/EPT1174_cs.png","EPT1174_0.25m Bins")</f>
        <v>EPT1174_0.25m Bins</v>
      </c>
      <c r="C1181" t="str">
        <f>HYPERLINK("http://www.corstruth.com.au/WA/CSV/EPT1174.csv","EPT1174_CSV File 1m Bins")</f>
        <v>EPT1174_CSV File 1m Bins</v>
      </c>
      <c r="D1181" t="s">
        <v>1590</v>
      </c>
      <c r="E1181" t="s">
        <v>1</v>
      </c>
      <c r="G1181" t="s">
        <v>55</v>
      </c>
      <c r="H1181" t="s">
        <v>1591</v>
      </c>
      <c r="I1181">
        <v>-21.967500000000001</v>
      </c>
      <c r="J1181">
        <v>121.926</v>
      </c>
      <c r="K1181" t="str">
        <f>HYPERLINK("http://geossdi.dmp.wa.gov.au/NVCLDataServices/mosaic.html?datasetid=c841668b-58a2-47d0-a2e8-d3f3e490570","EPT1174_Core Image")</f>
        <v>EPT1174_Core Image</v>
      </c>
    </row>
    <row r="1182" spans="1:11" x14ac:dyDescent="0.25">
      <c r="A1182" t="str">
        <f>HYPERLINK("http://www.corstruth.com.au/WA/EPT1702_cs.png","EPT1702_A4")</f>
        <v>EPT1702_A4</v>
      </c>
      <c r="B1182" t="str">
        <f>HYPERLINK("http://www.corstruth.com.au/WA/PNG2/EPT1702_cs.png","EPT1702_0.25m Bins")</f>
        <v>EPT1702_0.25m Bins</v>
      </c>
      <c r="C1182" t="str">
        <f>HYPERLINK("http://www.corstruth.com.au/WA/CSV/EPT1702.csv","EPT1702_CSV File 1m Bins")</f>
        <v>EPT1702_CSV File 1m Bins</v>
      </c>
      <c r="D1182" t="s">
        <v>1592</v>
      </c>
      <c r="E1182" t="s">
        <v>1</v>
      </c>
      <c r="G1182" t="s">
        <v>55</v>
      </c>
      <c r="H1182" t="s">
        <v>1591</v>
      </c>
      <c r="I1182">
        <v>-21.965299999999999</v>
      </c>
      <c r="J1182">
        <v>121.92400000000001</v>
      </c>
      <c r="K1182" t="str">
        <f>HYPERLINK("http://geossdi.dmp.wa.gov.au/NVCLDataServices/mosaic.html?datasetid=952850af-3caf-41d5-9e35-1e872081a4a","EPT1702_Core Image")</f>
        <v>EPT1702_Core Image</v>
      </c>
    </row>
    <row r="1183" spans="1:11" x14ac:dyDescent="0.25">
      <c r="A1183" t="str">
        <f>HYPERLINK("http://www.corstruth.com.au/WA/EPT1831_cs.png","EPT1831_A4")</f>
        <v>EPT1831_A4</v>
      </c>
      <c r="B1183" t="str">
        <f>HYPERLINK("http://www.corstruth.com.au/WA/PNG2/EPT1831_cs.png","EPT1831_0.25m Bins")</f>
        <v>EPT1831_0.25m Bins</v>
      </c>
      <c r="C1183" t="str">
        <f>HYPERLINK("http://www.corstruth.com.au/WA/CSV/EPT1831.csv","EPT1831_CSV File 1m Bins")</f>
        <v>EPT1831_CSV File 1m Bins</v>
      </c>
      <c r="D1183" t="s">
        <v>1593</v>
      </c>
      <c r="E1183" t="s">
        <v>1</v>
      </c>
      <c r="G1183" t="s">
        <v>55</v>
      </c>
      <c r="H1183" t="s">
        <v>1591</v>
      </c>
      <c r="I1183">
        <v>-21.960999999999999</v>
      </c>
      <c r="J1183">
        <v>121.92400000000001</v>
      </c>
      <c r="K1183" t="str">
        <f>HYPERLINK("http://geossdi.dmp.wa.gov.au/NVCLDataServices/mosaic.html?datasetid=6dabeb12-00b1-44a8-8b40-98834af954f","EPT1831_Core Image")</f>
        <v>EPT1831_Core Image</v>
      </c>
    </row>
    <row r="1184" spans="1:11" x14ac:dyDescent="0.25">
      <c r="A1184" t="str">
        <f>HYPERLINK("http://www.corstruth.com.au/WA/EPT1854_cs.png","EPT1854_A4")</f>
        <v>EPT1854_A4</v>
      </c>
      <c r="B1184" t="str">
        <f>HYPERLINK("http://www.corstruth.com.au/WA/PNG2/EPT1854_cs.png","EPT1854_0.25m Bins")</f>
        <v>EPT1854_0.25m Bins</v>
      </c>
      <c r="C1184" t="str">
        <f>HYPERLINK("http://www.corstruth.com.au/WA/CSV/EPT1854.csv","EPT1854_CSV File 1m Bins")</f>
        <v>EPT1854_CSV File 1m Bins</v>
      </c>
      <c r="D1184" t="s">
        <v>1594</v>
      </c>
      <c r="E1184" t="s">
        <v>1</v>
      </c>
      <c r="G1184" t="s">
        <v>55</v>
      </c>
      <c r="H1184" t="s">
        <v>1591</v>
      </c>
      <c r="I1184">
        <v>-21.9588</v>
      </c>
      <c r="J1184">
        <v>121.92400000000001</v>
      </c>
      <c r="K1184" t="str">
        <f>HYPERLINK("http://geossdi.dmp.wa.gov.au/NVCLDataServices/mosaic.html?datasetid=810efcf6-fc6b-4484-9be0-f4b5b7fd78d","EPT1854_Core Image")</f>
        <v>EPT1854_Core Image</v>
      </c>
    </row>
    <row r="1185" spans="1:11" x14ac:dyDescent="0.25">
      <c r="A1185" t="str">
        <f>HYPERLINK("http://www.corstruth.com.au/WA/EPT2279_cs.png","EPT2279_A4")</f>
        <v>EPT2279_A4</v>
      </c>
      <c r="B1185" t="str">
        <f>HYPERLINK("http://www.corstruth.com.au/WA/PNG2/EPT2279_cs.png","EPT2279_0.25m Bins")</f>
        <v>EPT2279_0.25m Bins</v>
      </c>
      <c r="C1185" t="str">
        <f>HYPERLINK("http://www.corstruth.com.au/WA/CSV/EPT2279.csv","EPT2279_CSV File 1m Bins")</f>
        <v>EPT2279_CSV File 1m Bins</v>
      </c>
      <c r="D1185" t="s">
        <v>1595</v>
      </c>
      <c r="E1185" t="s">
        <v>1</v>
      </c>
      <c r="G1185" t="s">
        <v>55</v>
      </c>
      <c r="H1185" t="s">
        <v>1596</v>
      </c>
      <c r="I1185">
        <v>-22.241499999999998</v>
      </c>
      <c r="J1185">
        <v>121.735</v>
      </c>
      <c r="K1185" t="str">
        <f>HYPERLINK("http://geossdi.dmp.wa.gov.au/NVCLDataServices/mosaic.html?datasetid=f60e1ca5-5d21-4fec-87b2-b5744ad60b1","EPT2279_Core Image")</f>
        <v>EPT2279_Core Image</v>
      </c>
    </row>
    <row r="1186" spans="1:11" x14ac:dyDescent="0.25">
      <c r="A1186" t="str">
        <f>HYPERLINK("http://www.corstruth.com.au/WA/EPT2280A_cs.png","EPT2280A_A4")</f>
        <v>EPT2280A_A4</v>
      </c>
      <c r="B1186" t="str">
        <f>HYPERLINK("http://www.corstruth.com.au/WA/PNG2/EPT2280A_cs.png","EPT2280A_0.25m Bins")</f>
        <v>EPT2280A_0.25m Bins</v>
      </c>
      <c r="C1186" t="str">
        <f>HYPERLINK("http://www.corstruth.com.au/WA/CSV/EPT2280A.csv","EPT2280A_CSV File 1m Bins")</f>
        <v>EPT2280A_CSV File 1m Bins</v>
      </c>
      <c r="D1186" t="s">
        <v>1597</v>
      </c>
      <c r="E1186" t="s">
        <v>1</v>
      </c>
      <c r="G1186" t="s">
        <v>55</v>
      </c>
      <c r="H1186" t="s">
        <v>1596</v>
      </c>
      <c r="I1186">
        <v>-22.207999999999998</v>
      </c>
      <c r="J1186">
        <v>121.729</v>
      </c>
      <c r="K1186" t="str">
        <f>HYPERLINK("http://geossdi.dmp.wa.gov.au/NVCLDataServices/mosaic.html?datasetid=41b1def3-471b-4793-b394-6667d37aa2a","EPT2280A_Core Image")</f>
        <v>EPT2280A_Core Image</v>
      </c>
    </row>
    <row r="1187" spans="1:11" x14ac:dyDescent="0.25">
      <c r="A1187" t="str">
        <f>HYPERLINK("http://www.corstruth.com.au/WA/EPT2281_cs.png","EPT2281_A4")</f>
        <v>EPT2281_A4</v>
      </c>
      <c r="B1187" t="str">
        <f>HYPERLINK("http://www.corstruth.com.au/WA/PNG2/EPT2281_cs.png","EPT2281_0.25m Bins")</f>
        <v>EPT2281_0.25m Bins</v>
      </c>
      <c r="C1187" t="str">
        <f>HYPERLINK("http://www.corstruth.com.au/WA/CSV/EPT2281.csv","EPT2281_CSV File 1m Bins")</f>
        <v>EPT2281_CSV File 1m Bins</v>
      </c>
      <c r="D1187" t="s">
        <v>1598</v>
      </c>
      <c r="E1187" t="s">
        <v>1</v>
      </c>
      <c r="G1187" t="s">
        <v>55</v>
      </c>
      <c r="H1187" t="s">
        <v>1596</v>
      </c>
      <c r="I1187">
        <v>-22.2376</v>
      </c>
      <c r="J1187">
        <v>121.723</v>
      </c>
      <c r="K1187" t="str">
        <f>HYPERLINK("http://geossdi.dmp.wa.gov.au/NVCLDataServices/mosaic.html?datasetid=1934a789-30cf-4d1a-a491-d6217f4054b","EPT2281_Core Image")</f>
        <v>EPT2281_Core Image</v>
      </c>
    </row>
    <row r="1188" spans="1:11" x14ac:dyDescent="0.25">
      <c r="A1188" t="str">
        <f>HYPERLINK("http://www.corstruth.com.au/WA/EPT2192_cs.png","EPT2192_A4")</f>
        <v>EPT2192_A4</v>
      </c>
      <c r="B1188" t="str">
        <f>HYPERLINK("http://www.corstruth.com.au/WA/PNG2/EPT2192_cs.png","EPT2192_0.25m Bins")</f>
        <v>EPT2192_0.25m Bins</v>
      </c>
      <c r="C1188" t="str">
        <f>HYPERLINK("http://www.corstruth.com.au/WA/CSV/EPT2192.csv","EPT2192_CSV File 1m Bins")</f>
        <v>EPT2192_CSV File 1m Bins</v>
      </c>
      <c r="D1188" t="s">
        <v>1599</v>
      </c>
      <c r="E1188" t="s">
        <v>1</v>
      </c>
      <c r="G1188" t="s">
        <v>55</v>
      </c>
      <c r="H1188" t="s">
        <v>1600</v>
      </c>
      <c r="I1188">
        <v>-22.088100000000001</v>
      </c>
      <c r="J1188">
        <v>121.642</v>
      </c>
      <c r="K1188" t="str">
        <f>HYPERLINK("http://geossdi.dmp.wa.gov.au/NVCLDataServices/mosaic.html?datasetid=2772294d-5200-437b-a320-ea765e6cd5a","EPT2192_Core Image")</f>
        <v>EPT2192_Core Image</v>
      </c>
    </row>
    <row r="1189" spans="1:11" x14ac:dyDescent="0.25">
      <c r="A1189" t="str">
        <f>HYPERLINK("http://www.corstruth.com.au/WA/EPT2299_cs.png","EPT2299_A4")</f>
        <v>EPT2299_A4</v>
      </c>
      <c r="B1189" t="str">
        <f>HYPERLINK("http://www.corstruth.com.au/WA/PNG2/EPT2299_cs.png","EPT2299_0.25m Bins")</f>
        <v>EPT2299_0.25m Bins</v>
      </c>
      <c r="C1189" t="str">
        <f>HYPERLINK("http://www.corstruth.com.au/WA/CSV/EPT2299.csv","EPT2299_CSV File 1m Bins")</f>
        <v>EPT2299_CSV File 1m Bins</v>
      </c>
      <c r="D1189" t="s">
        <v>1601</v>
      </c>
      <c r="E1189" t="s">
        <v>1</v>
      </c>
      <c r="G1189" t="s">
        <v>55</v>
      </c>
      <c r="H1189" t="s">
        <v>1600</v>
      </c>
      <c r="I1189">
        <v>-22.053799999999999</v>
      </c>
      <c r="J1189">
        <v>121.654</v>
      </c>
      <c r="K1189" t="str">
        <f>HYPERLINK("http://geossdi.dmp.wa.gov.au/NVCLDataServices/mosaic.html?datasetid=abc5e99a-603d-4c44-b52c-2e218433369","EPT2299_Core Image")</f>
        <v>EPT2299_Core Image</v>
      </c>
    </row>
    <row r="1190" spans="1:11" x14ac:dyDescent="0.25">
      <c r="A1190" t="str">
        <f>HYPERLINK("http://www.corstruth.com.au/WA/EPT2300_cs.png","EPT2300_A4")</f>
        <v>EPT2300_A4</v>
      </c>
      <c r="B1190" t="str">
        <f>HYPERLINK("http://www.corstruth.com.au/WA/PNG2/EPT2300_cs.png","EPT2300_0.25m Bins")</f>
        <v>EPT2300_0.25m Bins</v>
      </c>
      <c r="C1190" t="str">
        <f>HYPERLINK("http://www.corstruth.com.au/WA/CSV/EPT2300.csv","EPT2300_CSV File 1m Bins")</f>
        <v>EPT2300_CSV File 1m Bins</v>
      </c>
      <c r="D1190" t="s">
        <v>1602</v>
      </c>
      <c r="E1190" t="s">
        <v>1</v>
      </c>
      <c r="G1190" t="s">
        <v>55</v>
      </c>
      <c r="H1190" t="s">
        <v>1600</v>
      </c>
      <c r="I1190">
        <v>-22</v>
      </c>
      <c r="J1190">
        <v>121.675</v>
      </c>
      <c r="K1190" t="str">
        <f>HYPERLINK("http://geossdi.dmp.wa.gov.au/NVCLDataServices/mosaic.html?datasetid=1ad1ec78-18a3-49f4-bd6f-3d8da0ebfc2","EPT2300_Core Image")</f>
        <v>EPT2300_Core Image</v>
      </c>
    </row>
    <row r="1191" spans="1:11" x14ac:dyDescent="0.25">
      <c r="A1191" t="str">
        <f>HYPERLINK("http://www.corstruth.com.au/WA/EPT2282_cs.png","EPT2282_A4")</f>
        <v>EPT2282_A4</v>
      </c>
      <c r="B1191" t="str">
        <f>HYPERLINK("http://www.corstruth.com.au/WA/PNG2/EPT2282_cs.png","EPT2282_0.25m Bins")</f>
        <v>EPT2282_0.25m Bins</v>
      </c>
      <c r="C1191" t="str">
        <f>HYPERLINK("http://www.corstruth.com.au/WA/CSV/EPT2282.csv","EPT2282_CSV File 1m Bins")</f>
        <v>EPT2282_CSV File 1m Bins</v>
      </c>
      <c r="D1191" t="s">
        <v>1603</v>
      </c>
      <c r="E1191" t="s">
        <v>1</v>
      </c>
      <c r="G1191" t="s">
        <v>55</v>
      </c>
      <c r="H1191" t="s">
        <v>1604</v>
      </c>
      <c r="I1191">
        <v>-21.989899999999999</v>
      </c>
      <c r="J1191">
        <v>121.56699999999999</v>
      </c>
      <c r="K1191" t="str">
        <f>HYPERLINK("http://geossdi.dmp.wa.gov.au/NVCLDataServices/mosaic.html?datasetid=76a175b6-7176-4877-a31b-fd6e2a8b04e","EPT2282_Core Image")</f>
        <v>EPT2282_Core Image</v>
      </c>
    </row>
    <row r="1192" spans="1:11" x14ac:dyDescent="0.25">
      <c r="A1192" t="str">
        <f>HYPERLINK("http://www.corstruth.com.au/WA/EPT2283_cs.png","EPT2283_A4")</f>
        <v>EPT2283_A4</v>
      </c>
      <c r="B1192" t="str">
        <f>HYPERLINK("http://www.corstruth.com.au/WA/PNG2/EPT2283_cs.png","EPT2283_0.25m Bins")</f>
        <v>EPT2283_0.25m Bins</v>
      </c>
      <c r="C1192" t="str">
        <f>HYPERLINK("http://www.corstruth.com.au/WA/CSV/EPT2283.csv","EPT2283_CSV File 1m Bins")</f>
        <v>EPT2283_CSV File 1m Bins</v>
      </c>
      <c r="D1192" t="s">
        <v>1605</v>
      </c>
      <c r="E1192" t="s">
        <v>1</v>
      </c>
      <c r="G1192" t="s">
        <v>55</v>
      </c>
      <c r="H1192" t="s">
        <v>1604</v>
      </c>
      <c r="I1192">
        <v>-21.989899999999999</v>
      </c>
      <c r="J1192">
        <v>121.568</v>
      </c>
      <c r="K1192" t="str">
        <f>HYPERLINK("http://geossdi.dmp.wa.gov.au/NVCLDataServices/mosaic.html?datasetid=30dea9d4-7fed-4dc4-be73-198808443e3","EPT2283_Core Image")</f>
        <v>EPT2283_Core Image</v>
      </c>
    </row>
    <row r="1193" spans="1:11" x14ac:dyDescent="0.25">
      <c r="A1193" t="str">
        <f>HYPERLINK("http://www.corstruth.com.au/WA/EPT2194_cs.png","EPT2194_A4")</f>
        <v>EPT2194_A4</v>
      </c>
      <c r="B1193" t="str">
        <f>HYPERLINK("http://www.corstruth.com.au/WA/PNG2/EPT2194_cs.png","EPT2194_0.25m Bins")</f>
        <v>EPT2194_0.25m Bins</v>
      </c>
      <c r="C1193" t="str">
        <f>HYPERLINK("http://www.corstruth.com.au/WA/CSV/EPT2194.csv","EPT2194_CSV File 1m Bins")</f>
        <v>EPT2194_CSV File 1m Bins</v>
      </c>
      <c r="D1193" t="s">
        <v>1606</v>
      </c>
      <c r="E1193" t="s">
        <v>1</v>
      </c>
      <c r="G1193" t="s">
        <v>55</v>
      </c>
      <c r="H1193" t="s">
        <v>1607</v>
      </c>
      <c r="I1193">
        <v>-21.978400000000001</v>
      </c>
      <c r="J1193">
        <v>121.944</v>
      </c>
      <c r="K1193" t="str">
        <f>HYPERLINK("http://geossdi.dmp.wa.gov.au/NVCLDataServices/mosaic.html?datasetid=5989fd17-d395-4c6e-abf8-f8b21bf56af","EPT2194_Core Image")</f>
        <v>EPT2194_Core Image</v>
      </c>
    </row>
    <row r="1194" spans="1:11" x14ac:dyDescent="0.25">
      <c r="A1194" t="str">
        <f>HYPERLINK("http://www.corstruth.com.au/WA/EPT2195_cs.png","EPT2195_A4")</f>
        <v>EPT2195_A4</v>
      </c>
      <c r="B1194" t="str">
        <f>HYPERLINK("http://www.corstruth.com.au/WA/PNG2/EPT2195_cs.png","EPT2195_0.25m Bins")</f>
        <v>EPT2195_0.25m Bins</v>
      </c>
      <c r="C1194" t="str">
        <f>HYPERLINK("http://www.corstruth.com.au/WA/CSV/EPT2195.csv","EPT2195_CSV File 1m Bins")</f>
        <v>EPT2195_CSV File 1m Bins</v>
      </c>
      <c r="D1194" t="s">
        <v>1608</v>
      </c>
      <c r="E1194" t="s">
        <v>1</v>
      </c>
      <c r="G1194" t="s">
        <v>55</v>
      </c>
      <c r="H1194" t="s">
        <v>1607</v>
      </c>
      <c r="I1194">
        <v>-21.975100000000001</v>
      </c>
      <c r="J1194">
        <v>121.944</v>
      </c>
      <c r="K1194" t="str">
        <f>HYPERLINK("http://geossdi.dmp.wa.gov.au/NVCLDataServices/mosaic.html?datasetid=7b537909-5fb1-4ccb-a16d-49e67cbc138","EPT2195_Core Image")</f>
        <v>EPT2195_Core Image</v>
      </c>
    </row>
    <row r="1195" spans="1:11" x14ac:dyDescent="0.25">
      <c r="A1195" t="str">
        <f>HYPERLINK("http://www.corstruth.com.au/WA/EPT2198_cs.png","EPT2198_A4")</f>
        <v>EPT2198_A4</v>
      </c>
      <c r="B1195" t="str">
        <f>HYPERLINK("http://www.corstruth.com.au/WA/PNG2/EPT2198_cs.png","EPT2198_0.25m Bins")</f>
        <v>EPT2198_0.25m Bins</v>
      </c>
      <c r="C1195" t="str">
        <f>HYPERLINK("http://www.corstruth.com.au/WA/CSV/EPT2198.csv","EPT2198_CSV File 1m Bins")</f>
        <v>EPT2198_CSV File 1m Bins</v>
      </c>
      <c r="D1195" t="s">
        <v>1609</v>
      </c>
      <c r="E1195" t="s">
        <v>1</v>
      </c>
      <c r="G1195" t="s">
        <v>55</v>
      </c>
      <c r="H1195" t="s">
        <v>1607</v>
      </c>
      <c r="I1195">
        <v>-21.971499999999999</v>
      </c>
      <c r="J1195">
        <v>121.944</v>
      </c>
      <c r="K1195" t="str">
        <f>HYPERLINK("http://geossdi.dmp.wa.gov.au/NVCLDataServices/mosaic.html?datasetid=2e2f3374-c882-4a81-9460-bd28b168d7e","EPT2198_Core Image")</f>
        <v>EPT2198_Core Image</v>
      </c>
    </row>
    <row r="1196" spans="1:11" x14ac:dyDescent="0.25">
      <c r="A1196" t="str">
        <f>HYPERLINK("http://www.corstruth.com.au/WA/EPT2290_cs.png","EPT2290_A4")</f>
        <v>EPT2290_A4</v>
      </c>
      <c r="B1196" t="str">
        <f>HYPERLINK("http://www.corstruth.com.au/WA/PNG2/EPT2290_cs.png","EPT2290_0.25m Bins")</f>
        <v>EPT2290_0.25m Bins</v>
      </c>
      <c r="C1196" t="str">
        <f>HYPERLINK("http://www.corstruth.com.au/WA/CSV/EPT2290.csv","EPT2290_CSV File 1m Bins")</f>
        <v>EPT2290_CSV File 1m Bins</v>
      </c>
      <c r="D1196" t="s">
        <v>1610</v>
      </c>
      <c r="E1196" t="s">
        <v>1</v>
      </c>
      <c r="G1196" t="s">
        <v>55</v>
      </c>
      <c r="H1196" t="s">
        <v>1611</v>
      </c>
      <c r="I1196">
        <v>-21.9678</v>
      </c>
      <c r="J1196">
        <v>121.93600000000001</v>
      </c>
      <c r="K1196" t="str">
        <f>HYPERLINK("http://geossdi.dmp.wa.gov.au/NVCLDataServices/mosaic.html?datasetid=0f1a3760-0fe6-422a-ac47-400eab760a3","EPT2290_Core Image")</f>
        <v>EPT2290_Core Image</v>
      </c>
    </row>
    <row r="1197" spans="1:11" x14ac:dyDescent="0.25">
      <c r="A1197" t="str">
        <f>HYPERLINK("http://www.corstruth.com.au/WA/EPT2294_cs.png","EPT2294_A4")</f>
        <v>EPT2294_A4</v>
      </c>
      <c r="B1197" t="str">
        <f>HYPERLINK("http://www.corstruth.com.au/WA/PNG2/EPT2294_cs.png","EPT2294_0.25m Bins")</f>
        <v>EPT2294_0.25m Bins</v>
      </c>
      <c r="C1197" t="str">
        <f>HYPERLINK("http://www.corstruth.com.au/WA/CSV/EPT2294.csv","EPT2294_CSV File 1m Bins")</f>
        <v>EPT2294_CSV File 1m Bins</v>
      </c>
      <c r="D1197" t="s">
        <v>1612</v>
      </c>
      <c r="E1197" t="s">
        <v>1</v>
      </c>
      <c r="G1197" t="s">
        <v>55</v>
      </c>
      <c r="H1197" t="s">
        <v>1611</v>
      </c>
      <c r="I1197">
        <v>-21.964300000000001</v>
      </c>
      <c r="J1197">
        <v>121.928</v>
      </c>
      <c r="K1197" t="str">
        <f>HYPERLINK("http://geossdi.dmp.wa.gov.au/NVCLDataServices/mosaic.html?datasetid=1dce5f15-8506-425f-82a5-69aa8bdf07e","EPT2294_Core Image")</f>
        <v>EPT2294_Core Image</v>
      </c>
    </row>
    <row r="1198" spans="1:11" x14ac:dyDescent="0.25">
      <c r="A1198" t="str">
        <f>HYPERLINK("http://www.corstruth.com.au/WA/EPT2193_cs.png","EPT2193_A4")</f>
        <v>EPT2193_A4</v>
      </c>
      <c r="B1198" t="str">
        <f>HYPERLINK("http://www.corstruth.com.au/WA/PNG2/EPT2193_cs.png","EPT2193_0.25m Bins")</f>
        <v>EPT2193_0.25m Bins</v>
      </c>
      <c r="C1198" t="str">
        <f>HYPERLINK("http://www.corstruth.com.au/WA/CSV/EPT2193.csv","EPT2193_CSV File 1m Bins")</f>
        <v>EPT2193_CSV File 1m Bins</v>
      </c>
      <c r="D1198" t="s">
        <v>1613</v>
      </c>
      <c r="E1198" t="s">
        <v>1</v>
      </c>
      <c r="G1198" t="s">
        <v>55</v>
      </c>
      <c r="H1198" t="s">
        <v>1614</v>
      </c>
      <c r="I1198">
        <v>-22.127700000000001</v>
      </c>
      <c r="J1198">
        <v>121.631</v>
      </c>
      <c r="K1198" t="str">
        <f>HYPERLINK("http://geossdi.dmp.wa.gov.au/NVCLDataServices/mosaic.html?datasetid=f6ee3831-a436-427f-92bf-c30ecf4312e","EPT2193_Core Image")</f>
        <v>EPT2193_Core Image</v>
      </c>
    </row>
    <row r="1199" spans="1:11" x14ac:dyDescent="0.25">
      <c r="A1199" t="str">
        <f>HYPERLINK("http://www.corstruth.com.au/WA/EPT057_cs.png","EPT057_A4")</f>
        <v>EPT057_A4</v>
      </c>
      <c r="B1199" t="str">
        <f>HYPERLINK("http://www.corstruth.com.au/WA/PNG2/EPT057_cs.png","EPT057_0.25m Bins")</f>
        <v>EPT057_0.25m Bins</v>
      </c>
      <c r="C1199" t="str">
        <f>HYPERLINK("http://www.corstruth.com.au/WA/CSV/EPT057.csv","EPT057_CSV File 1m Bins")</f>
        <v>EPT057_CSV File 1m Bins</v>
      </c>
      <c r="D1199" t="s">
        <v>1615</v>
      </c>
      <c r="E1199" t="s">
        <v>1</v>
      </c>
      <c r="G1199" t="s">
        <v>55</v>
      </c>
      <c r="H1199" t="s">
        <v>1616</v>
      </c>
      <c r="I1199">
        <v>-22.212199999999999</v>
      </c>
      <c r="J1199">
        <v>121.71899999999999</v>
      </c>
      <c r="K1199" t="str">
        <f>HYPERLINK("http://geossdi.dmp.wa.gov.au/NVCLDataServices/mosaic.html?datasetid=fd77709d-f841-4d55-8f54-e680ef1ca88","EPT057_Core Image")</f>
        <v>EPT057_Core Image</v>
      </c>
    </row>
    <row r="1200" spans="1:11" x14ac:dyDescent="0.25">
      <c r="A1200" t="str">
        <f>HYPERLINK("http://www.corstruth.com.au/WA/EPT058_cs.png","EPT058_A4")</f>
        <v>EPT058_A4</v>
      </c>
      <c r="B1200" t="str">
        <f>HYPERLINK("http://www.corstruth.com.au/WA/PNG2/EPT058_cs.png","EPT058_0.25m Bins")</f>
        <v>EPT058_0.25m Bins</v>
      </c>
      <c r="C1200" t="str">
        <f>HYPERLINK("http://www.corstruth.com.au/WA/CSV/EPT058.csv","EPT058_CSV File 1m Bins")</f>
        <v>EPT058_CSV File 1m Bins</v>
      </c>
      <c r="D1200" t="s">
        <v>1617</v>
      </c>
      <c r="E1200" t="s">
        <v>1</v>
      </c>
      <c r="G1200" t="s">
        <v>55</v>
      </c>
      <c r="H1200" t="s">
        <v>1616</v>
      </c>
      <c r="I1200">
        <v>-22.220600000000001</v>
      </c>
      <c r="J1200">
        <v>121.714</v>
      </c>
      <c r="K1200" t="str">
        <f>HYPERLINK("http://geossdi.dmp.wa.gov.au/NVCLDataServices/mosaic.html?datasetid=0d8c6f27-5d24-4002-8e51-902f4a7e6dc","EPT058_Core Image")</f>
        <v>EPT058_Core Image</v>
      </c>
    </row>
    <row r="1201" spans="1:11" x14ac:dyDescent="0.25">
      <c r="A1201" t="str">
        <f>HYPERLINK("http://www.corstruth.com.au/WA/EPT060_cs.png","EPT060_A4")</f>
        <v>EPT060_A4</v>
      </c>
      <c r="B1201" t="str">
        <f>HYPERLINK("http://www.corstruth.com.au/WA/PNG2/EPT060_cs.png","EPT060_0.25m Bins")</f>
        <v>EPT060_0.25m Bins</v>
      </c>
      <c r="C1201" t="str">
        <f>HYPERLINK("http://www.corstruth.com.au/WA/CSV/EPT060.csv","EPT060_CSV File 1m Bins")</f>
        <v>EPT060_CSV File 1m Bins</v>
      </c>
      <c r="D1201" t="s">
        <v>1618</v>
      </c>
      <c r="E1201" t="s">
        <v>1</v>
      </c>
      <c r="G1201" t="s">
        <v>55</v>
      </c>
      <c r="H1201" t="s">
        <v>1616</v>
      </c>
      <c r="I1201">
        <v>-22.010100000000001</v>
      </c>
      <c r="J1201">
        <v>121.71299999999999</v>
      </c>
      <c r="K1201" t="str">
        <f>HYPERLINK("http://geossdi.dmp.wa.gov.au/NVCLDataServices/mosaic.html?datasetid=c97295b8-6bee-46be-a2d3-3f7b3ecc1d0","EPT060_Core Image")</f>
        <v>EPT060_Core Image</v>
      </c>
    </row>
    <row r="1202" spans="1:11" x14ac:dyDescent="0.25">
      <c r="A1202" t="str">
        <f>HYPERLINK("http://www.corstruth.com.au/WA/EPT062_cs.png","EPT062_A4")</f>
        <v>EPT062_A4</v>
      </c>
      <c r="B1202" t="str">
        <f>HYPERLINK("http://www.corstruth.com.au/WA/PNG2/EPT062_cs.png","EPT062_0.25m Bins")</f>
        <v>EPT062_0.25m Bins</v>
      </c>
      <c r="C1202" t="str">
        <f>HYPERLINK("http://www.corstruth.com.au/WA/CSV/EPT062.csv","EPT062_CSV File 1m Bins")</f>
        <v>EPT062_CSV File 1m Bins</v>
      </c>
      <c r="D1202" t="s">
        <v>1619</v>
      </c>
      <c r="E1202" t="s">
        <v>1</v>
      </c>
      <c r="G1202" t="s">
        <v>55</v>
      </c>
      <c r="H1202" t="s">
        <v>1616</v>
      </c>
      <c r="I1202">
        <v>-22.014199999999999</v>
      </c>
      <c r="J1202">
        <v>121.84099999999999</v>
      </c>
      <c r="K1202" t="str">
        <f>HYPERLINK("http://geossdi.dmp.wa.gov.au/NVCLDataServices/mosaic.html?datasetid=97b3a302-5ad8-47f9-96ce-57be8929039","EPT062_Core Image")</f>
        <v>EPT062_Core Image</v>
      </c>
    </row>
    <row r="1203" spans="1:11" x14ac:dyDescent="0.25">
      <c r="A1203" t="str">
        <f>HYPERLINK("http://www.corstruth.com.au/WA/EPT2260_cs.png","EPT2260_A4")</f>
        <v>EPT2260_A4</v>
      </c>
      <c r="B1203" t="str">
        <f>HYPERLINK("http://www.corstruth.com.au/WA/PNG2/EPT2260_cs.png","EPT2260_0.25m Bins")</f>
        <v>EPT2260_0.25m Bins</v>
      </c>
      <c r="C1203" t="str">
        <f>HYPERLINK("http://www.corstruth.com.au/WA/CSV/EPT2260.csv","EPT2260_CSV File 1m Bins")</f>
        <v>EPT2260_CSV File 1m Bins</v>
      </c>
      <c r="D1203" t="s">
        <v>1620</v>
      </c>
      <c r="E1203" t="s">
        <v>1</v>
      </c>
      <c r="G1203" t="s">
        <v>55</v>
      </c>
      <c r="H1203" t="s">
        <v>1621</v>
      </c>
      <c r="I1203">
        <v>-21.965399999999999</v>
      </c>
      <c r="J1203">
        <v>121.932</v>
      </c>
      <c r="K1203" t="str">
        <f>HYPERLINK("http://geossdi.dmp.wa.gov.au/NVCLDataServices/mosaic.html?datasetid=6d9dbe25-a155-4bb4-bec3-ee9104e5cff","EPT2260_Core Image")</f>
        <v>EPT2260_Core Image</v>
      </c>
    </row>
    <row r="1204" spans="1:11" x14ac:dyDescent="0.25">
      <c r="A1204" t="str">
        <f>HYPERLINK("http://www.corstruth.com.au/WA/EPT2262_cs.png","EPT2262_A4")</f>
        <v>EPT2262_A4</v>
      </c>
      <c r="B1204" t="str">
        <f>HYPERLINK("http://www.corstruth.com.au/WA/PNG2/EPT2262_cs.png","EPT2262_0.25m Bins")</f>
        <v>EPT2262_0.25m Bins</v>
      </c>
      <c r="C1204" t="str">
        <f>HYPERLINK("http://www.corstruth.com.au/WA/CSV/EPT2262.csv","EPT2262_CSV File 1m Bins")</f>
        <v>EPT2262_CSV File 1m Bins</v>
      </c>
      <c r="D1204" t="s">
        <v>1622</v>
      </c>
      <c r="E1204" t="s">
        <v>1</v>
      </c>
      <c r="G1204" t="s">
        <v>55</v>
      </c>
      <c r="H1204" t="s">
        <v>1621</v>
      </c>
      <c r="I1204">
        <v>-21.970600000000001</v>
      </c>
      <c r="J1204">
        <v>121.944</v>
      </c>
      <c r="K1204" t="str">
        <f>HYPERLINK("http://geossdi.dmp.wa.gov.au/NVCLDataServices/mosaic.html?datasetid=408a4696-3698-4b3e-a30b-fd3987e061f","EPT2262_Core Image")</f>
        <v>EPT2262_Core Image</v>
      </c>
    </row>
    <row r="1205" spans="1:11" x14ac:dyDescent="0.25">
      <c r="A1205" t="str">
        <f>HYPERLINK("http://www.corstruth.com.au/WA/KWAC001_chips_cs.png","KWAC001_chips_A4")</f>
        <v>KWAC001_chips_A4</v>
      </c>
      <c r="B1205" t="str">
        <f>HYPERLINK("http://www.corstruth.com.au/WA/PNG2/KWAC001_chips_cs.png","KWAC001_chips_0.25m Bins")</f>
        <v>KWAC001_chips_0.25m Bins</v>
      </c>
      <c r="C1205" t="str">
        <f>HYPERLINK("http://www.corstruth.com.au/WA/CSV/KWAC001_chips.csv","KWAC001_chips_CSV File 1m Bins")</f>
        <v>KWAC001_chips_CSV File 1m Bins</v>
      </c>
      <c r="D1205" t="s">
        <v>1623</v>
      </c>
      <c r="E1205" t="s">
        <v>1</v>
      </c>
      <c r="G1205" t="s">
        <v>1624</v>
      </c>
      <c r="H1205" t="s">
        <v>1625</v>
      </c>
      <c r="I1205">
        <v>-22.95</v>
      </c>
      <c r="J1205">
        <v>128.09</v>
      </c>
      <c r="K1205" t="str">
        <f>HYPERLINK("http://geossdi.dmp.wa.gov.au/NVCLDataServices/mosaic.html?datasetid=d2b2a253-d63a-4423-974c-639bb5f1463","KWAC001_chips_Core Image")</f>
        <v>KWAC001_chips_Core Image</v>
      </c>
    </row>
    <row r="1206" spans="1:11" x14ac:dyDescent="0.25">
      <c r="A1206" t="str">
        <f>HYPERLINK("http://www.corstruth.com.au/WA/KWAC002_chips_cs.png","KWAC002_chips_A4")</f>
        <v>KWAC002_chips_A4</v>
      </c>
      <c r="B1206" t="str">
        <f>HYPERLINK("http://www.corstruth.com.au/WA/PNG2/KWAC002_chips_cs.png","KWAC002_chips_0.25m Bins")</f>
        <v>KWAC002_chips_0.25m Bins</v>
      </c>
      <c r="C1206" t="str">
        <f>HYPERLINK("http://www.corstruth.com.au/WA/CSV/KWAC002_chips.csv","KWAC002_chips_CSV File 1m Bins")</f>
        <v>KWAC002_chips_CSV File 1m Bins</v>
      </c>
      <c r="D1206" t="s">
        <v>1626</v>
      </c>
      <c r="E1206" t="s">
        <v>1</v>
      </c>
      <c r="G1206" t="s">
        <v>1624</v>
      </c>
      <c r="H1206" t="s">
        <v>1625</v>
      </c>
      <c r="I1206">
        <v>-23.006799999999998</v>
      </c>
      <c r="J1206">
        <v>128.125</v>
      </c>
      <c r="K1206" t="str">
        <f>HYPERLINK("http://geossdi.dmp.wa.gov.au/NVCLDataServices/mosaic.html?datasetid=e4c03f18-deb6-4602-af76-e8d8b267476","KWAC002_chips_Core Image")</f>
        <v>KWAC002_chips_Core Image</v>
      </c>
    </row>
    <row r="1207" spans="1:11" x14ac:dyDescent="0.25">
      <c r="A1207" t="str">
        <f>HYPERLINK("http://www.corstruth.com.au/WA/KWAC003_chips_cs.png","KWAC003_chips_A4")</f>
        <v>KWAC003_chips_A4</v>
      </c>
      <c r="B1207" t="str">
        <f>HYPERLINK("http://www.corstruth.com.au/WA/PNG2/KWAC003_chips_cs.png","KWAC003_chips_0.25m Bins")</f>
        <v>KWAC003_chips_0.25m Bins</v>
      </c>
      <c r="C1207" t="str">
        <f>HYPERLINK("http://www.corstruth.com.au/WA/CSV/KWAC003_chips.csv","KWAC003_chips_CSV File 1m Bins")</f>
        <v>KWAC003_chips_CSV File 1m Bins</v>
      </c>
      <c r="D1207" t="s">
        <v>1627</v>
      </c>
      <c r="E1207" t="s">
        <v>1</v>
      </c>
      <c r="G1207" t="s">
        <v>1624</v>
      </c>
      <c r="H1207" t="s">
        <v>1625</v>
      </c>
      <c r="I1207">
        <v>-23.022600000000001</v>
      </c>
      <c r="J1207">
        <v>128.19999999999999</v>
      </c>
      <c r="K1207" t="str">
        <f>HYPERLINK("http://geossdi.dmp.wa.gov.au/NVCLDataServices/mosaic.html?datasetid=60c12e5d-0acb-4e90-87a0-93ac75ffa02","KWAC003_chips_Core Image")</f>
        <v>KWAC003_chips_Core Image</v>
      </c>
    </row>
    <row r="1208" spans="1:11" x14ac:dyDescent="0.25">
      <c r="A1208" t="str">
        <f>HYPERLINK("http://www.corstruth.com.au/WA/KWAC004_chips_cs.png","KWAC004_chips_A4")</f>
        <v>KWAC004_chips_A4</v>
      </c>
      <c r="B1208" t="str">
        <f>HYPERLINK("http://www.corstruth.com.au/WA/PNG2/KWAC004_chips_cs.png","KWAC004_chips_0.25m Bins")</f>
        <v>KWAC004_chips_0.25m Bins</v>
      </c>
      <c r="C1208" t="str">
        <f>HYPERLINK("http://www.corstruth.com.au/WA/CSV/KWAC004_chips.csv","KWAC004_chips_CSV File 1m Bins")</f>
        <v>KWAC004_chips_CSV File 1m Bins</v>
      </c>
      <c r="D1208" t="s">
        <v>1628</v>
      </c>
      <c r="E1208" t="s">
        <v>1</v>
      </c>
      <c r="G1208" t="s">
        <v>1624</v>
      </c>
      <c r="H1208" t="s">
        <v>1625</v>
      </c>
      <c r="I1208">
        <v>-22.9741</v>
      </c>
      <c r="J1208">
        <v>128.232</v>
      </c>
      <c r="K1208" t="str">
        <f>HYPERLINK("http://geossdi.dmp.wa.gov.au/NVCLDataServices/mosaic.html?datasetid=e9a88383-d03e-4456-8b6f-f84d2116e91","KWAC004_chips_Core Image")</f>
        <v>KWAC004_chips_Core Image</v>
      </c>
    </row>
    <row r="1209" spans="1:11" x14ac:dyDescent="0.25">
      <c r="A1209" t="str">
        <f>HYPERLINK("http://www.corstruth.com.au/WA/KWAC005_chips_cs.png","KWAC005_chips_A4")</f>
        <v>KWAC005_chips_A4</v>
      </c>
      <c r="B1209" t="str">
        <f>HYPERLINK("http://www.corstruth.com.au/WA/PNG2/KWAC005_chips_cs.png","KWAC005_chips_0.25m Bins")</f>
        <v>KWAC005_chips_0.25m Bins</v>
      </c>
      <c r="C1209" t="str">
        <f>HYPERLINK("http://www.corstruth.com.au/WA/CSV/KWAC005_chips.csv","KWAC005_chips_CSV File 1m Bins")</f>
        <v>KWAC005_chips_CSV File 1m Bins</v>
      </c>
      <c r="D1209" t="s">
        <v>1629</v>
      </c>
      <c r="E1209" t="s">
        <v>1</v>
      </c>
      <c r="G1209" t="s">
        <v>1624</v>
      </c>
      <c r="H1209" t="s">
        <v>1625</v>
      </c>
      <c r="I1209">
        <v>-23.055499999999999</v>
      </c>
      <c r="J1209">
        <v>128.268</v>
      </c>
      <c r="K1209" t="str">
        <f>HYPERLINK("http://geossdi.dmp.wa.gov.au/NVCLDataServices/mosaic.html?datasetid=aea3f41e-4e87-4a06-8fc9-faef9cdf726","KWAC005_chips_Core Image")</f>
        <v>KWAC005_chips_Core Image</v>
      </c>
    </row>
    <row r="1210" spans="1:11" x14ac:dyDescent="0.25">
      <c r="A1210" t="str">
        <f>HYPERLINK("http://www.corstruth.com.au/WA/KWAC006_chips_cs.png","KWAC006_chips_A4")</f>
        <v>KWAC006_chips_A4</v>
      </c>
      <c r="B1210" t="str">
        <f>HYPERLINK("http://www.corstruth.com.au/WA/PNG2/KWAC006_chips_cs.png","KWAC006_chips_0.25m Bins")</f>
        <v>KWAC006_chips_0.25m Bins</v>
      </c>
      <c r="C1210" t="str">
        <f>HYPERLINK("http://www.corstruth.com.au/WA/CSV/KWAC006_chips.csv","KWAC006_chips_CSV File 1m Bins")</f>
        <v>KWAC006_chips_CSV File 1m Bins</v>
      </c>
      <c r="D1210" t="s">
        <v>1630</v>
      </c>
      <c r="E1210" t="s">
        <v>1</v>
      </c>
      <c r="G1210" t="s">
        <v>1624</v>
      </c>
      <c r="H1210" t="s">
        <v>1625</v>
      </c>
      <c r="I1210">
        <v>-23.0687</v>
      </c>
      <c r="J1210">
        <v>128.26599999999999</v>
      </c>
      <c r="K1210" t="str">
        <f>HYPERLINK("http://geossdi.dmp.wa.gov.au/NVCLDataServices/mosaic.html?datasetid=2f423128-d46a-4cae-b661-708336561d4","KWAC006_chips_Core Image")</f>
        <v>KWAC006_chips_Core Image</v>
      </c>
    </row>
    <row r="1211" spans="1:11" x14ac:dyDescent="0.25">
      <c r="A1211" t="str">
        <f>HYPERLINK("http://www.corstruth.com.au/WA/KWAC007_chips_cs.png","KWAC007_chips_A4")</f>
        <v>KWAC007_chips_A4</v>
      </c>
      <c r="B1211" t="str">
        <f>HYPERLINK("http://www.corstruth.com.au/WA/PNG2/KWAC007_chips_cs.png","KWAC007_chips_0.25m Bins")</f>
        <v>KWAC007_chips_0.25m Bins</v>
      </c>
      <c r="C1211" t="str">
        <f>HYPERLINK("http://www.corstruth.com.au/WA/CSV/KWAC007_chips.csv","KWAC007_chips_CSV File 1m Bins")</f>
        <v>KWAC007_chips_CSV File 1m Bins</v>
      </c>
      <c r="D1211" t="s">
        <v>1631</v>
      </c>
      <c r="E1211" t="s">
        <v>1</v>
      </c>
      <c r="G1211" t="s">
        <v>1624</v>
      </c>
      <c r="H1211" t="s">
        <v>1625</v>
      </c>
      <c r="I1211">
        <v>-23.0503</v>
      </c>
      <c r="J1211">
        <v>128.34399999999999</v>
      </c>
      <c r="K1211" t="str">
        <f>HYPERLINK("http://geossdi.dmp.wa.gov.au/NVCLDataServices/mosaic.html?datasetid=100942a2-cc66-4f27-8f14-60f6229ea3a","KWAC007_chips_Core Image")</f>
        <v>KWAC007_chips_Core Image</v>
      </c>
    </row>
    <row r="1212" spans="1:11" x14ac:dyDescent="0.25">
      <c r="A1212" t="str">
        <f>HYPERLINK("http://www.corstruth.com.au/WA/KWAC008_chips_cs.png","KWAC008_chips_A4")</f>
        <v>KWAC008_chips_A4</v>
      </c>
      <c r="B1212" t="str">
        <f>HYPERLINK("http://www.corstruth.com.au/WA/PNG2/KWAC008_chips_cs.png","KWAC008_chips_0.25m Bins")</f>
        <v>KWAC008_chips_0.25m Bins</v>
      </c>
      <c r="C1212" t="str">
        <f>HYPERLINK("http://www.corstruth.com.au/WA/CSV/KWAC008_chips.csv","KWAC008_chips_CSV File 1m Bins")</f>
        <v>KWAC008_chips_CSV File 1m Bins</v>
      </c>
      <c r="D1212" t="s">
        <v>1632</v>
      </c>
      <c r="E1212" t="s">
        <v>1</v>
      </c>
      <c r="G1212" t="s">
        <v>1624</v>
      </c>
      <c r="H1212" t="s">
        <v>1625</v>
      </c>
      <c r="I1212">
        <v>-23.094100000000001</v>
      </c>
      <c r="J1212">
        <v>128.39599999999999</v>
      </c>
      <c r="K1212" t="str">
        <f>HYPERLINK("http://geossdi.dmp.wa.gov.au/NVCLDataServices/mosaic.html?datasetid=f290a1cc-0fda-46b4-9bb5-1a4b2b04210","KWAC008_chips_Core Image")</f>
        <v>KWAC008_chips_Core Image</v>
      </c>
    </row>
    <row r="1213" spans="1:11" x14ac:dyDescent="0.25">
      <c r="A1213" t="str">
        <f>HYPERLINK("http://www.corstruth.com.au/WA/KWAC009_chips_cs.png","KWAC009_chips_A4")</f>
        <v>KWAC009_chips_A4</v>
      </c>
      <c r="B1213" t="str">
        <f>HYPERLINK("http://www.corstruth.com.au/WA/PNG2/KWAC009_chips_cs.png","KWAC009_chips_0.25m Bins")</f>
        <v>KWAC009_chips_0.25m Bins</v>
      </c>
      <c r="C1213" t="str">
        <f>HYPERLINK("http://www.corstruth.com.au/WA/CSV/KWAC009_chips.csv","KWAC009_chips_CSV File 1m Bins")</f>
        <v>KWAC009_chips_CSV File 1m Bins</v>
      </c>
      <c r="D1213" t="s">
        <v>1633</v>
      </c>
      <c r="E1213" t="s">
        <v>1</v>
      </c>
      <c r="G1213" t="s">
        <v>1624</v>
      </c>
      <c r="H1213" t="s">
        <v>1625</v>
      </c>
      <c r="I1213">
        <v>-23.071899999999999</v>
      </c>
      <c r="J1213">
        <v>128.422</v>
      </c>
      <c r="K1213" t="str">
        <f>HYPERLINK("http://geossdi.dmp.wa.gov.au/NVCLDataServices/mosaic.html?datasetid=549d8f3e-d9fa-4e10-95e0-1faeb88a1fb","KWAC009_chips_Core Image")</f>
        <v>KWAC009_chips_Core Image</v>
      </c>
    </row>
    <row r="1214" spans="1:11" x14ac:dyDescent="0.25">
      <c r="A1214" t="str">
        <f>HYPERLINK("http://www.corstruth.com.au/WA/KWAC010_chips_cs.png","KWAC010_chips_A4")</f>
        <v>KWAC010_chips_A4</v>
      </c>
      <c r="B1214" t="str">
        <f>HYPERLINK("http://www.corstruth.com.au/WA/PNG2/KWAC010_chips_cs.png","KWAC010_chips_0.25m Bins")</f>
        <v>KWAC010_chips_0.25m Bins</v>
      </c>
      <c r="C1214" t="str">
        <f>HYPERLINK("http://www.corstruth.com.au/WA/CSV/KWAC010_chips.csv","KWAC010_chips_CSV File 1m Bins")</f>
        <v>KWAC010_chips_CSV File 1m Bins</v>
      </c>
      <c r="D1214" t="s">
        <v>1634</v>
      </c>
      <c r="E1214" t="s">
        <v>1</v>
      </c>
      <c r="G1214" t="s">
        <v>1624</v>
      </c>
      <c r="H1214" t="s">
        <v>1625</v>
      </c>
      <c r="I1214">
        <v>-23.085799999999999</v>
      </c>
      <c r="J1214">
        <v>128.51400000000001</v>
      </c>
      <c r="K1214" t="str">
        <f>HYPERLINK("http://geossdi.dmp.wa.gov.au/NVCLDataServices/mosaic.html?datasetid=faf7f580-b06c-4a23-9b43-c79d29c76c7","KWAC010_chips_Core Image")</f>
        <v>KWAC010_chips_Core Image</v>
      </c>
    </row>
    <row r="1215" spans="1:11" x14ac:dyDescent="0.25">
      <c r="A1215" t="str">
        <f>HYPERLINK("http://www.corstruth.com.au/WA/KWAC011_chips_cs.png","KWAC011_chips_A4")</f>
        <v>KWAC011_chips_A4</v>
      </c>
      <c r="B1215" t="str">
        <f>HYPERLINK("http://www.corstruth.com.au/WA/PNG2/KWAC011_chips_cs.png","KWAC011_chips_0.25m Bins")</f>
        <v>KWAC011_chips_0.25m Bins</v>
      </c>
      <c r="C1215" t="str">
        <f>HYPERLINK("http://www.corstruth.com.au/WA/CSV/KWAC011_chips.csv","KWAC011_chips_CSV File 1m Bins")</f>
        <v>KWAC011_chips_CSV File 1m Bins</v>
      </c>
      <c r="D1215" t="s">
        <v>1635</v>
      </c>
      <c r="E1215" t="s">
        <v>1</v>
      </c>
      <c r="G1215" t="s">
        <v>1624</v>
      </c>
      <c r="H1215" t="s">
        <v>1625</v>
      </c>
      <c r="I1215">
        <v>-23.159099999999999</v>
      </c>
      <c r="J1215">
        <v>128.476</v>
      </c>
      <c r="K1215" t="str">
        <f>HYPERLINK("http://geossdi.dmp.wa.gov.au/NVCLDataServices/mosaic.html?datasetid=877a2672-3375-4589-809b-fcac08f545d","KWAC011_chips_Core Image")</f>
        <v>KWAC011_chips_Core Image</v>
      </c>
    </row>
    <row r="1216" spans="1:11" x14ac:dyDescent="0.25">
      <c r="A1216" t="str">
        <f>HYPERLINK("http://www.corstruth.com.au/WA/KWAC013_chips_cs.png","KWAC013_chips_A4")</f>
        <v>KWAC013_chips_A4</v>
      </c>
      <c r="B1216" t="str">
        <f>HYPERLINK("http://www.corstruth.com.au/WA/PNG2/KWAC013_chips_cs.png","KWAC013_chips_0.25m Bins")</f>
        <v>KWAC013_chips_0.25m Bins</v>
      </c>
      <c r="C1216" t="str">
        <f>HYPERLINK("http://www.corstruth.com.au/WA/CSV/KWAC013_chips.csv","KWAC013_chips_CSV File 1m Bins")</f>
        <v>KWAC013_chips_CSV File 1m Bins</v>
      </c>
      <c r="D1216" t="s">
        <v>1636</v>
      </c>
      <c r="E1216" t="s">
        <v>1</v>
      </c>
      <c r="G1216" t="s">
        <v>1624</v>
      </c>
      <c r="H1216" t="s">
        <v>1625</v>
      </c>
      <c r="I1216">
        <v>-23.230699999999999</v>
      </c>
      <c r="J1216">
        <v>128.40700000000001</v>
      </c>
      <c r="K1216" t="str">
        <f>HYPERLINK("http://geossdi.dmp.wa.gov.au/NVCLDataServices/mosaic.html?datasetid=42f466f3-e7f8-4fcb-bb29-dcce3f0b358","KWAC013_chips_Core Image")</f>
        <v>KWAC013_chips_Core Image</v>
      </c>
    </row>
    <row r="1217" spans="1:11" x14ac:dyDescent="0.25">
      <c r="A1217" t="str">
        <f>HYPERLINK("http://www.corstruth.com.au/WA/KWAC014_chips_cs.png","KWAC014_chips_A4")</f>
        <v>KWAC014_chips_A4</v>
      </c>
      <c r="B1217" t="str">
        <f>HYPERLINK("http://www.corstruth.com.au/WA/PNG2/KWAC014_chips_cs.png","KWAC014_chips_0.25m Bins")</f>
        <v>KWAC014_chips_0.25m Bins</v>
      </c>
      <c r="C1217" t="str">
        <f>HYPERLINK("http://www.corstruth.com.au/WA/CSV/KWAC014_chips.csv","KWAC014_chips_CSV File 1m Bins")</f>
        <v>KWAC014_chips_CSV File 1m Bins</v>
      </c>
      <c r="D1217" t="s">
        <v>1637</v>
      </c>
      <c r="E1217" t="s">
        <v>1</v>
      </c>
      <c r="G1217" t="s">
        <v>1624</v>
      </c>
      <c r="H1217" t="s">
        <v>1625</v>
      </c>
      <c r="I1217">
        <v>-22.972200000000001</v>
      </c>
      <c r="J1217">
        <v>128.137</v>
      </c>
      <c r="K1217" t="str">
        <f>HYPERLINK("http://geossdi.dmp.wa.gov.au/NVCLDataServices/mosaic.html?datasetid=12f47e75-eb4b-455c-863b-f1745c97071","KWAC014_chips_Core Image")</f>
        <v>KWAC014_chips_Core Image</v>
      </c>
    </row>
    <row r="1218" spans="1:11" x14ac:dyDescent="0.25">
      <c r="A1218" t="str">
        <f>HYPERLINK("http://www.corstruth.com.au/WA/KWAC015_chips_cs.png","KWAC015_chips_A4")</f>
        <v>KWAC015_chips_A4</v>
      </c>
      <c r="B1218" t="str">
        <f>HYPERLINK("http://www.corstruth.com.au/WA/PNG2/KWAC015_chips_cs.png","KWAC015_chips_0.25m Bins")</f>
        <v>KWAC015_chips_0.25m Bins</v>
      </c>
      <c r="C1218" t="str">
        <f>HYPERLINK("http://www.corstruth.com.au/WA/CSV/KWAC015_chips.csv","KWAC015_chips_CSV File 1m Bins")</f>
        <v>KWAC015_chips_CSV File 1m Bins</v>
      </c>
      <c r="D1218" t="s">
        <v>1638</v>
      </c>
      <c r="E1218" t="s">
        <v>1</v>
      </c>
      <c r="G1218" t="s">
        <v>1624</v>
      </c>
      <c r="H1218" t="s">
        <v>1625</v>
      </c>
      <c r="I1218">
        <v>-23.228400000000001</v>
      </c>
      <c r="J1218">
        <v>128.49</v>
      </c>
      <c r="K1218" t="str">
        <f>HYPERLINK("http://geossdi.dmp.wa.gov.au/NVCLDataServices/mosaic.html?datasetid=d6250f8b-5085-4c6a-8e50-7041b7094d9","KWAC015_chips_Core Image")</f>
        <v>KWAC015_chips_Core Image</v>
      </c>
    </row>
    <row r="1219" spans="1:11" x14ac:dyDescent="0.25">
      <c r="A1219" t="str">
        <f>HYPERLINK("http://www.corstruth.com.au/WA/KWAC016_chips_cs.png","KWAC016_chips_A4")</f>
        <v>KWAC016_chips_A4</v>
      </c>
      <c r="B1219" t="str">
        <f>HYPERLINK("http://www.corstruth.com.au/WA/PNG2/KWAC016_chips_cs.png","KWAC016_chips_0.25m Bins")</f>
        <v>KWAC016_chips_0.25m Bins</v>
      </c>
      <c r="C1219" t="str">
        <f>HYPERLINK("http://www.corstruth.com.au/WA/CSV/KWAC016_chips.csv","KWAC016_chips_CSV File 1m Bins")</f>
        <v>KWAC016_chips_CSV File 1m Bins</v>
      </c>
      <c r="D1219" t="s">
        <v>1639</v>
      </c>
      <c r="E1219" t="s">
        <v>1</v>
      </c>
      <c r="G1219" t="s">
        <v>1624</v>
      </c>
      <c r="H1219" t="s">
        <v>1625</v>
      </c>
      <c r="I1219">
        <v>-23.238299999999999</v>
      </c>
      <c r="J1219">
        <v>128.578</v>
      </c>
      <c r="K1219" t="str">
        <f>HYPERLINK("http://geossdi.dmp.wa.gov.au/NVCLDataServices/mosaic.html?datasetid=25113da6-fa85-4cad-94ef-d583d3e48b0","KWAC016_chips_Core Image")</f>
        <v>KWAC016_chips_Core Image</v>
      </c>
    </row>
    <row r="1220" spans="1:11" x14ac:dyDescent="0.25">
      <c r="A1220" t="str">
        <f>HYPERLINK("http://www.corstruth.com.au/WA/KWAC017_chips_cs.png","KWAC017_chips_A4")</f>
        <v>KWAC017_chips_A4</v>
      </c>
      <c r="B1220" t="str">
        <f>HYPERLINK("http://www.corstruth.com.au/WA/PNG2/KWAC017_chips_cs.png","KWAC017_chips_0.25m Bins")</f>
        <v>KWAC017_chips_0.25m Bins</v>
      </c>
      <c r="C1220" t="str">
        <f>HYPERLINK("http://www.corstruth.com.au/WA/CSV/KWAC017_chips.csv","KWAC017_chips_CSV File 1m Bins")</f>
        <v>KWAC017_chips_CSV File 1m Bins</v>
      </c>
      <c r="D1220" t="s">
        <v>1640</v>
      </c>
      <c r="E1220" t="s">
        <v>1</v>
      </c>
      <c r="G1220" t="s">
        <v>1624</v>
      </c>
      <c r="H1220" t="s">
        <v>1625</v>
      </c>
      <c r="I1220">
        <v>-23.160799999999998</v>
      </c>
      <c r="J1220">
        <v>128.55699999999999</v>
      </c>
      <c r="K1220" t="str">
        <f>HYPERLINK("http://geossdi.dmp.wa.gov.au/NVCLDataServices/mosaic.html?datasetid=13e7bfd5-047c-4c89-aedc-12bfaf5028f","KWAC017_chips_Core Image")</f>
        <v>KWAC017_chips_Core Image</v>
      </c>
    </row>
    <row r="1221" spans="1:11" x14ac:dyDescent="0.25">
      <c r="A1221" t="str">
        <f>HYPERLINK("http://www.corstruth.com.au/WA/KWAC018_chips_cs.png","KWAC018_chips_A4")</f>
        <v>KWAC018_chips_A4</v>
      </c>
      <c r="B1221" t="str">
        <f>HYPERLINK("http://www.corstruth.com.au/WA/PNG2/KWAC018_chips_cs.png","KWAC018_chips_0.25m Bins")</f>
        <v>KWAC018_chips_0.25m Bins</v>
      </c>
      <c r="C1221" t="str">
        <f>HYPERLINK("http://www.corstruth.com.au/WA/CSV/KWAC018_chips.csv","KWAC018_chips_CSV File 1m Bins")</f>
        <v>KWAC018_chips_CSV File 1m Bins</v>
      </c>
      <c r="D1221" t="s">
        <v>1641</v>
      </c>
      <c r="E1221" t="s">
        <v>1</v>
      </c>
      <c r="G1221" t="s">
        <v>1624</v>
      </c>
      <c r="H1221" t="s">
        <v>1625</v>
      </c>
      <c r="I1221">
        <v>-23.0807</v>
      </c>
      <c r="J1221">
        <v>128.62</v>
      </c>
      <c r="K1221" t="str">
        <f>HYPERLINK("http://geossdi.dmp.wa.gov.au/NVCLDataServices/mosaic.html?datasetid=8e287571-d090-4970-a232-c6737cd8186","KWAC018_chips_Core Image")</f>
        <v>KWAC018_chips_Core Image</v>
      </c>
    </row>
    <row r="1222" spans="1:11" x14ac:dyDescent="0.25">
      <c r="A1222" t="str">
        <f>HYPERLINK("http://www.corstruth.com.au/WA/KWAC019_chips_cs.png","KWAC019_chips_A4")</f>
        <v>KWAC019_chips_A4</v>
      </c>
      <c r="B1222" t="str">
        <f>HYPERLINK("http://www.corstruth.com.au/WA/PNG2/KWAC019_chips_cs.png","KWAC019_chips_0.25m Bins")</f>
        <v>KWAC019_chips_0.25m Bins</v>
      </c>
      <c r="C1222" t="str">
        <f>HYPERLINK("http://www.corstruth.com.au/WA/CSV/KWAC019_chips.csv","KWAC019_chips_CSV File 1m Bins")</f>
        <v>KWAC019_chips_CSV File 1m Bins</v>
      </c>
      <c r="D1222" t="s">
        <v>1642</v>
      </c>
      <c r="E1222" t="s">
        <v>1</v>
      </c>
      <c r="G1222" t="s">
        <v>1624</v>
      </c>
      <c r="H1222" t="s">
        <v>1625</v>
      </c>
      <c r="I1222">
        <v>-23.077100000000002</v>
      </c>
      <c r="J1222">
        <v>128.739</v>
      </c>
      <c r="K1222" t="str">
        <f>HYPERLINK("http://geossdi.dmp.wa.gov.au/NVCLDataServices/mosaic.html?datasetid=aab5d12f-5ba6-4e73-aecb-450fceb3c73","KWAC019_chips_Core Image")</f>
        <v>KWAC019_chips_Core Image</v>
      </c>
    </row>
    <row r="1223" spans="1:11" x14ac:dyDescent="0.25">
      <c r="A1223" t="str">
        <f>HYPERLINK("http://www.corstruth.com.au/WA/KWAC020_chips_cs.png","KWAC020_chips_A4")</f>
        <v>KWAC020_chips_A4</v>
      </c>
      <c r="B1223" t="str">
        <f>HYPERLINK("http://www.corstruth.com.au/WA/PNG2/KWAC020_chips_cs.png","KWAC020_chips_0.25m Bins")</f>
        <v>KWAC020_chips_0.25m Bins</v>
      </c>
      <c r="C1223" t="str">
        <f>HYPERLINK("http://www.corstruth.com.au/WA/CSV/KWAC020_chips.csv","KWAC020_chips_CSV File 1m Bins")</f>
        <v>KWAC020_chips_CSV File 1m Bins</v>
      </c>
      <c r="D1223" t="s">
        <v>1643</v>
      </c>
      <c r="E1223" t="s">
        <v>1</v>
      </c>
      <c r="G1223" t="s">
        <v>1624</v>
      </c>
      <c r="H1223" t="s">
        <v>1625</v>
      </c>
      <c r="I1223">
        <v>-23.1602</v>
      </c>
      <c r="J1223">
        <v>128.62899999999999</v>
      </c>
      <c r="K1223" t="str">
        <f>HYPERLINK("http://geossdi.dmp.wa.gov.au/NVCLDataServices/mosaic.html?datasetid=e9a30fcf-d911-45be-88fb-8d005d9bfbc","KWAC020_chips_Core Image")</f>
        <v>KWAC020_chips_Core Image</v>
      </c>
    </row>
    <row r="1224" spans="1:11" x14ac:dyDescent="0.25">
      <c r="A1224" t="str">
        <f>HYPERLINK("http://www.corstruth.com.au/WA/KWAC021_chips_cs.png","KWAC021_chips_A4")</f>
        <v>KWAC021_chips_A4</v>
      </c>
      <c r="B1224" t="str">
        <f>HYPERLINK("http://www.corstruth.com.au/WA/PNG2/KWAC021_chips_cs.png","KWAC021_chips_0.25m Bins")</f>
        <v>KWAC021_chips_0.25m Bins</v>
      </c>
      <c r="C1224" t="str">
        <f>HYPERLINK("http://www.corstruth.com.au/WA/CSV/KWAC021_chips.csv","KWAC021_chips_CSV File 1m Bins")</f>
        <v>KWAC021_chips_CSV File 1m Bins</v>
      </c>
      <c r="D1224" t="s">
        <v>1644</v>
      </c>
      <c r="E1224" t="s">
        <v>1</v>
      </c>
      <c r="G1224" t="s">
        <v>1624</v>
      </c>
      <c r="H1224" t="s">
        <v>1625</v>
      </c>
      <c r="I1224">
        <v>-23.215900000000001</v>
      </c>
      <c r="J1224">
        <v>128.655</v>
      </c>
      <c r="K1224" t="str">
        <f>HYPERLINK("http://geossdi.dmp.wa.gov.au/NVCLDataServices/mosaic.html?datasetid=960e4a21-2e3f-4fa7-b7cd-6d6137fcc81","KWAC021_chips_Core Image")</f>
        <v>KWAC021_chips_Core Image</v>
      </c>
    </row>
    <row r="1225" spans="1:11" x14ac:dyDescent="0.25">
      <c r="A1225" t="str">
        <f>HYPERLINK("http://www.corstruth.com.au/WA/KWAC022_chips_cs.png","KWAC022_chips_A4")</f>
        <v>KWAC022_chips_A4</v>
      </c>
      <c r="B1225" t="str">
        <f>HYPERLINK("http://www.corstruth.com.au/WA/PNG2/KWAC022_chips_cs.png","KWAC022_chips_0.25m Bins")</f>
        <v>KWAC022_chips_0.25m Bins</v>
      </c>
      <c r="C1225" t="str">
        <f>HYPERLINK("http://www.corstruth.com.au/WA/CSV/KWAC022_chips.csv","KWAC022_chips_CSV File 1m Bins")</f>
        <v>KWAC022_chips_CSV File 1m Bins</v>
      </c>
      <c r="D1225" t="s">
        <v>1645</v>
      </c>
      <c r="E1225" t="s">
        <v>1</v>
      </c>
      <c r="G1225" t="s">
        <v>1624</v>
      </c>
      <c r="H1225" t="s">
        <v>1625</v>
      </c>
      <c r="I1225">
        <v>-23.2119</v>
      </c>
      <c r="J1225">
        <v>128.74</v>
      </c>
      <c r="K1225" t="str">
        <f>HYPERLINK("http://geossdi.dmp.wa.gov.au/NVCLDataServices/mosaic.html?datasetid=3f943a13-ab45-496e-b262-d72d2960cd2","KWAC022_chips_Core Image")</f>
        <v>KWAC022_chips_Core Image</v>
      </c>
    </row>
    <row r="1226" spans="1:11" x14ac:dyDescent="0.25">
      <c r="A1226" t="str">
        <f>HYPERLINK("http://www.corstruth.com.au/WA/KWAC023_chips_cs.png","KWAC023_chips_A4")</f>
        <v>KWAC023_chips_A4</v>
      </c>
      <c r="B1226" t="str">
        <f>HYPERLINK("http://www.corstruth.com.au/WA/PNG2/KWAC023_chips_cs.png","KWAC023_chips_0.25m Bins")</f>
        <v>KWAC023_chips_0.25m Bins</v>
      </c>
      <c r="C1226" t="str">
        <f>HYPERLINK("http://www.corstruth.com.au/WA/CSV/KWAC023_chips.csv","KWAC023_chips_CSV File 1m Bins")</f>
        <v>KWAC023_chips_CSV File 1m Bins</v>
      </c>
      <c r="D1226" t="s">
        <v>1646</v>
      </c>
      <c r="E1226" t="s">
        <v>1</v>
      </c>
      <c r="G1226" t="s">
        <v>1624</v>
      </c>
      <c r="H1226" t="s">
        <v>1625</v>
      </c>
      <c r="I1226">
        <v>-23.254799999999999</v>
      </c>
      <c r="J1226">
        <v>128.75800000000001</v>
      </c>
      <c r="K1226" t="str">
        <f>HYPERLINK("http://geossdi.dmp.wa.gov.au/NVCLDataServices/mosaic.html?datasetid=e495794b-3743-43b1-be25-1457eec9f6a","KWAC023_chips_Core Image")</f>
        <v>KWAC023_chips_Core Image</v>
      </c>
    </row>
    <row r="1227" spans="1:11" x14ac:dyDescent="0.25">
      <c r="A1227" t="str">
        <f>HYPERLINK("http://www.corstruth.com.au/WA/KWAC024_chips_cs.png","KWAC024_chips_A4")</f>
        <v>KWAC024_chips_A4</v>
      </c>
      <c r="B1227" t="str">
        <f>HYPERLINK("http://www.corstruth.com.au/WA/PNG2/KWAC024_chips_cs.png","KWAC024_chips_0.25m Bins")</f>
        <v>KWAC024_chips_0.25m Bins</v>
      </c>
      <c r="C1227" t="str">
        <f>HYPERLINK("http://www.corstruth.com.au/WA/CSV/KWAC024_chips.csv","KWAC024_chips_CSV File 1m Bins")</f>
        <v>KWAC024_chips_CSV File 1m Bins</v>
      </c>
      <c r="D1227" t="s">
        <v>1647</v>
      </c>
      <c r="E1227" t="s">
        <v>1</v>
      </c>
      <c r="G1227" t="s">
        <v>1624</v>
      </c>
      <c r="H1227" t="s">
        <v>1625</v>
      </c>
      <c r="I1227">
        <v>-23.25</v>
      </c>
      <c r="J1227">
        <v>128.83000000000001</v>
      </c>
      <c r="K1227" t="str">
        <f>HYPERLINK("http://geossdi.dmp.wa.gov.au/NVCLDataServices/mosaic.html?datasetid=37371599-ddd6-4608-8fdc-6334456d9a2","KWAC024_chips_Core Image")</f>
        <v>KWAC024_chips_Core Image</v>
      </c>
    </row>
    <row r="1228" spans="1:11" x14ac:dyDescent="0.25">
      <c r="A1228" t="str">
        <f>HYPERLINK("http://www.corstruth.com.au/WA/KWAC025_chips_cs.png","KWAC025_chips_A4")</f>
        <v>KWAC025_chips_A4</v>
      </c>
      <c r="B1228" t="str">
        <f>HYPERLINK("http://www.corstruth.com.au/WA/PNG2/KWAC025_chips_cs.png","KWAC025_chips_0.25m Bins")</f>
        <v>KWAC025_chips_0.25m Bins</v>
      </c>
      <c r="C1228" t="str">
        <f>HYPERLINK("http://www.corstruth.com.au/WA/CSV/KWAC025_chips.csv","KWAC025_chips_CSV File 1m Bins")</f>
        <v>KWAC025_chips_CSV File 1m Bins</v>
      </c>
      <c r="D1228" t="s">
        <v>1648</v>
      </c>
      <c r="E1228" t="s">
        <v>1</v>
      </c>
      <c r="G1228" t="s">
        <v>1624</v>
      </c>
      <c r="H1228" t="s">
        <v>1625</v>
      </c>
      <c r="I1228">
        <v>-23.325299999999999</v>
      </c>
      <c r="J1228">
        <v>128.828</v>
      </c>
      <c r="K1228" t="str">
        <f>HYPERLINK("http://geossdi.dmp.wa.gov.au/NVCLDataServices/mosaic.html?datasetid=4c041cb3-2d3d-4b4b-b853-77b25ee4e0a","KWAC025_chips_Core Image")</f>
        <v>KWAC025_chips_Core Image</v>
      </c>
    </row>
    <row r="1229" spans="1:11" x14ac:dyDescent="0.25">
      <c r="A1229" t="str">
        <f>HYPERLINK("http://www.corstruth.com.au/WA/KWAC026_chips_cs.png","KWAC026_chips_A4")</f>
        <v>KWAC026_chips_A4</v>
      </c>
      <c r="B1229" t="str">
        <f>HYPERLINK("http://www.corstruth.com.au/WA/PNG2/KWAC026_chips_cs.png","KWAC026_chips_0.25m Bins")</f>
        <v>KWAC026_chips_0.25m Bins</v>
      </c>
      <c r="C1229" t="str">
        <f>HYPERLINK("http://www.corstruth.com.au/WA/CSV/KWAC026_chips.csv","KWAC026_chips_CSV File 1m Bins")</f>
        <v>KWAC026_chips_CSV File 1m Bins</v>
      </c>
      <c r="D1229" t="s">
        <v>1649</v>
      </c>
      <c r="E1229" t="s">
        <v>1</v>
      </c>
      <c r="G1229" t="s">
        <v>1624</v>
      </c>
      <c r="H1229" t="s">
        <v>1625</v>
      </c>
      <c r="I1229">
        <v>-23.309799999999999</v>
      </c>
      <c r="J1229">
        <v>128.91900000000001</v>
      </c>
      <c r="K1229" t="str">
        <f>HYPERLINK("http://geossdi.dmp.wa.gov.au/NVCLDataServices/mosaic.html?datasetid=39d32725-805d-4a24-a36d-ba6d60d2c66","KWAC026_chips_Core Image")</f>
        <v>KWAC026_chips_Core Image</v>
      </c>
    </row>
    <row r="1230" spans="1:11" x14ac:dyDescent="0.25">
      <c r="A1230" t="str">
        <f>HYPERLINK("http://www.corstruth.com.au/WA/KWAC027_chips_cs.png","KWAC027_chips_A4")</f>
        <v>KWAC027_chips_A4</v>
      </c>
      <c r="B1230" t="str">
        <f>HYPERLINK("http://www.corstruth.com.au/WA/PNG2/KWAC027_chips_cs.png","KWAC027_chips_0.25m Bins")</f>
        <v>KWAC027_chips_0.25m Bins</v>
      </c>
      <c r="C1230" t="str">
        <f>HYPERLINK("http://www.corstruth.com.au/WA/CSV/KWAC027_chips.csv","KWAC027_chips_CSV File 1m Bins")</f>
        <v>KWAC027_chips_CSV File 1m Bins</v>
      </c>
      <c r="D1230" t="s">
        <v>1650</v>
      </c>
      <c r="E1230" t="s">
        <v>1</v>
      </c>
      <c r="G1230" t="s">
        <v>1624</v>
      </c>
      <c r="H1230" t="s">
        <v>1625</v>
      </c>
      <c r="I1230">
        <v>-23.340499999999999</v>
      </c>
      <c r="J1230">
        <v>128.98500000000001</v>
      </c>
      <c r="K1230" t="str">
        <f>HYPERLINK("http://geossdi.dmp.wa.gov.au/NVCLDataServices/mosaic.html?datasetid=7c4dbbb2-2b9f-40cc-a3f3-3e4eb2488f7","KWAC027_chips_Core Image")</f>
        <v>KWAC027_chips_Core Image</v>
      </c>
    </row>
    <row r="1231" spans="1:11" x14ac:dyDescent="0.25">
      <c r="A1231" t="str">
        <f>HYPERLINK("http://www.corstruth.com.au/WA/KWAC028_chips_cs.png","KWAC028_chips_A4")</f>
        <v>KWAC028_chips_A4</v>
      </c>
      <c r="B1231" t="str">
        <f>HYPERLINK("http://www.corstruth.com.au/WA/PNG2/KWAC028_chips_cs.png","KWAC028_chips_0.25m Bins")</f>
        <v>KWAC028_chips_0.25m Bins</v>
      </c>
      <c r="C1231" t="str">
        <f>HYPERLINK("http://www.corstruth.com.au/WA/CSV/KWAC028_chips.csv","KWAC028_chips_CSV File 1m Bins")</f>
        <v>KWAC028_chips_CSV File 1m Bins</v>
      </c>
      <c r="D1231" t="s">
        <v>1651</v>
      </c>
      <c r="E1231" t="s">
        <v>1</v>
      </c>
      <c r="G1231" t="s">
        <v>1624</v>
      </c>
      <c r="H1231" t="s">
        <v>1625</v>
      </c>
      <c r="I1231">
        <v>-23.048300000000001</v>
      </c>
      <c r="J1231">
        <v>128.346</v>
      </c>
      <c r="K1231" t="str">
        <f>HYPERLINK("http://geossdi.dmp.wa.gov.au/NVCLDataServices/mosaic.html?datasetid=c7e3afed-372f-4103-b70a-98ed7840fe5","KWAC028_chips_Core Image")</f>
        <v>KWAC028_chips_Core Image</v>
      </c>
    </row>
    <row r="1232" spans="1:11" x14ac:dyDescent="0.25">
      <c r="A1232" t="str">
        <f>HYPERLINK("http://www.corstruth.com.au/WA/KWAC029_chips_cs.png","KWAC029_chips_A4")</f>
        <v>KWAC029_chips_A4</v>
      </c>
      <c r="B1232" t="str">
        <f>HYPERLINK("http://www.corstruth.com.au/WA/PNG2/KWAC029_chips_cs.png","KWAC029_chips_0.25m Bins")</f>
        <v>KWAC029_chips_0.25m Bins</v>
      </c>
      <c r="C1232" t="str">
        <f>HYPERLINK("http://www.corstruth.com.au/WA/CSV/KWAC029_chips.csv","KWAC029_chips_CSV File 1m Bins")</f>
        <v>KWAC029_chips_CSV File 1m Bins</v>
      </c>
      <c r="D1232" t="s">
        <v>1652</v>
      </c>
      <c r="E1232" t="s">
        <v>1</v>
      </c>
      <c r="G1232" t="s">
        <v>1624</v>
      </c>
      <c r="H1232" t="s">
        <v>1625</v>
      </c>
      <c r="I1232">
        <v>-23.276399999999999</v>
      </c>
      <c r="J1232">
        <v>128.99199999999999</v>
      </c>
      <c r="K1232" t="str">
        <f>HYPERLINK("http://geossdi.dmp.wa.gov.au/NVCLDataServices/mosaic.html?datasetid=9fdaba36-1f50-4abb-a106-53680d9bce2","KWAC029_chips_Core Image")</f>
        <v>KWAC029_chips_Core Image</v>
      </c>
    </row>
    <row r="1233" spans="1:11" x14ac:dyDescent="0.25">
      <c r="A1233" t="str">
        <f>HYPERLINK("http://www.corstruth.com.au/WA/17FCHRCD002_cs.png","17FCHRCD002_A4")</f>
        <v>17FCHRCD002_A4</v>
      </c>
      <c r="B1233" t="str">
        <f>HYPERLINK("http://www.corstruth.com.au/WA/PNG2/17FCHRCD002_cs.png","17FCHRCD002_0.25m Bins")</f>
        <v>17FCHRCD002_0.25m Bins</v>
      </c>
      <c r="C1233" t="str">
        <f>HYPERLINK("http://www.corstruth.com.au/WA/CSV/17FCHRCD002.csv","17FCHRCD002_CSV File 1m Bins")</f>
        <v>17FCHRCD002_CSV File 1m Bins</v>
      </c>
      <c r="D1233" t="s">
        <v>1653</v>
      </c>
      <c r="E1233" t="s">
        <v>1</v>
      </c>
      <c r="G1233" t="s">
        <v>1654</v>
      </c>
      <c r="H1233" t="s">
        <v>1558</v>
      </c>
      <c r="I1233">
        <v>-21.781099999999999</v>
      </c>
      <c r="J1233">
        <v>121.65900000000001</v>
      </c>
      <c r="K1233" t="str">
        <f>HYPERLINK("http://geossdi.dmp.wa.gov.au/NVCLDataServices/mosaic.html?datasetid=223e930b-07b9-447a-80ef-ec06889c6dc","17FCHRCD002_Core Image")</f>
        <v>17FCHRCD002_Core Image</v>
      </c>
    </row>
    <row r="1234" spans="1:11" x14ac:dyDescent="0.25">
      <c r="A1234" t="str">
        <f>HYPERLINK("http://www.corstruth.com.au/WA/Cliff_Head_6_cs.png","Cliff Head 6_A4")</f>
        <v>Cliff Head 6_A4</v>
      </c>
      <c r="D1234" t="s">
        <v>1655</v>
      </c>
      <c r="E1234" t="s">
        <v>1</v>
      </c>
      <c r="G1234" t="s">
        <v>1656</v>
      </c>
      <c r="H1234" t="s">
        <v>1657</v>
      </c>
      <c r="I1234">
        <v>-29.450099999999999</v>
      </c>
      <c r="J1234">
        <v>114.87</v>
      </c>
      <c r="K1234" t="str">
        <f>HYPERLINK("http://geossdi.dmp.wa.gov.au/NVCLDataServices/mosaic.html?datasetid=a432eb7b-6d0d-4b93-95a7-bbee3f2d43e","Cliff Head 6_Core Image")</f>
        <v>Cliff Head 6_Core Image</v>
      </c>
    </row>
    <row r="1235" spans="1:11" x14ac:dyDescent="0.25">
      <c r="A1235" t="str">
        <f>HYPERLINK("http://www.corstruth.com.au/WA/Jingemia_4_cs.png","Jingemia 4_A4")</f>
        <v>Jingemia 4_A4</v>
      </c>
      <c r="B1235" t="str">
        <f>HYPERLINK("http://www.corstruth.com.au/WA/PNG2/Jingemia_4_cs.png","Jingemia 4_0.25m Bins")</f>
        <v>Jingemia 4_0.25m Bins</v>
      </c>
      <c r="C1235" t="str">
        <f>HYPERLINK("http://www.corstruth.com.au/WA/CSV/Jingemia_4.csv","Jingemia 4_CSV File 1m Bins")</f>
        <v>Jingemia 4_CSV File 1m Bins</v>
      </c>
      <c r="D1235" t="s">
        <v>1244</v>
      </c>
      <c r="E1235" t="s">
        <v>1</v>
      </c>
      <c r="G1235" t="s">
        <v>67</v>
      </c>
      <c r="H1235" t="s">
        <v>1245</v>
      </c>
      <c r="I1235">
        <v>-29.337499999999999</v>
      </c>
      <c r="J1235">
        <v>114.99299999999999</v>
      </c>
      <c r="K1235" t="str">
        <f>HYPERLINK("http://geossdi.dmp.wa.gov.au/NVCLDataServices/mosaic.html?datasetid=ab4e425c-6b17-450a-a25f-70799393dea","Jingemia 4_Core Image")</f>
        <v>Jingemia 4_Core Image</v>
      </c>
    </row>
    <row r="1236" spans="1:11" x14ac:dyDescent="0.25">
      <c r="A1236" t="str">
        <f>HYPERLINK("http://www.corstruth.com.au/WA/Point_Louise_1_cs.png","Point Louise 1_A4")</f>
        <v>Point Louise 1_A4</v>
      </c>
      <c r="B1236" t="str">
        <f>HYPERLINK("http://www.corstruth.com.au/WA/PNG2/Point_Louise_1_cs.png","Point Louise 1_0.25m Bins")</f>
        <v>Point Louise 1_0.25m Bins</v>
      </c>
      <c r="C1236" t="str">
        <f>HYPERLINK("http://www.corstruth.com.au/WA/CSV/Point_Louise_1.csv","Point Louise 1_CSV File 1m Bins")</f>
        <v>Point Louise 1_CSV File 1m Bins</v>
      </c>
      <c r="D1236" t="s">
        <v>1658</v>
      </c>
      <c r="E1236" t="s">
        <v>1</v>
      </c>
      <c r="G1236" t="s">
        <v>67</v>
      </c>
      <c r="H1236" t="s">
        <v>1659</v>
      </c>
      <c r="I1236">
        <v>-30.040099999999999</v>
      </c>
      <c r="J1236">
        <v>115.069</v>
      </c>
      <c r="K1236" t="str">
        <f>HYPERLINK("http://geossdi.dmp.wa.gov.au/NVCLDataServices/mosaic.html?datasetid=92f90257-12ba-43cc-9ebc-5af061b2b15","Point Louise 1_Core Image")</f>
        <v>Point Louise 1_Core Image</v>
      </c>
    </row>
    <row r="1237" spans="1:11" x14ac:dyDescent="0.25">
      <c r="A1237" t="str">
        <f>HYPERLINK("http://www.corstruth.com.au/WA/Woodada_14_cs.png","Woodada 14_A4")</f>
        <v>Woodada 14_A4</v>
      </c>
      <c r="B1237" t="str">
        <f>HYPERLINK("http://www.corstruth.com.au/WA/PNG2/Woodada_14_cs.png","Woodada 14_0.25m Bins")</f>
        <v>Woodada 14_0.25m Bins</v>
      </c>
      <c r="C1237" t="str">
        <f>HYPERLINK("http://www.corstruth.com.au/WA/CSV/Woodada_14.csv","Woodada 14_CSV File 1m Bins")</f>
        <v>Woodada 14_CSV File 1m Bins</v>
      </c>
      <c r="D1237" t="s">
        <v>1660</v>
      </c>
      <c r="E1237" t="s">
        <v>1</v>
      </c>
      <c r="G1237" t="s">
        <v>67</v>
      </c>
      <c r="H1237" t="s">
        <v>1661</v>
      </c>
      <c r="I1237">
        <v>-29.834499999999998</v>
      </c>
      <c r="J1237">
        <v>115.14100000000001</v>
      </c>
      <c r="K1237" t="str">
        <f>HYPERLINK("http://geossdi.dmp.wa.gov.au/NVCLDataServices/mosaic.html?datasetid=c8f31694-e614-41f0-9844-92fc01583ab","Woodada 14_Core Image")</f>
        <v>Woodada 14_Core Image</v>
      </c>
    </row>
    <row r="1238" spans="1:11" x14ac:dyDescent="0.25">
      <c r="A1238" t="str">
        <f>HYPERLINK("http://www.corstruth.com.au/WA/Bootine_1_[cuttings_2890-3406m]_cs.png","Bootine 1 [cuttings 2890-3406m]_A4")</f>
        <v>Bootine 1 [cuttings 2890-3406m]_A4</v>
      </c>
      <c r="B1238" t="str">
        <f>HYPERLINK("http://www.corstruth.com.au/WA/PNG2/Bootine_1_[cuttings_2890-3406m]_cs.png","Bootine 1 [cuttings 2890-3406m]_0.25m Bins")</f>
        <v>Bootine 1 [cuttings 2890-3406m]_0.25m Bins</v>
      </c>
      <c r="C1238" t="str">
        <f>HYPERLINK("http://www.corstruth.com.au/WA/CSV/Bootine_1_[cuttings_2890-3406m].csv","Bootine 1 [cuttings 2890-3406m]_CSV File 1m Bins")</f>
        <v>Bootine 1 [cuttings 2890-3406m]_CSV File 1m Bins</v>
      </c>
      <c r="D1238" t="s">
        <v>1662</v>
      </c>
      <c r="E1238" t="s">
        <v>1</v>
      </c>
      <c r="G1238" t="s">
        <v>70</v>
      </c>
      <c r="H1238" t="s">
        <v>1663</v>
      </c>
      <c r="I1238">
        <v>-31.176500000000001</v>
      </c>
      <c r="J1238">
        <v>115.827</v>
      </c>
    </row>
    <row r="1239" spans="1:11" x14ac:dyDescent="0.25">
      <c r="A1239" t="str">
        <f>HYPERLINK("http://www.corstruth.com.au/WA/Gingin_1_[cuttings_10500-14900ft]_cs.png","Gingin 1 [cuttings 10500-14900ft]_A4")</f>
        <v>Gingin 1 [cuttings 10500-14900ft]_A4</v>
      </c>
      <c r="B1239" t="str">
        <f>HYPERLINK("http://www.corstruth.com.au/WA/PNG2/Gingin_1_[cuttings_10500-14900ft]_cs.png","Gingin 1 [cuttings 10500-14900ft]_0.25m Bins")</f>
        <v>Gingin 1 [cuttings 10500-14900ft]_0.25m Bins</v>
      </c>
      <c r="C1239" t="str">
        <f>HYPERLINK("http://www.corstruth.com.au/WA/CSV/Gingin_1_[cuttings_10500-14900ft].csv","Gingin 1 [cuttings 10500-14900ft]_CSV File 1m Bins")</f>
        <v>Gingin 1 [cuttings 10500-14900ft]_CSV File 1m Bins</v>
      </c>
      <c r="D1239" t="s">
        <v>1664</v>
      </c>
      <c r="E1239" t="s">
        <v>1</v>
      </c>
      <c r="G1239" t="s">
        <v>70</v>
      </c>
      <c r="H1239" t="s">
        <v>71</v>
      </c>
      <c r="I1239">
        <v>-31.1431</v>
      </c>
      <c r="J1239">
        <v>115.827</v>
      </c>
    </row>
    <row r="1240" spans="1:11" x14ac:dyDescent="0.25">
      <c r="A1240" t="str">
        <f>HYPERLINK("http://www.corstruth.com.au/WA/Gingin_2_cs.png","Gingin 2_A4")</f>
        <v>Gingin 2_A4</v>
      </c>
      <c r="B1240" t="str">
        <f>HYPERLINK("http://www.corstruth.com.au/WA/PNG2/Gingin_2_cs.png","Gingin 2_0.25m Bins")</f>
        <v>Gingin 2_0.25m Bins</v>
      </c>
      <c r="C1240" t="str">
        <f>HYPERLINK("http://www.corstruth.com.au/WA/CSV/Gingin_2.csv","Gingin 2_CSV File 1m Bins")</f>
        <v>Gingin 2_CSV File 1m Bins</v>
      </c>
      <c r="D1240" t="s">
        <v>1665</v>
      </c>
      <c r="E1240" t="s">
        <v>1</v>
      </c>
      <c r="G1240" t="s">
        <v>70</v>
      </c>
      <c r="H1240" t="s">
        <v>71</v>
      </c>
      <c r="I1240">
        <v>-31.1722</v>
      </c>
      <c r="J1240">
        <v>115.84399999999999</v>
      </c>
      <c r="K1240" t="str">
        <f>HYPERLINK("http://geossdi.dmp.wa.gov.au/NVCLDataServices/mosaic.html?datasetid=6d4c471a-1cf6-422d-9eac-d3298635335","Gingin 2_Core Image")</f>
        <v>Gingin 2_Core Image</v>
      </c>
    </row>
    <row r="1241" spans="1:11" x14ac:dyDescent="0.25">
      <c r="A1241" t="str">
        <f>HYPERLINK("http://www.corstruth.com.au/WA/Gingin_2_[cuttings_10220-14703ft]_cs.png","Gingin 2 [cuttings 10220-14703ft]_A4")</f>
        <v>Gingin 2 [cuttings 10220-14703ft]_A4</v>
      </c>
      <c r="B1241" t="str">
        <f>HYPERLINK("http://www.corstruth.com.au/WA/PNG2/Gingin_2_[cuttings_10220-14703ft]_cs.png","Gingin 2 [cuttings 10220-14703ft]_0.25m Bins")</f>
        <v>Gingin 2 [cuttings 10220-14703ft]_0.25m Bins</v>
      </c>
      <c r="C1241" t="str">
        <f>HYPERLINK("http://www.corstruth.com.au/WA/CSV/Gingin_2_[cuttings_10220-14703ft].csv","Gingin 2 [cuttings 10220-14703ft]_CSV File 1m Bins")</f>
        <v>Gingin 2 [cuttings 10220-14703ft]_CSV File 1m Bins</v>
      </c>
      <c r="D1241" t="s">
        <v>1665</v>
      </c>
      <c r="E1241" t="s">
        <v>1</v>
      </c>
      <c r="G1241" t="s">
        <v>70</v>
      </c>
      <c r="H1241" t="s">
        <v>71</v>
      </c>
      <c r="I1241">
        <v>-31.1722</v>
      </c>
      <c r="J1241">
        <v>115.84399999999999</v>
      </c>
    </row>
    <row r="1242" spans="1:11" x14ac:dyDescent="0.25">
      <c r="A1242" t="str">
        <f>HYPERLINK("http://www.corstruth.com.au/WA/BH01_cs.png","BH01_A4")</f>
        <v>BH01_A4</v>
      </c>
      <c r="B1242" t="str">
        <f>HYPERLINK("http://www.corstruth.com.au/WA/PNG2/BH01_cs.png","BH01_0.25m Bins")</f>
        <v>BH01_0.25m Bins</v>
      </c>
      <c r="C1242" t="str">
        <f>HYPERLINK("http://www.corstruth.com.au/WA/CSV/BH01.csv","BH01_CSV File 1m Bins")</f>
        <v>BH01_CSV File 1m Bins</v>
      </c>
      <c r="D1242" t="s">
        <v>1666</v>
      </c>
      <c r="E1242" t="s">
        <v>1</v>
      </c>
      <c r="G1242" t="s">
        <v>1667</v>
      </c>
      <c r="H1242" t="s">
        <v>1668</v>
      </c>
      <c r="I1242">
        <v>-33.319099999999999</v>
      </c>
      <c r="J1242">
        <v>115.65900000000001</v>
      </c>
      <c r="K1242" t="str">
        <f>HYPERLINK("http://geossdi.dmp.wa.gov.au/NVCLDataServices/mosaic.html?datasetid=e7f2477a-984d-4fe6-84a9-978f03fbe51","BH01_Core Image")</f>
        <v>BH01_Core Image</v>
      </c>
    </row>
    <row r="1243" spans="1:11" x14ac:dyDescent="0.25">
      <c r="A1243" t="str">
        <f>HYPERLINK("http://www.corstruth.com.au/WA/BH02_cs.png","BH02_A4")</f>
        <v>BH02_A4</v>
      </c>
      <c r="B1243" t="str">
        <f>HYPERLINK("http://www.corstruth.com.au/WA/PNG2/BH02_cs.png","BH02_0.25m Bins")</f>
        <v>BH02_0.25m Bins</v>
      </c>
      <c r="C1243" t="str">
        <f>HYPERLINK("http://www.corstruth.com.au/WA/CSV/BH02.csv","BH02_CSV File 1m Bins")</f>
        <v>BH02_CSV File 1m Bins</v>
      </c>
      <c r="D1243" t="s">
        <v>1669</v>
      </c>
      <c r="E1243" t="s">
        <v>1</v>
      </c>
      <c r="G1243" t="s">
        <v>1667</v>
      </c>
      <c r="H1243" t="s">
        <v>1668</v>
      </c>
      <c r="I1243">
        <v>-33.3185</v>
      </c>
      <c r="J1243">
        <v>115.66</v>
      </c>
      <c r="K1243" t="str">
        <f>HYPERLINK("http://geossdi.dmp.wa.gov.au/NVCLDataServices/mosaic.html?datasetid=249adaba-a658-415b-a1b1-45725bf8ff7","BH02_Core Image")</f>
        <v>BH02_Core Image</v>
      </c>
    </row>
    <row r="1244" spans="1:11" x14ac:dyDescent="0.25">
      <c r="A1244" t="str">
        <f>HYPERLINK("http://www.corstruth.com.au/WA/BH03_cs.png","BH03_A4")</f>
        <v>BH03_A4</v>
      </c>
      <c r="B1244" t="str">
        <f>HYPERLINK("http://www.corstruth.com.au/WA/PNG2/BH03_cs.png","BH03_0.25m Bins")</f>
        <v>BH03_0.25m Bins</v>
      </c>
      <c r="C1244" t="str">
        <f>HYPERLINK("http://www.corstruth.com.au/WA/CSV/BH03.csv","BH03_CSV File 1m Bins")</f>
        <v>BH03_CSV File 1m Bins</v>
      </c>
      <c r="D1244" t="s">
        <v>1670</v>
      </c>
      <c r="E1244" t="s">
        <v>1</v>
      </c>
      <c r="G1244" t="s">
        <v>1667</v>
      </c>
      <c r="H1244" t="s">
        <v>1668</v>
      </c>
      <c r="I1244">
        <v>-33.318199999999997</v>
      </c>
      <c r="J1244">
        <v>115.66</v>
      </c>
      <c r="K1244" t="str">
        <f>HYPERLINK("http://geossdi.dmp.wa.gov.au/NVCLDataServices/mosaic.html?datasetid=4795892e-931d-4806-8fdd-58f2bc77a0a","BH03_Core Image")</f>
        <v>BH03_Core Image</v>
      </c>
    </row>
    <row r="1245" spans="1:11" x14ac:dyDescent="0.25">
      <c r="A1245" t="str">
        <f>HYPERLINK("http://www.corstruth.com.au/WA/BH04_cs.png","BH04_A4")</f>
        <v>BH04_A4</v>
      </c>
      <c r="B1245" t="str">
        <f>HYPERLINK("http://www.corstruth.com.au/WA/PNG2/BH04_cs.png","BH04_0.25m Bins")</f>
        <v>BH04_0.25m Bins</v>
      </c>
      <c r="C1245" t="str">
        <f>HYPERLINK("http://www.corstruth.com.au/WA/CSV/BH04.csv","BH04_CSV File 1m Bins")</f>
        <v>BH04_CSV File 1m Bins</v>
      </c>
      <c r="D1245" t="s">
        <v>1671</v>
      </c>
      <c r="E1245" t="s">
        <v>1</v>
      </c>
      <c r="G1245" t="s">
        <v>1667</v>
      </c>
      <c r="H1245" t="s">
        <v>1668</v>
      </c>
      <c r="I1245">
        <v>-33.317799999999998</v>
      </c>
      <c r="J1245">
        <v>115.661</v>
      </c>
      <c r="K1245" t="str">
        <f>HYPERLINK("http://geossdi.dmp.wa.gov.au/NVCLDataServices/mosaic.html?datasetid=0bdeee01-3e6f-43e2-afb5-5693de12439","BH04_Core Image")</f>
        <v>BH04_Core Image</v>
      </c>
    </row>
    <row r="1246" spans="1:11" x14ac:dyDescent="0.25">
      <c r="A1246" t="str">
        <f>HYPERLINK("http://www.corstruth.com.au/WA/BH05_cs.png","BH05_A4")</f>
        <v>BH05_A4</v>
      </c>
      <c r="B1246" t="str">
        <f>HYPERLINK("http://www.corstruth.com.au/WA/PNG2/BH05_cs.png","BH05_0.25m Bins")</f>
        <v>BH05_0.25m Bins</v>
      </c>
      <c r="C1246" t="str">
        <f>HYPERLINK("http://www.corstruth.com.au/WA/CSV/BH05.csv","BH05_CSV File 1m Bins")</f>
        <v>BH05_CSV File 1m Bins</v>
      </c>
      <c r="D1246" t="s">
        <v>1672</v>
      </c>
      <c r="E1246" t="s">
        <v>1</v>
      </c>
      <c r="G1246" t="s">
        <v>1667</v>
      </c>
      <c r="H1246" t="s">
        <v>1668</v>
      </c>
      <c r="I1246">
        <v>-33.317500000000003</v>
      </c>
      <c r="J1246">
        <v>115.661</v>
      </c>
      <c r="K1246" t="str">
        <f>HYPERLINK("http://geossdi.dmp.wa.gov.au/NVCLDataServices/mosaic.html?datasetid=5b82791e-13d8-42d2-92a5-724b0fb43b5","BH05_Core Image")</f>
        <v>BH05_Core Image</v>
      </c>
    </row>
    <row r="1247" spans="1:11" x14ac:dyDescent="0.25">
      <c r="A1247" t="str">
        <f>HYPERLINK("http://www.corstruth.com.au/WA/BH06_cs.png","BH06_A4")</f>
        <v>BH06_A4</v>
      </c>
      <c r="B1247" t="str">
        <f>HYPERLINK("http://www.corstruth.com.au/WA/PNG2/BH06_cs.png","BH06_0.25m Bins")</f>
        <v>BH06_0.25m Bins</v>
      </c>
      <c r="C1247" t="str">
        <f>HYPERLINK("http://www.corstruth.com.au/WA/CSV/BH06.csv","BH06_CSV File 1m Bins")</f>
        <v>BH06_CSV File 1m Bins</v>
      </c>
      <c r="D1247" t="s">
        <v>1673</v>
      </c>
      <c r="E1247" t="s">
        <v>1</v>
      </c>
      <c r="G1247" t="s">
        <v>1667</v>
      </c>
      <c r="H1247" t="s">
        <v>1668</v>
      </c>
      <c r="I1247">
        <v>-33.3185</v>
      </c>
      <c r="J1247">
        <v>115.663</v>
      </c>
      <c r="K1247" t="str">
        <f>HYPERLINK("http://geossdi.dmp.wa.gov.au/NVCLDataServices/mosaic.html?datasetid=43eea42c-290a-40b7-8f8b-731ce214ded","BH06_Core Image")</f>
        <v>BH06_Core Image</v>
      </c>
    </row>
    <row r="1248" spans="1:11" x14ac:dyDescent="0.25">
      <c r="A1248" t="str">
        <f>HYPERLINK("http://www.corstruth.com.au/WA/BH07_cs.png","BH07_A4")</f>
        <v>BH07_A4</v>
      </c>
      <c r="B1248" t="str">
        <f>HYPERLINK("http://www.corstruth.com.au/WA/PNG2/BH07_cs.png","BH07_0.25m Bins")</f>
        <v>BH07_0.25m Bins</v>
      </c>
      <c r="C1248" t="str">
        <f>HYPERLINK("http://www.corstruth.com.au/WA/CSV/BH07.csv","BH07_CSV File 1m Bins")</f>
        <v>BH07_CSV File 1m Bins</v>
      </c>
      <c r="D1248" t="s">
        <v>1674</v>
      </c>
      <c r="E1248" t="s">
        <v>1</v>
      </c>
      <c r="G1248" t="s">
        <v>1667</v>
      </c>
      <c r="H1248" t="s">
        <v>1668</v>
      </c>
      <c r="I1248">
        <v>-33.318199999999997</v>
      </c>
      <c r="J1248">
        <v>115.65900000000001</v>
      </c>
      <c r="K1248" t="str">
        <f>HYPERLINK("http://geossdi.dmp.wa.gov.au/NVCLDataServices/mosaic.html?datasetid=f0140fec-dedd-4228-b2c3-dfa302c684f","BH07_Core Image")</f>
        <v>BH07_Core Image</v>
      </c>
    </row>
    <row r="1249" spans="1:11" x14ac:dyDescent="0.25">
      <c r="A1249" t="str">
        <f>HYPERLINK("http://www.corstruth.com.au/WA/BH08_cs.png","BH08_A4")</f>
        <v>BH08_A4</v>
      </c>
      <c r="B1249" t="str">
        <f>HYPERLINK("http://www.corstruth.com.au/WA/PNG2/BH08_cs.png","BH08_0.25m Bins")</f>
        <v>BH08_0.25m Bins</v>
      </c>
      <c r="C1249" t="str">
        <f>HYPERLINK("http://www.corstruth.com.au/WA/CSV/BH08.csv","BH08_CSV File 1m Bins")</f>
        <v>BH08_CSV File 1m Bins</v>
      </c>
      <c r="D1249" t="s">
        <v>1675</v>
      </c>
      <c r="E1249" t="s">
        <v>1</v>
      </c>
      <c r="G1249" t="s">
        <v>1667</v>
      </c>
      <c r="H1249" t="s">
        <v>1668</v>
      </c>
      <c r="I1249">
        <v>-33.3172</v>
      </c>
      <c r="J1249">
        <v>115.661</v>
      </c>
      <c r="K1249" t="str">
        <f>HYPERLINK("http://geossdi.dmp.wa.gov.au/NVCLDataServices/mosaic.html?datasetid=2cb5dd89-9f2f-47bf-bbaa-cf0fa9d2c11","BH08_Core Image")</f>
        <v>BH08_Core Image</v>
      </c>
    </row>
    <row r="1250" spans="1:11" x14ac:dyDescent="0.25">
      <c r="A1250" t="str">
        <f>HYPERLINK("http://www.corstruth.com.au/WA/BH10_cs.png","BH10_A4")</f>
        <v>BH10_A4</v>
      </c>
      <c r="B1250" t="str">
        <f>HYPERLINK("http://www.corstruth.com.au/WA/PNG2/BH10_cs.png","BH10_0.25m Bins")</f>
        <v>BH10_0.25m Bins</v>
      </c>
      <c r="C1250" t="str">
        <f>HYPERLINK("http://www.corstruth.com.au/WA/CSV/BH10.csv","BH10_CSV File 1m Bins")</f>
        <v>BH10_CSV File 1m Bins</v>
      </c>
      <c r="D1250" t="s">
        <v>1676</v>
      </c>
      <c r="E1250" t="s">
        <v>1</v>
      </c>
      <c r="G1250" t="s">
        <v>1667</v>
      </c>
      <c r="H1250" t="s">
        <v>1668</v>
      </c>
      <c r="I1250">
        <v>-33.315600000000003</v>
      </c>
      <c r="J1250">
        <v>115.66200000000001</v>
      </c>
      <c r="K1250" t="str">
        <f>HYPERLINK("http://geossdi.dmp.wa.gov.au/NVCLDataServices/mosaic.html?datasetid=f2bb503b-93ad-4735-8955-c8f54c0ed89","BH10_Core Image")</f>
        <v>BH10_Core Image</v>
      </c>
    </row>
    <row r="1251" spans="1:11" x14ac:dyDescent="0.25">
      <c r="A1251" t="str">
        <f>HYPERLINK("http://www.corstruth.com.au/WA/BH11_cs.png","BH11_A4")</f>
        <v>BH11_A4</v>
      </c>
      <c r="B1251" t="str">
        <f>HYPERLINK("http://www.corstruth.com.au/WA/PNG2/BH11_cs.png","BH11_0.25m Bins")</f>
        <v>BH11_0.25m Bins</v>
      </c>
      <c r="C1251" t="str">
        <f>HYPERLINK("http://www.corstruth.com.au/WA/CSV/BH11.csv","BH11_CSV File 1m Bins")</f>
        <v>BH11_CSV File 1m Bins</v>
      </c>
      <c r="D1251" t="s">
        <v>1677</v>
      </c>
      <c r="E1251" t="s">
        <v>1</v>
      </c>
      <c r="G1251" t="s">
        <v>1667</v>
      </c>
      <c r="H1251" t="s">
        <v>1668</v>
      </c>
      <c r="I1251">
        <v>-33.314999999999998</v>
      </c>
      <c r="J1251">
        <v>115.663</v>
      </c>
      <c r="K1251" t="str">
        <f>HYPERLINK("http://geossdi.dmp.wa.gov.au/NVCLDataServices/mosaic.html?datasetid=735bf6b2-4ef1-4b7e-a2ed-4dee92fb4a3","BH11_Core Image")</f>
        <v>BH11_Core Image</v>
      </c>
    </row>
    <row r="1252" spans="1:11" x14ac:dyDescent="0.25">
      <c r="A1252" t="str">
        <f>HYPERLINK("http://www.corstruth.com.au/WA/BH12_cs.png","BH12_A4")</f>
        <v>BH12_A4</v>
      </c>
      <c r="B1252" t="str">
        <f>HYPERLINK("http://www.corstruth.com.au/WA/PNG2/BH12_cs.png","BH12_0.25m Bins")</f>
        <v>BH12_0.25m Bins</v>
      </c>
      <c r="C1252" t="str">
        <f>HYPERLINK("http://www.corstruth.com.au/WA/CSV/BH12.csv","BH12_CSV File 1m Bins")</f>
        <v>BH12_CSV File 1m Bins</v>
      </c>
      <c r="D1252" t="s">
        <v>1678</v>
      </c>
      <c r="E1252" t="s">
        <v>1</v>
      </c>
      <c r="G1252" t="s">
        <v>1667</v>
      </c>
      <c r="H1252" t="s">
        <v>1668</v>
      </c>
      <c r="I1252">
        <v>-33.311700000000002</v>
      </c>
      <c r="J1252">
        <v>115.66800000000001</v>
      </c>
      <c r="K1252" t="str">
        <f>HYPERLINK("http://geossdi.dmp.wa.gov.au/NVCLDataServices/mosaic.html?datasetid=cbff429f-b2c4-4c04-84d7-d69e6b9ec33","BH12_Core Image")</f>
        <v>BH12_Core Image</v>
      </c>
    </row>
    <row r="1253" spans="1:11" x14ac:dyDescent="0.25">
      <c r="A1253" t="str">
        <f>HYPERLINK("http://www.corstruth.com.au/WA/BH13_cs.png","BH13_A4")</f>
        <v>BH13_A4</v>
      </c>
      <c r="B1253" t="str">
        <f>HYPERLINK("http://www.corstruth.com.au/WA/PNG2/BH13_cs.png","BH13_0.25m Bins")</f>
        <v>BH13_0.25m Bins</v>
      </c>
      <c r="C1253" t="str">
        <f>HYPERLINK("http://www.corstruth.com.au/WA/CSV/BH13.csv","BH13_CSV File 1m Bins")</f>
        <v>BH13_CSV File 1m Bins</v>
      </c>
      <c r="D1253" t="s">
        <v>1679</v>
      </c>
      <c r="E1253" t="s">
        <v>1</v>
      </c>
      <c r="G1253" t="s">
        <v>1667</v>
      </c>
      <c r="H1253" t="s">
        <v>1668</v>
      </c>
      <c r="I1253">
        <v>-33.317</v>
      </c>
      <c r="J1253">
        <v>115.673</v>
      </c>
      <c r="K1253" t="str">
        <f>HYPERLINK("http://geossdi.dmp.wa.gov.au/NVCLDataServices/mosaic.html?datasetid=aec367a4-17b7-4f55-ab63-f2792ef52bc","BH13_Core Image")</f>
        <v>BH13_Core Image</v>
      </c>
    </row>
    <row r="1254" spans="1:11" x14ac:dyDescent="0.25">
      <c r="A1254" t="str">
        <f>HYPERLINK("http://www.corstruth.com.au/WA/BH14_cs.png","BH14_A4")</f>
        <v>BH14_A4</v>
      </c>
      <c r="B1254" t="str">
        <f>HYPERLINK("http://www.corstruth.com.au/WA/PNG2/BH14_cs.png","BH14_0.25m Bins")</f>
        <v>BH14_0.25m Bins</v>
      </c>
      <c r="C1254" t="str">
        <f>HYPERLINK("http://www.corstruth.com.au/WA/CSV/BH14.csv","BH14_CSV File 1m Bins")</f>
        <v>BH14_CSV File 1m Bins</v>
      </c>
      <c r="D1254" t="s">
        <v>1680</v>
      </c>
      <c r="E1254" t="s">
        <v>1</v>
      </c>
      <c r="G1254" t="s">
        <v>1667</v>
      </c>
      <c r="H1254" t="s">
        <v>1668</v>
      </c>
      <c r="I1254">
        <v>-33.3123</v>
      </c>
      <c r="J1254">
        <v>115.669</v>
      </c>
      <c r="K1254" t="str">
        <f>HYPERLINK("http://geossdi.dmp.wa.gov.au/NVCLDataServices/mosaic.html?datasetid=bff157b7-dd53-48e5-a29b-fed8c491d72","BH14_Core Image")</f>
        <v>BH14_Core Image</v>
      </c>
    </row>
    <row r="1255" spans="1:11" x14ac:dyDescent="0.25">
      <c r="A1255" t="str">
        <f>HYPERLINK("http://www.corstruth.com.au/WA/BH15_cs.png","BH15_A4")</f>
        <v>BH15_A4</v>
      </c>
      <c r="B1255" t="str">
        <f>HYPERLINK("http://www.corstruth.com.au/WA/PNG2/BH15_cs.png","BH15_0.25m Bins")</f>
        <v>BH15_0.25m Bins</v>
      </c>
      <c r="C1255" t="str">
        <f>HYPERLINK("http://www.corstruth.com.au/WA/CSV/BH15.csv","BH15_CSV File 1m Bins")</f>
        <v>BH15_CSV File 1m Bins</v>
      </c>
      <c r="D1255" t="s">
        <v>1681</v>
      </c>
      <c r="E1255" t="s">
        <v>1</v>
      </c>
      <c r="G1255" t="s">
        <v>1667</v>
      </c>
      <c r="H1255" t="s">
        <v>1668</v>
      </c>
      <c r="I1255">
        <v>-33.314599999999999</v>
      </c>
      <c r="J1255">
        <v>115.669</v>
      </c>
      <c r="K1255" t="str">
        <f>HYPERLINK("http://geossdi.dmp.wa.gov.au/NVCLDataServices/mosaic.html?datasetid=6189d379-3397-4cde-896a-5b6ea59e6b7","BH15_Core Image")</f>
        <v>BH15_Core Image</v>
      </c>
    </row>
    <row r="1256" spans="1:11" x14ac:dyDescent="0.25">
      <c r="A1256" t="str">
        <f>HYPERLINK("http://www.corstruth.com.au/WA/BH16_cs.png","BH16_A4")</f>
        <v>BH16_A4</v>
      </c>
      <c r="B1256" t="str">
        <f>HYPERLINK("http://www.corstruth.com.au/WA/PNG2/BH16_cs.png","BH16_0.25m Bins")</f>
        <v>BH16_0.25m Bins</v>
      </c>
      <c r="C1256" t="str">
        <f>HYPERLINK("http://www.corstruth.com.au/WA/CSV/BH16.csv","BH16_CSV File 1m Bins")</f>
        <v>BH16_CSV File 1m Bins</v>
      </c>
      <c r="D1256" t="s">
        <v>1682</v>
      </c>
      <c r="E1256" t="s">
        <v>1</v>
      </c>
      <c r="G1256" t="s">
        <v>1667</v>
      </c>
      <c r="H1256" t="s">
        <v>1668</v>
      </c>
      <c r="I1256">
        <v>-33.314500000000002</v>
      </c>
      <c r="J1256">
        <v>115.669</v>
      </c>
      <c r="K1256" t="str">
        <f>HYPERLINK("http://geossdi.dmp.wa.gov.au/NVCLDataServices/mosaic.html?datasetid=42b19c36-88f2-45c9-890a-bfdef882714","BH16_Core Image")</f>
        <v>BH16_Core Image</v>
      </c>
    </row>
    <row r="1257" spans="1:11" x14ac:dyDescent="0.25">
      <c r="A1257" t="str">
        <f>HYPERLINK("http://www.corstruth.com.au/WA/BH18_cs.png","BH18_A4")</f>
        <v>BH18_A4</v>
      </c>
      <c r="B1257" t="str">
        <f>HYPERLINK("http://www.corstruth.com.au/WA/PNG2/BH18_cs.png","BH18_0.25m Bins")</f>
        <v>BH18_0.25m Bins</v>
      </c>
      <c r="C1257" t="str">
        <f>HYPERLINK("http://www.corstruth.com.au/WA/CSV/BH18.csv","BH18_CSV File 1m Bins")</f>
        <v>BH18_CSV File 1m Bins</v>
      </c>
      <c r="D1257" t="s">
        <v>1683</v>
      </c>
      <c r="E1257" t="s">
        <v>1</v>
      </c>
      <c r="G1257" t="s">
        <v>1667</v>
      </c>
      <c r="H1257" t="s">
        <v>1668</v>
      </c>
      <c r="I1257">
        <v>-33.313400000000001</v>
      </c>
      <c r="J1257">
        <v>115.67100000000001</v>
      </c>
      <c r="K1257" t="str">
        <f>HYPERLINK("http://geossdi.dmp.wa.gov.au/NVCLDataServices/mosaic.html?datasetid=154c6810-7d7c-47e5-b920-b8669fac422","BH18_Core Image")</f>
        <v>BH18_Core Image</v>
      </c>
    </row>
    <row r="1258" spans="1:11" x14ac:dyDescent="0.25">
      <c r="A1258" t="str">
        <f>HYPERLINK("http://www.corstruth.com.au/WA/BH19_cs.png","BH19_A4")</f>
        <v>BH19_A4</v>
      </c>
      <c r="B1258" t="str">
        <f>HYPERLINK("http://www.corstruth.com.au/WA/PNG2/BH19_cs.png","BH19_0.25m Bins")</f>
        <v>BH19_0.25m Bins</v>
      </c>
      <c r="C1258" t="str">
        <f>HYPERLINK("http://www.corstruth.com.au/WA/CSV/BH19.csv","BH19_CSV File 1m Bins")</f>
        <v>BH19_CSV File 1m Bins</v>
      </c>
      <c r="D1258" t="s">
        <v>1684</v>
      </c>
      <c r="E1258" t="s">
        <v>1</v>
      </c>
      <c r="G1258" t="s">
        <v>1667</v>
      </c>
      <c r="H1258" t="s">
        <v>1668</v>
      </c>
      <c r="I1258">
        <v>-33.3157</v>
      </c>
      <c r="J1258">
        <v>115.67100000000001</v>
      </c>
      <c r="K1258" t="str">
        <f>HYPERLINK("http://geossdi.dmp.wa.gov.au/NVCLDataServices/mosaic.html?datasetid=7e372a7e-58fc-43ad-8485-1719c4c0a5e","BH19_Core Image")</f>
        <v>BH19_Core Image</v>
      </c>
    </row>
    <row r="1259" spans="1:11" x14ac:dyDescent="0.25">
      <c r="A1259" t="str">
        <f>HYPERLINK("http://www.corstruth.com.au/WA/BH20_cs.png","BH20_A4")</f>
        <v>BH20_A4</v>
      </c>
      <c r="B1259" t="str">
        <f>HYPERLINK("http://www.corstruth.com.au/WA/PNG2/BH20_cs.png","BH20_0.25m Bins")</f>
        <v>BH20_0.25m Bins</v>
      </c>
      <c r="C1259" t="str">
        <f>HYPERLINK("http://www.corstruth.com.au/WA/CSV/BH20.csv","BH20_CSV File 1m Bins")</f>
        <v>BH20_CSV File 1m Bins</v>
      </c>
      <c r="D1259" t="s">
        <v>1685</v>
      </c>
      <c r="E1259" t="s">
        <v>1</v>
      </c>
      <c r="G1259" t="s">
        <v>1667</v>
      </c>
      <c r="H1259" t="s">
        <v>1668</v>
      </c>
      <c r="I1259">
        <v>-33.316600000000001</v>
      </c>
      <c r="J1259">
        <v>115.67400000000001</v>
      </c>
      <c r="K1259" t="str">
        <f>HYPERLINK("http://geossdi.dmp.wa.gov.au/NVCLDataServices/mosaic.html?datasetid=a96c0726-e6ca-48ca-bc4b-3bec7593885","BH20_Core Image")</f>
        <v>BH20_Core Image</v>
      </c>
    </row>
    <row r="1260" spans="1:11" x14ac:dyDescent="0.25">
      <c r="A1260" t="str">
        <f>HYPERLINK("http://www.corstruth.com.au/WA/BH22_cs.png","BH22_A4")</f>
        <v>BH22_A4</v>
      </c>
      <c r="B1260" t="str">
        <f>HYPERLINK("http://www.corstruth.com.au/WA/PNG2/BH22_cs.png","BH22_0.25m Bins")</f>
        <v>BH22_0.25m Bins</v>
      </c>
      <c r="C1260" t="str">
        <f>HYPERLINK("http://www.corstruth.com.au/WA/CSV/BH22.csv","BH22_CSV File 1m Bins")</f>
        <v>BH22_CSV File 1m Bins</v>
      </c>
      <c r="D1260" t="s">
        <v>1686</v>
      </c>
      <c r="E1260" t="s">
        <v>1</v>
      </c>
      <c r="G1260" t="s">
        <v>1667</v>
      </c>
      <c r="H1260" t="s">
        <v>1668</v>
      </c>
      <c r="I1260">
        <v>-33.314300000000003</v>
      </c>
      <c r="J1260">
        <v>115.672</v>
      </c>
      <c r="K1260" t="str">
        <f>HYPERLINK("http://geossdi.dmp.wa.gov.au/NVCLDataServices/mosaic.html?datasetid=68ca6e30-cb54-4aa4-b666-b703503f010","BH22_Core Image")</f>
        <v>BH22_Core Image</v>
      </c>
    </row>
    <row r="1261" spans="1:11" x14ac:dyDescent="0.25">
      <c r="A1261" t="str">
        <f>HYPERLINK("http://www.corstruth.com.au/WA/BH23_cs.png","BH23_A4")</f>
        <v>BH23_A4</v>
      </c>
      <c r="B1261" t="str">
        <f>HYPERLINK("http://www.corstruth.com.au/WA/PNG2/BH23_cs.png","BH23_0.25m Bins")</f>
        <v>BH23_0.25m Bins</v>
      </c>
      <c r="C1261" t="str">
        <f>HYPERLINK("http://www.corstruth.com.au/WA/CSV/BH23.csv","BH23_CSV File 1m Bins")</f>
        <v>BH23_CSV File 1m Bins</v>
      </c>
      <c r="D1261" t="s">
        <v>1687</v>
      </c>
      <c r="E1261" t="s">
        <v>1</v>
      </c>
      <c r="G1261" t="s">
        <v>1667</v>
      </c>
      <c r="H1261" t="s">
        <v>1668</v>
      </c>
      <c r="I1261">
        <v>-33.312899999999999</v>
      </c>
      <c r="J1261">
        <v>115.669</v>
      </c>
      <c r="K1261" t="str">
        <f>HYPERLINK("http://geossdi.dmp.wa.gov.au/NVCLDataServices/mosaic.html?datasetid=3fae508e-4868-4cdf-b3ba-3bbd1142c23","BH23_Core Image")</f>
        <v>BH23_Core Image</v>
      </c>
    </row>
    <row r="1262" spans="1:11" x14ac:dyDescent="0.25">
      <c r="A1262" t="str">
        <f>HYPERLINK("http://www.corstruth.com.au/WA/BH24_cs.png","BH24_A4")</f>
        <v>BH24_A4</v>
      </c>
      <c r="B1262" t="str">
        <f>HYPERLINK("http://www.corstruth.com.au/WA/PNG2/BH24_cs.png","BH24_0.25m Bins")</f>
        <v>BH24_0.25m Bins</v>
      </c>
      <c r="C1262" t="str">
        <f>HYPERLINK("http://www.corstruth.com.au/WA/CSV/BH24.csv","BH24_CSV File 1m Bins")</f>
        <v>BH24_CSV File 1m Bins</v>
      </c>
      <c r="D1262" t="s">
        <v>1688</v>
      </c>
      <c r="E1262" t="s">
        <v>1</v>
      </c>
      <c r="G1262" t="s">
        <v>1667</v>
      </c>
      <c r="H1262" t="s">
        <v>1668</v>
      </c>
      <c r="I1262">
        <v>-33.314500000000002</v>
      </c>
      <c r="J1262">
        <v>115.66800000000001</v>
      </c>
      <c r="K1262" t="str">
        <f>HYPERLINK("http://geossdi.dmp.wa.gov.au/NVCLDataServices/mosaic.html?datasetid=390e8684-f2a0-4bcf-aa17-74dcba4254d","BH24_Core Image")</f>
        <v>BH24_Core Image</v>
      </c>
    </row>
    <row r="1263" spans="1:11" x14ac:dyDescent="0.25">
      <c r="A1263" t="str">
        <f>HYPERLINK("http://www.corstruth.com.au/WA/BH25_cs.png","BH25_A4")</f>
        <v>BH25_A4</v>
      </c>
      <c r="B1263" t="str">
        <f>HYPERLINK("http://www.corstruth.com.au/WA/PNG2/BH25_cs.png","BH25_0.25m Bins")</f>
        <v>BH25_0.25m Bins</v>
      </c>
      <c r="C1263" t="str">
        <f>HYPERLINK("http://www.corstruth.com.au/WA/CSV/BH25.csv","BH25_CSV File 1m Bins")</f>
        <v>BH25_CSV File 1m Bins</v>
      </c>
      <c r="D1263" t="s">
        <v>1689</v>
      </c>
      <c r="E1263" t="s">
        <v>1</v>
      </c>
      <c r="G1263" t="s">
        <v>1667</v>
      </c>
      <c r="H1263" t="s">
        <v>1668</v>
      </c>
      <c r="I1263">
        <v>-33.313600000000001</v>
      </c>
      <c r="J1263">
        <v>115.669</v>
      </c>
      <c r="K1263" t="str">
        <f>HYPERLINK("http://geossdi.dmp.wa.gov.au/NVCLDataServices/mosaic.html?datasetid=3dcdfc93-9fe4-4f28-8ab1-809421085ac","BH25_Core Image")</f>
        <v>BH25_Core Image</v>
      </c>
    </row>
    <row r="1264" spans="1:11" x14ac:dyDescent="0.25">
      <c r="A1264" t="str">
        <f>HYPERLINK("http://www.corstruth.com.au/WA/BH26_cs.png","BH26_A4")</f>
        <v>BH26_A4</v>
      </c>
      <c r="B1264" t="str">
        <f>HYPERLINK("http://www.corstruth.com.au/WA/PNG2/BH26_cs.png","BH26_0.25m Bins")</f>
        <v>BH26_0.25m Bins</v>
      </c>
      <c r="C1264" t="str">
        <f>HYPERLINK("http://www.corstruth.com.au/WA/CSV/BH26.csv","BH26_CSV File 1m Bins")</f>
        <v>BH26_CSV File 1m Bins</v>
      </c>
      <c r="D1264" t="s">
        <v>1690</v>
      </c>
      <c r="E1264" t="s">
        <v>1</v>
      </c>
      <c r="G1264" t="s">
        <v>1667</v>
      </c>
      <c r="H1264" t="s">
        <v>1668</v>
      </c>
      <c r="I1264">
        <v>-33.3142</v>
      </c>
      <c r="J1264">
        <v>115.669</v>
      </c>
      <c r="K1264" t="str">
        <f>HYPERLINK("http://geossdi.dmp.wa.gov.au/NVCLDataServices/mosaic.html?datasetid=a98c467b-c606-4820-81b7-abbbd6bdb15","BH26_Core Image")</f>
        <v>BH26_Core Image</v>
      </c>
    </row>
    <row r="1265" spans="1:11" x14ac:dyDescent="0.25">
      <c r="A1265" t="str">
        <f>HYPERLINK("http://www.corstruth.com.au/WA/BH27_cs.png","BH27_A4")</f>
        <v>BH27_A4</v>
      </c>
      <c r="B1265" t="str">
        <f>HYPERLINK("http://www.corstruth.com.au/WA/PNG2/BH27_cs.png","BH27_0.25m Bins")</f>
        <v>BH27_0.25m Bins</v>
      </c>
      <c r="C1265" t="str">
        <f>HYPERLINK("http://www.corstruth.com.au/WA/CSV/BH27.csv","BH27_CSV File 1m Bins")</f>
        <v>BH27_CSV File 1m Bins</v>
      </c>
      <c r="D1265" t="s">
        <v>1691</v>
      </c>
      <c r="E1265" t="s">
        <v>1</v>
      </c>
      <c r="G1265" t="s">
        <v>1667</v>
      </c>
      <c r="H1265" t="s">
        <v>1668</v>
      </c>
      <c r="I1265">
        <v>-33.316099999999999</v>
      </c>
      <c r="J1265">
        <v>115.673</v>
      </c>
      <c r="K1265" t="str">
        <f>HYPERLINK("http://geossdi.dmp.wa.gov.au/NVCLDataServices/mosaic.html?datasetid=9c153513-0ce8-4609-8f49-f4f1284b534","BH27_Core Image")</f>
        <v>BH27_Core Image</v>
      </c>
    </row>
    <row r="1266" spans="1:11" x14ac:dyDescent="0.25">
      <c r="A1266" t="str">
        <f>HYPERLINK("http://www.corstruth.com.au/WA/DNB-1_cs.png","DNB-1_A4")</f>
        <v>DNB-1_A4</v>
      </c>
      <c r="D1266" t="s">
        <v>1692</v>
      </c>
      <c r="E1266" t="s">
        <v>1</v>
      </c>
      <c r="G1266" t="s">
        <v>1667</v>
      </c>
      <c r="H1266" t="s">
        <v>1693</v>
      </c>
      <c r="I1266">
        <v>-33.512799999999999</v>
      </c>
      <c r="J1266">
        <v>115.736</v>
      </c>
    </row>
    <row r="1267" spans="1:11" x14ac:dyDescent="0.25">
      <c r="A1267" t="str">
        <f>HYPERLINK("http://www.corstruth.com.au/WA/DNB-2_cs.png","DNB-2_A4")</f>
        <v>DNB-2_A4</v>
      </c>
      <c r="D1267" t="s">
        <v>1694</v>
      </c>
      <c r="E1267" t="s">
        <v>1</v>
      </c>
      <c r="G1267" t="s">
        <v>1667</v>
      </c>
      <c r="H1267" t="s">
        <v>1693</v>
      </c>
      <c r="I1267">
        <v>-33.548099999999998</v>
      </c>
      <c r="J1267">
        <v>115.767</v>
      </c>
    </row>
    <row r="1268" spans="1:11" x14ac:dyDescent="0.25">
      <c r="A1268" t="str">
        <f>HYPERLINK("http://www.corstruth.com.au/WA/DNB-3_cs.png","DNB-3_A4")</f>
        <v>DNB-3_A4</v>
      </c>
      <c r="D1268" t="s">
        <v>1695</v>
      </c>
      <c r="E1268" t="s">
        <v>1</v>
      </c>
      <c r="G1268" t="s">
        <v>1667</v>
      </c>
      <c r="H1268" t="s">
        <v>1693</v>
      </c>
      <c r="I1268">
        <v>-33.562199999999997</v>
      </c>
      <c r="J1268">
        <v>115.795</v>
      </c>
    </row>
    <row r="1269" spans="1:11" x14ac:dyDescent="0.25">
      <c r="A1269" t="str">
        <f>HYPERLINK("http://www.corstruth.com.au/WA/DNB-4_cs.png","DNB-4_A4")</f>
        <v>DNB-4_A4</v>
      </c>
      <c r="D1269" t="s">
        <v>1696</v>
      </c>
      <c r="E1269" t="s">
        <v>1</v>
      </c>
      <c r="G1269" t="s">
        <v>1667</v>
      </c>
      <c r="H1269" t="s">
        <v>1693</v>
      </c>
      <c r="I1269">
        <v>-33.5807</v>
      </c>
      <c r="J1269">
        <v>115.82599999999999</v>
      </c>
    </row>
    <row r="1270" spans="1:11" x14ac:dyDescent="0.25">
      <c r="A1270" t="str">
        <f>HYPERLINK("http://www.corstruth.com.au/WA/Sue_1_cs.png","Sue 1_A4")</f>
        <v>Sue 1_A4</v>
      </c>
      <c r="B1270" t="str">
        <f>HYPERLINK("http://www.corstruth.com.au/WA/PNG2/Sue_1_cs.png","Sue 1_0.25m Bins")</f>
        <v>Sue 1_0.25m Bins</v>
      </c>
      <c r="C1270" t="str">
        <f>HYPERLINK("http://www.corstruth.com.au/WA/CSV/Sue_1.csv","Sue 1_CSV File 1m Bins")</f>
        <v>Sue 1_CSV File 1m Bins</v>
      </c>
      <c r="D1270" t="s">
        <v>1697</v>
      </c>
      <c r="E1270" t="s">
        <v>1</v>
      </c>
      <c r="G1270" t="s">
        <v>1667</v>
      </c>
      <c r="H1270" t="s">
        <v>1698</v>
      </c>
      <c r="I1270">
        <v>-34.064599999999999</v>
      </c>
      <c r="J1270">
        <v>115.319</v>
      </c>
      <c r="K1270" t="str">
        <f>HYPERLINK("http://geossdi.dmp.wa.gov.au/NVCLDataServices/mosaic.html?datasetid=927897e0-b816-45a6-8b16-bd47bebed57","Sue 1_Core Image")</f>
        <v>Sue 1_Core Image</v>
      </c>
    </row>
    <row r="1271" spans="1:11" x14ac:dyDescent="0.25">
      <c r="A1271" t="str">
        <f>HYPERLINK("http://www.corstruth.com.au/WA/Whicher_Range_1_cs.png","Whicher Range 1_A4")</f>
        <v>Whicher Range 1_A4</v>
      </c>
      <c r="B1271" t="str">
        <f>HYPERLINK("http://www.corstruth.com.au/WA/PNG2/Whicher_Range_1_cs.png","Whicher Range 1_0.25m Bins")</f>
        <v>Whicher Range 1_0.25m Bins</v>
      </c>
      <c r="C1271" t="str">
        <f>HYPERLINK("http://www.corstruth.com.au/WA/CSV/Whicher_Range_1.csv","Whicher Range 1_CSV File 1m Bins")</f>
        <v>Whicher Range 1_CSV File 1m Bins</v>
      </c>
      <c r="D1271" t="s">
        <v>1699</v>
      </c>
      <c r="E1271" t="s">
        <v>1</v>
      </c>
      <c r="G1271" t="s">
        <v>1667</v>
      </c>
      <c r="H1271" t="s">
        <v>1700</v>
      </c>
      <c r="I1271">
        <v>-33.835599999999999</v>
      </c>
      <c r="J1271">
        <v>115.374</v>
      </c>
      <c r="K1271" t="str">
        <f>HYPERLINK("http://geossdi.dmp.wa.gov.au/NVCLDataServices/mosaic.html?datasetid=49732a29-6a25-4c50-acf7-4f46dbe7971","Whicher Range 1_Core Image")</f>
        <v>Whicher Range 1_Core Image</v>
      </c>
    </row>
    <row r="1272" spans="1:11" x14ac:dyDescent="0.25">
      <c r="A1272" t="str">
        <f>HYPERLINK("http://www.corstruth.com.au/WA/Apium_1_cs.png","Apium 1_A4")</f>
        <v>Apium 1_A4</v>
      </c>
      <c r="B1272" t="str">
        <f>HYPERLINK("http://www.corstruth.com.au/WA/PNG2/Apium_1_cs.png","Apium 1_0.25m Bins")</f>
        <v>Apium 1_0.25m Bins</v>
      </c>
      <c r="C1272" t="str">
        <f>HYPERLINK("http://www.corstruth.com.au/WA/CSV/Apium_1.csv","Apium 1_CSV File 1m Bins")</f>
        <v>Apium 1_CSV File 1m Bins</v>
      </c>
      <c r="D1272" t="s">
        <v>1701</v>
      </c>
      <c r="E1272" t="s">
        <v>1</v>
      </c>
      <c r="G1272" t="s">
        <v>73</v>
      </c>
      <c r="H1272" t="s">
        <v>1702</v>
      </c>
      <c r="I1272">
        <v>-29.315999999999999</v>
      </c>
      <c r="J1272">
        <v>115.071</v>
      </c>
      <c r="K1272" t="str">
        <f>HYPERLINK("http://geossdi.dmp.wa.gov.au/NVCLDataServices/mosaic.html?datasetid=99ef4d62-cc8d-44cf-8226-6672548e0b3","Apium 1_Core Image")</f>
        <v>Apium 1_Core Image</v>
      </c>
    </row>
    <row r="1273" spans="1:11" x14ac:dyDescent="0.25">
      <c r="A1273" t="str">
        <f>HYPERLINK("http://www.corstruth.com.au/WA/Apium_1_cuttings_cs.png","Apium 1_cuttings_A4")</f>
        <v>Apium 1_cuttings_A4</v>
      </c>
      <c r="B1273" t="str">
        <f>HYPERLINK("http://www.corstruth.com.au/WA/PNG2/Apium_1_cuttings_cs.png","Apium 1_cuttings_0.25m Bins")</f>
        <v>Apium 1_cuttings_0.25m Bins</v>
      </c>
      <c r="C1273" t="str">
        <f>HYPERLINK("http://www.corstruth.com.au/WA/CSV/Apium_1_cuttings.csv","Apium 1_cuttings_CSV File 1m Bins")</f>
        <v>Apium 1_cuttings_CSV File 1m Bins</v>
      </c>
      <c r="D1273" t="s">
        <v>1701</v>
      </c>
      <c r="E1273" t="s">
        <v>1</v>
      </c>
      <c r="G1273" t="s">
        <v>73</v>
      </c>
      <c r="H1273" t="s">
        <v>1702</v>
      </c>
      <c r="I1273">
        <v>-29.315999999999999</v>
      </c>
      <c r="J1273">
        <v>115.071</v>
      </c>
      <c r="K1273" t="str">
        <f>HYPERLINK("http://geossdi.dmp.wa.gov.au/NVCLDataServices/mosaic.html?datasetid=6c09e705-b0ff-4419-b0c4-a03f1d43335","Apium 1_cuttings_Core Image")</f>
        <v>Apium 1_cuttings_Core Image</v>
      </c>
    </row>
    <row r="1274" spans="1:11" x14ac:dyDescent="0.25">
      <c r="A1274" t="str">
        <f>HYPERLINK("http://www.corstruth.com.au/WA/Beekeeper_1_cs.png","Beekeeper 1_A4")</f>
        <v>Beekeeper 1_A4</v>
      </c>
      <c r="B1274" t="str">
        <f>HYPERLINK("http://www.corstruth.com.au/WA/PNG2/Beekeeper_1_cs.png","Beekeeper 1_0.25m Bins")</f>
        <v>Beekeeper 1_0.25m Bins</v>
      </c>
      <c r="C1274" t="str">
        <f>HYPERLINK("http://www.corstruth.com.au/WA/CSV/Beekeeper_1.csv","Beekeeper 1_CSV File 1m Bins")</f>
        <v>Beekeeper 1_CSV File 1m Bins</v>
      </c>
      <c r="D1274" t="s">
        <v>1703</v>
      </c>
      <c r="E1274" t="s">
        <v>1</v>
      </c>
      <c r="G1274" t="s">
        <v>73</v>
      </c>
      <c r="H1274" t="s">
        <v>1704</v>
      </c>
      <c r="I1274">
        <v>-29.712700000000002</v>
      </c>
      <c r="J1274">
        <v>115.187</v>
      </c>
      <c r="K1274" t="str">
        <f>HYPERLINK("http://geossdi.dmp.wa.gov.au/NVCLDataServices/mosaic.html?datasetid=efdd2653-509f-4c5e-9898-4c29f03b77d","Beekeeper 1_Core Image")</f>
        <v>Beekeeper 1_Core Image</v>
      </c>
    </row>
    <row r="1275" spans="1:11" x14ac:dyDescent="0.25">
      <c r="A1275" t="str">
        <f>HYPERLINK("http://www.corstruth.com.au/WA/Beharra_Springs_North_1_cs.png","Beharra Springs North 1_A4")</f>
        <v>Beharra Springs North 1_A4</v>
      </c>
      <c r="B1275" t="str">
        <f>HYPERLINK("http://www.corstruth.com.au/WA/PNG2/Beharra_Springs_North_1_cs.png","Beharra Springs North 1_0.25m Bins")</f>
        <v>Beharra Springs North 1_0.25m Bins</v>
      </c>
      <c r="C1275" t="str">
        <f>HYPERLINK("http://www.corstruth.com.au/WA/CSV/Beharra_Springs_North_1.csv","Beharra Springs North 1_CSV File 1m Bins")</f>
        <v>Beharra Springs North 1_CSV File 1m Bins</v>
      </c>
      <c r="D1275" t="s">
        <v>351</v>
      </c>
      <c r="E1275" t="s">
        <v>1</v>
      </c>
      <c r="G1275" t="s">
        <v>73</v>
      </c>
      <c r="H1275" t="s">
        <v>352</v>
      </c>
      <c r="I1275">
        <v>-29.434200000000001</v>
      </c>
      <c r="J1275">
        <v>115.145</v>
      </c>
      <c r="K1275" t="str">
        <f>HYPERLINK("http://geossdi.dmp.wa.gov.au/NVCLDataServices/mosaic.html?datasetid=88d0d6ee-3420-4677-8ca1-a89eb241782","Beharra Springs North 1_Core Image")</f>
        <v>Beharra Springs North 1_Core Image</v>
      </c>
    </row>
    <row r="1276" spans="1:11" x14ac:dyDescent="0.25">
      <c r="A1276" t="str">
        <f>HYPERLINK("http://www.corstruth.com.au/WA/Beharra_Springs_2_cs.png","Beharra Springs 2_A4")</f>
        <v>Beharra Springs 2_A4</v>
      </c>
      <c r="B1276" t="str">
        <f>HYPERLINK("http://www.corstruth.com.au/WA/PNG2/Beharra_Springs_2_cs.png","Beharra Springs 2_0.25m Bins")</f>
        <v>Beharra Springs 2_0.25m Bins</v>
      </c>
      <c r="C1276" t="str">
        <f>HYPERLINK("http://www.corstruth.com.au/WA/CSV/Beharra_Springs_2.csv","Beharra Springs 2_CSV File 1m Bins")</f>
        <v>Beharra Springs 2_CSV File 1m Bins</v>
      </c>
      <c r="D1276" t="s">
        <v>355</v>
      </c>
      <c r="E1276" t="s">
        <v>1</v>
      </c>
      <c r="G1276" t="s">
        <v>73</v>
      </c>
      <c r="H1276" t="s">
        <v>354</v>
      </c>
      <c r="I1276">
        <v>-29.478000000000002</v>
      </c>
      <c r="J1276">
        <v>115.145</v>
      </c>
      <c r="K1276" t="str">
        <f>HYPERLINK("http://geossdi.dmp.wa.gov.au/NVCLDataServices/mosaic.html?datasetid=e09779aa-7a4d-41b6-9f6b-ecf198c0db2","Beharra Springs 2_Core Image")</f>
        <v>Beharra Springs 2_Core Image</v>
      </c>
    </row>
    <row r="1277" spans="1:11" x14ac:dyDescent="0.25">
      <c r="A1277" t="str">
        <f>HYPERLINK("http://www.corstruth.com.au/WA/Central_Yardarino_1_cs.png","Central Yardarino 1_A4")</f>
        <v>Central Yardarino 1_A4</v>
      </c>
      <c r="B1277" t="str">
        <f>HYPERLINK("http://www.corstruth.com.au/WA/PNG2/Central_Yardarino_1_cs.png","Central Yardarino 1_0.25m Bins")</f>
        <v>Central Yardarino 1_0.25m Bins</v>
      </c>
      <c r="C1277" t="str">
        <f>HYPERLINK("http://www.corstruth.com.au/WA/CSV/Central_Yardarino_1.csv","Central Yardarino 1_CSV File 1m Bins")</f>
        <v>Central Yardarino 1_CSV File 1m Bins</v>
      </c>
      <c r="D1277" t="s">
        <v>585</v>
      </c>
      <c r="E1277" t="s">
        <v>1</v>
      </c>
      <c r="G1277" t="s">
        <v>73</v>
      </c>
      <c r="H1277" t="s">
        <v>586</v>
      </c>
      <c r="I1277">
        <v>-29.199200000000001</v>
      </c>
      <c r="J1277">
        <v>115.051</v>
      </c>
      <c r="K1277" t="str">
        <f>HYPERLINK("http://geossdi.dmp.wa.gov.au/NVCLDataServices/mosaic.html?datasetid=d185c7d6-ea8a-4cec-8fce-6c5e98245c6","Central Yardarino 1_Core Image")</f>
        <v>Central Yardarino 1_Core Image</v>
      </c>
    </row>
    <row r="1278" spans="1:11" x14ac:dyDescent="0.25">
      <c r="A1278" t="str">
        <f>HYPERLINK("http://www.corstruth.com.au/WA/Dongara_07_cs.png","Dongara 07_A4")</f>
        <v>Dongara 07_A4</v>
      </c>
      <c r="B1278" t="str">
        <f>HYPERLINK("http://www.corstruth.com.au/WA/PNG2/Dongara_07_cs.png","Dongara 07_0.25m Bins")</f>
        <v>Dongara 07_0.25m Bins</v>
      </c>
      <c r="C1278" t="str">
        <f>HYPERLINK("http://www.corstruth.com.au/WA/CSV/Dongara_07.csv","Dongara 07_CSV File 1m Bins")</f>
        <v>Dongara 07_CSV File 1m Bins</v>
      </c>
      <c r="D1278" t="s">
        <v>1705</v>
      </c>
      <c r="E1278" t="s">
        <v>1</v>
      </c>
      <c r="G1278" t="s">
        <v>73</v>
      </c>
      <c r="H1278" t="s">
        <v>601</v>
      </c>
      <c r="I1278">
        <v>-29.3095</v>
      </c>
      <c r="J1278">
        <v>115.03</v>
      </c>
      <c r="K1278" t="str">
        <f>HYPERLINK("http://geossdi.dmp.wa.gov.au/NVCLDataServices/mosaic.html?datasetid=65e6ba2d-f20f-49c3-99a9-69e1dfde192","Dongara 07_Core Image")</f>
        <v>Dongara 07_Core Image</v>
      </c>
    </row>
    <row r="1279" spans="1:11" x14ac:dyDescent="0.25">
      <c r="A1279" t="str">
        <f>HYPERLINK("http://www.corstruth.com.au/WA/Dongara_12_cs.png","Dongara 12_A4")</f>
        <v>Dongara 12_A4</v>
      </c>
      <c r="B1279" t="str">
        <f>HYPERLINK("http://www.corstruth.com.au/WA/PNG2/Dongara_12_cs.png","Dongara 12_0.25m Bins")</f>
        <v>Dongara 12_0.25m Bins</v>
      </c>
      <c r="C1279" t="str">
        <f>HYPERLINK("http://www.corstruth.com.au/WA/CSV/Dongara_12.csv","Dongara 12_CSV File 1m Bins")</f>
        <v>Dongara 12_CSV File 1m Bins</v>
      </c>
      <c r="D1279" t="s">
        <v>603</v>
      </c>
      <c r="E1279" t="s">
        <v>1</v>
      </c>
      <c r="G1279" t="s">
        <v>73</v>
      </c>
      <c r="H1279" t="s">
        <v>601</v>
      </c>
      <c r="I1279">
        <v>-29.238099999999999</v>
      </c>
      <c r="J1279">
        <v>115.023</v>
      </c>
      <c r="K1279" t="str">
        <f>HYPERLINK("http://geossdi.dmp.wa.gov.au/NVCLDataServices/mosaic.html?datasetid=dbe1573a-0c37-4ba8-ab4d-2867599cd92","Dongara 12_Core Image")</f>
        <v>Dongara 12_Core Image</v>
      </c>
    </row>
    <row r="1280" spans="1:11" x14ac:dyDescent="0.25">
      <c r="A1280" t="str">
        <f>HYPERLINK("http://www.corstruth.com.au/WA/Dongara_24_cs.png","Dongara 24_A4")</f>
        <v>Dongara 24_A4</v>
      </c>
      <c r="B1280" t="str">
        <f>HYPERLINK("http://www.corstruth.com.au/WA/PNG2/Dongara_24_cs.png","Dongara 24_0.25m Bins")</f>
        <v>Dongara 24_0.25m Bins</v>
      </c>
      <c r="C1280" t="str">
        <f>HYPERLINK("http://www.corstruth.com.au/WA/CSV/Dongara_24.csv","Dongara 24_CSV File 1m Bins")</f>
        <v>Dongara 24_CSV File 1m Bins</v>
      </c>
      <c r="D1280" t="s">
        <v>605</v>
      </c>
      <c r="E1280" t="s">
        <v>1</v>
      </c>
      <c r="G1280" t="s">
        <v>73</v>
      </c>
      <c r="H1280" t="s">
        <v>601</v>
      </c>
      <c r="I1280">
        <v>-29.236000000000001</v>
      </c>
      <c r="J1280">
        <v>115.018</v>
      </c>
      <c r="K1280" t="str">
        <f>HYPERLINK("http://geossdi.dmp.wa.gov.au/NVCLDataServices/mosaic.html?datasetid=ed2a40c2-aabf-4562-a94d-dc5670aeb4c","Dongara 24_Core Image")</f>
        <v>Dongara 24_Core Image</v>
      </c>
    </row>
    <row r="1281" spans="1:11" x14ac:dyDescent="0.25">
      <c r="A1281" t="str">
        <f>HYPERLINK("http://www.corstruth.com.au/WA/Dongara_25_cs.png","Dongara 25_A4")</f>
        <v>Dongara 25_A4</v>
      </c>
      <c r="B1281" t="str">
        <f>HYPERLINK("http://www.corstruth.com.au/WA/PNG2/Dongara_25_cs.png","Dongara 25_0.25m Bins")</f>
        <v>Dongara 25_0.25m Bins</v>
      </c>
      <c r="C1281" t="str">
        <f>HYPERLINK("http://www.corstruth.com.au/WA/CSV/Dongara_25.csv","Dongara 25_CSV File 1m Bins")</f>
        <v>Dongara 25_CSV File 1m Bins</v>
      </c>
      <c r="D1281" t="s">
        <v>606</v>
      </c>
      <c r="E1281" t="s">
        <v>1</v>
      </c>
      <c r="G1281" t="s">
        <v>73</v>
      </c>
      <c r="H1281" t="s">
        <v>601</v>
      </c>
      <c r="I1281">
        <v>-29.241700000000002</v>
      </c>
      <c r="J1281">
        <v>115.026</v>
      </c>
      <c r="K1281" t="str">
        <f>HYPERLINK("http://geossdi.dmp.wa.gov.au/NVCLDataServices/mosaic.html?datasetid=fb1ec559-20a8-4652-872b-6726f1061be","Dongara 25_Core Image")</f>
        <v>Dongara 25_Core Image</v>
      </c>
    </row>
    <row r="1282" spans="1:11" x14ac:dyDescent="0.25">
      <c r="A1282" t="str">
        <f>HYPERLINK("http://www.corstruth.com.au/WA/Dongara_27_cs.png","Dongara 27_A4")</f>
        <v>Dongara 27_A4</v>
      </c>
      <c r="B1282" t="str">
        <f>HYPERLINK("http://www.corstruth.com.au/WA/PNG2/Dongara_27_cs.png","Dongara 27_0.25m Bins")</f>
        <v>Dongara 27_0.25m Bins</v>
      </c>
      <c r="C1282" t="str">
        <f>HYPERLINK("http://www.corstruth.com.au/WA/CSV/Dongara_27.csv","Dongara 27_CSV File 1m Bins")</f>
        <v>Dongara 27_CSV File 1m Bins</v>
      </c>
      <c r="D1282" t="s">
        <v>607</v>
      </c>
      <c r="E1282" t="s">
        <v>1</v>
      </c>
      <c r="G1282" t="s">
        <v>73</v>
      </c>
      <c r="H1282" t="s">
        <v>601</v>
      </c>
      <c r="I1282">
        <v>-29.200500000000002</v>
      </c>
      <c r="J1282">
        <v>115.023</v>
      </c>
      <c r="K1282" t="str">
        <f>HYPERLINK("http://geossdi.dmp.wa.gov.au/NVCLDataServices/mosaic.html?datasetid=e2f1834a-23b6-47ea-876a-6cf2e8fba17","Dongara 27_Core Image")</f>
        <v>Dongara 27_Core Image</v>
      </c>
    </row>
    <row r="1283" spans="1:11" x14ac:dyDescent="0.25">
      <c r="A1283" t="str">
        <f>HYPERLINK("http://www.corstruth.com.au/WA/Ejarno_1_cs.png","Ejarno 1_A4")</f>
        <v>Ejarno 1_A4</v>
      </c>
      <c r="B1283" t="str">
        <f>HYPERLINK("http://www.corstruth.com.au/WA/PNG2/Ejarno_1_cs.png","Ejarno 1_0.25m Bins")</f>
        <v>Ejarno 1_0.25m Bins</v>
      </c>
      <c r="C1283" t="str">
        <f>HYPERLINK("http://www.corstruth.com.au/WA/CSV/Ejarno_1.csv","Ejarno 1_CSV File 1m Bins")</f>
        <v>Ejarno 1_CSV File 1m Bins</v>
      </c>
      <c r="D1283" t="s">
        <v>1118</v>
      </c>
      <c r="E1283" t="s">
        <v>1</v>
      </c>
      <c r="G1283" t="s">
        <v>73</v>
      </c>
      <c r="H1283" t="s">
        <v>1119</v>
      </c>
      <c r="I1283">
        <v>-29.313800000000001</v>
      </c>
      <c r="J1283">
        <v>115.077</v>
      </c>
      <c r="K1283" t="str">
        <f>HYPERLINK("http://geossdi.dmp.wa.gov.au/NVCLDataServices/mosaic.html?datasetid=9b962ccd-7d0f-4c54-b6b0-efc6a423229","Ejarno 1_Core Image")</f>
        <v>Ejarno 1_Core Image</v>
      </c>
    </row>
    <row r="1284" spans="1:11" x14ac:dyDescent="0.25">
      <c r="A1284" t="str">
        <f>HYPERLINK("http://www.corstruth.com.au/WA/Erregulla_1_cs.png","Erregulla 1_A4")</f>
        <v>Erregulla 1_A4</v>
      </c>
      <c r="B1284" t="str">
        <f>HYPERLINK("http://www.corstruth.com.au/WA/PNG2/Erregulla_1_cs.png","Erregulla 1_0.25m Bins")</f>
        <v>Erregulla 1_0.25m Bins</v>
      </c>
      <c r="C1284" t="str">
        <f>HYPERLINK("http://www.corstruth.com.au/WA/CSV/Erregulla_1.csv","Erregulla 1_CSV File 1m Bins")</f>
        <v>Erregulla 1_CSV File 1m Bins</v>
      </c>
      <c r="D1284" t="s">
        <v>1122</v>
      </c>
      <c r="E1284" t="s">
        <v>1</v>
      </c>
      <c r="G1284" t="s">
        <v>73</v>
      </c>
      <c r="H1284" t="s">
        <v>1123</v>
      </c>
      <c r="I1284">
        <v>-29.376000000000001</v>
      </c>
      <c r="J1284">
        <v>115.399</v>
      </c>
      <c r="K1284" t="str">
        <f>HYPERLINK("http://geossdi.dmp.wa.gov.au/NVCLDataServices/mosaic.html?datasetid=4c214d32-b0f6-4596-a258-03bf011de80","Erregulla 1_Core Image")</f>
        <v>Erregulla 1_Core Image</v>
      </c>
    </row>
    <row r="1285" spans="1:11" x14ac:dyDescent="0.25">
      <c r="A1285" t="str">
        <f>HYPERLINK("http://www.corstruth.com.au/WA/Eurangoa_1_cs.png","Eurangoa 1_A4")</f>
        <v>Eurangoa 1_A4</v>
      </c>
      <c r="B1285" t="str">
        <f>HYPERLINK("http://www.corstruth.com.au/WA/PNG2/Eurangoa_1_cs.png","Eurangoa 1_0.25m Bins")</f>
        <v>Eurangoa 1_0.25m Bins</v>
      </c>
      <c r="C1285" t="str">
        <f>HYPERLINK("http://www.corstruth.com.au/WA/CSV/Eurangoa_1.csv","Eurangoa 1_CSV File 1m Bins")</f>
        <v>Eurangoa 1_CSV File 1m Bins</v>
      </c>
      <c r="D1285" t="s">
        <v>1145</v>
      </c>
      <c r="E1285" t="s">
        <v>1</v>
      </c>
      <c r="G1285" t="s">
        <v>73</v>
      </c>
      <c r="H1285" t="s">
        <v>1146</v>
      </c>
      <c r="I1285">
        <v>-29.126000000000001</v>
      </c>
      <c r="J1285">
        <v>115.139</v>
      </c>
      <c r="K1285" t="str">
        <f>HYPERLINK("http://geossdi.dmp.wa.gov.au/NVCLDataServices/mosaic.html?datasetid=8ece9cfc-0e7e-44e3-b721-45df0ea96ad","Eurangoa 1_Core Image")</f>
        <v>Eurangoa 1_Core Image</v>
      </c>
    </row>
    <row r="1286" spans="1:11" x14ac:dyDescent="0.25">
      <c r="A1286" t="str">
        <f>HYPERLINK("http://www.corstruth.com.au/WA/Hovea_3_cs.png","Hovea 3_A4")</f>
        <v>Hovea 3_A4</v>
      </c>
      <c r="B1286" t="str">
        <f>HYPERLINK("http://www.corstruth.com.au/WA/PNG2/Hovea_3_cs.png","Hovea 3_0.25m Bins")</f>
        <v>Hovea 3_0.25m Bins</v>
      </c>
      <c r="C1286" t="str">
        <f>HYPERLINK("http://www.corstruth.com.au/WA/CSV/Hovea_3.csv","Hovea 3_CSV File 1m Bins")</f>
        <v>Hovea 3_CSV File 1m Bins</v>
      </c>
      <c r="D1286" t="s">
        <v>1240</v>
      </c>
      <c r="E1286" t="s">
        <v>1</v>
      </c>
      <c r="G1286" t="s">
        <v>73</v>
      </c>
      <c r="H1286" t="s">
        <v>1241</v>
      </c>
      <c r="I1286">
        <v>-29.318000000000001</v>
      </c>
      <c r="J1286">
        <v>115.041</v>
      </c>
      <c r="K1286" t="str">
        <f>HYPERLINK("http://geossdi.dmp.wa.gov.au/NVCLDataServices/mosaic.html?datasetid=cee7ca77-9b8d-4a9a-8c78-eeee3e5cbf0","Hovea 3_Core Image")</f>
        <v>Hovea 3_Core Image</v>
      </c>
    </row>
    <row r="1287" spans="1:11" x14ac:dyDescent="0.25">
      <c r="A1287" t="str">
        <f>HYPERLINK("http://www.corstruth.com.au/WA/Lockyer_1_cs.png","Lockyer 1_A4")</f>
        <v>Lockyer 1_A4</v>
      </c>
      <c r="B1287" t="str">
        <f>HYPERLINK("http://www.corstruth.com.au/WA/PNG2/Lockyer_1_cs.png","Lockyer 1_0.25m Bins")</f>
        <v>Lockyer 1_0.25m Bins</v>
      </c>
      <c r="C1287" t="str">
        <f>HYPERLINK("http://www.corstruth.com.au/WA/CSV/Lockyer_1.csv","Lockyer 1_CSV File 1m Bins")</f>
        <v>Lockyer 1_CSV File 1m Bins</v>
      </c>
      <c r="D1287" t="s">
        <v>1355</v>
      </c>
      <c r="E1287" t="s">
        <v>1</v>
      </c>
      <c r="G1287" t="s">
        <v>73</v>
      </c>
      <c r="H1287" t="s">
        <v>1356</v>
      </c>
      <c r="I1287">
        <v>-29.184799999999999</v>
      </c>
      <c r="J1287">
        <v>115.262</v>
      </c>
      <c r="K1287" t="str">
        <f>HYPERLINK("http://geossdi.dmp.wa.gov.au/NVCLDataServices/mosaic.html?datasetid=6177653e-33ee-4890-b413-8a77ccf3b99","Lockyer 1_Core Image")</f>
        <v>Lockyer 1_Core Image</v>
      </c>
    </row>
    <row r="1288" spans="1:11" x14ac:dyDescent="0.25">
      <c r="A1288" t="str">
        <f>HYPERLINK("http://www.corstruth.com.au/WA/Mondarra_1_cs.png","Mondarra 1_A4")</f>
        <v>Mondarra 1_A4</v>
      </c>
      <c r="B1288" t="str">
        <f>HYPERLINK("http://www.corstruth.com.au/WA/PNG2/Mondarra_1_cs.png","Mondarra 1_0.25m Bins")</f>
        <v>Mondarra 1_0.25m Bins</v>
      </c>
      <c r="C1288" t="str">
        <f>HYPERLINK("http://www.corstruth.com.au/WA/CSV/Mondarra_1.csv","Mondarra 1_CSV File 1m Bins")</f>
        <v>Mondarra 1_CSV File 1m Bins</v>
      </c>
      <c r="D1288" t="s">
        <v>1371</v>
      </c>
      <c r="E1288" t="s">
        <v>1</v>
      </c>
      <c r="G1288" t="s">
        <v>73</v>
      </c>
      <c r="H1288" t="s">
        <v>1372</v>
      </c>
      <c r="I1288">
        <v>-29.313099999999999</v>
      </c>
      <c r="J1288">
        <v>115.11799999999999</v>
      </c>
      <c r="K1288" t="str">
        <f>HYPERLINK("http://geossdi.dmp.wa.gov.au/NVCLDataServices/mosaic.html?datasetid=94997c6d-e403-474e-b58f-1bb60641f16","Mondarra 1_Core Image")</f>
        <v>Mondarra 1_Core Image</v>
      </c>
    </row>
    <row r="1289" spans="1:11" x14ac:dyDescent="0.25">
      <c r="A1289" t="str">
        <f>HYPERLINK("http://www.corstruth.com.au/WA/Mondarra_2_cs.png","Mondarra 2_A4")</f>
        <v>Mondarra 2_A4</v>
      </c>
      <c r="B1289" t="str">
        <f>HYPERLINK("http://www.corstruth.com.au/WA/PNG2/Mondarra_2_cs.png","Mondarra 2_0.25m Bins")</f>
        <v>Mondarra 2_0.25m Bins</v>
      </c>
      <c r="C1289" t="str">
        <f>HYPERLINK("http://www.corstruth.com.au/WA/CSV/Mondarra_2.csv","Mondarra 2_CSV File 1m Bins")</f>
        <v>Mondarra 2_CSV File 1m Bins</v>
      </c>
      <c r="D1289" t="s">
        <v>1706</v>
      </c>
      <c r="E1289" t="s">
        <v>1</v>
      </c>
      <c r="G1289" t="s">
        <v>73</v>
      </c>
      <c r="H1289" t="s">
        <v>1372</v>
      </c>
      <c r="I1289">
        <v>-29.351299999999998</v>
      </c>
      <c r="J1289">
        <v>115.105</v>
      </c>
      <c r="K1289" t="str">
        <f>HYPERLINK("http://geossdi.dmp.wa.gov.au/NVCLDataServices/mosaic.html?datasetid=82ecdaa1-1f4d-4580-ab2e-a816783dbd1","Mondarra 2_Core Image")</f>
        <v>Mondarra 2_Core Image</v>
      </c>
    </row>
    <row r="1290" spans="1:11" x14ac:dyDescent="0.25">
      <c r="A1290" t="str">
        <f>HYPERLINK("http://www.corstruth.com.au/WA/Mondarra_3_cs.png","Mondarra 3_A4")</f>
        <v>Mondarra 3_A4</v>
      </c>
      <c r="B1290" t="str">
        <f>HYPERLINK("http://www.corstruth.com.au/WA/PNG2/Mondarra_3_cs.png","Mondarra 3_0.25m Bins")</f>
        <v>Mondarra 3_0.25m Bins</v>
      </c>
      <c r="C1290" t="str">
        <f>HYPERLINK("http://www.corstruth.com.au/WA/CSV/Mondarra_3.csv","Mondarra 3_CSV File 1m Bins")</f>
        <v>Mondarra 3_CSV File 1m Bins</v>
      </c>
      <c r="D1290" t="s">
        <v>1707</v>
      </c>
      <c r="E1290" t="s">
        <v>1</v>
      </c>
      <c r="G1290" t="s">
        <v>73</v>
      </c>
      <c r="H1290" t="s">
        <v>1372</v>
      </c>
      <c r="I1290">
        <v>-29.292100000000001</v>
      </c>
      <c r="J1290">
        <v>115.114</v>
      </c>
      <c r="K1290" t="str">
        <f>HYPERLINK("http://geossdi.dmp.wa.gov.au/NVCLDataServices/mosaic.html?datasetid=6b429575-5123-4010-b964-938b722e892","Mondarra 3_Core Image")</f>
        <v>Mondarra 3_Core Image</v>
      </c>
    </row>
    <row r="1291" spans="1:11" x14ac:dyDescent="0.25">
      <c r="A1291" t="str">
        <f>HYPERLINK("http://www.corstruth.com.au/WA/Mondarra_4_cs.png","Mondarra 4_A4")</f>
        <v>Mondarra 4_A4</v>
      </c>
      <c r="B1291" t="str">
        <f>HYPERLINK("http://www.corstruth.com.au/WA/PNG2/Mondarra_4_cs.png","Mondarra 4_0.25m Bins")</f>
        <v>Mondarra 4_0.25m Bins</v>
      </c>
      <c r="C1291" t="str">
        <f>HYPERLINK("http://www.corstruth.com.au/WA/CSV/Mondarra_4.csv","Mondarra 4_CSV File 1m Bins")</f>
        <v>Mondarra 4_CSV File 1m Bins</v>
      </c>
      <c r="D1291" t="s">
        <v>1373</v>
      </c>
      <c r="E1291" t="s">
        <v>1</v>
      </c>
      <c r="G1291" t="s">
        <v>73</v>
      </c>
      <c r="H1291" t="s">
        <v>1372</v>
      </c>
      <c r="I1291">
        <v>-29.318999999999999</v>
      </c>
      <c r="J1291">
        <v>115.10299999999999</v>
      </c>
      <c r="K1291" t="str">
        <f>HYPERLINK("http://geossdi.dmp.wa.gov.au/NVCLDataServices/mosaic.html?datasetid=ba817fd3-bbd6-4740-8363-6946ab9ba7f","Mondarra 4_Core Image")</f>
        <v>Mondarra 4_Core Image</v>
      </c>
    </row>
    <row r="1292" spans="1:11" x14ac:dyDescent="0.25">
      <c r="A1292" t="str">
        <f>HYPERLINK("http://www.corstruth.com.au/WA/Mondarra_7_cs.png","Mondarra 7_A4")</f>
        <v>Mondarra 7_A4</v>
      </c>
      <c r="B1292" t="str">
        <f>HYPERLINK("http://www.corstruth.com.au/WA/PNG2/Mondarra_7_cs.png","Mondarra 7_0.25m Bins")</f>
        <v>Mondarra 7_0.25m Bins</v>
      </c>
      <c r="C1292" t="str">
        <f>HYPERLINK("http://www.corstruth.com.au/WA/CSV/Mondarra_7.csv","Mondarra 7_CSV File 1m Bins")</f>
        <v>Mondarra 7_CSV File 1m Bins</v>
      </c>
      <c r="D1292" t="s">
        <v>1374</v>
      </c>
      <c r="E1292" t="s">
        <v>1</v>
      </c>
      <c r="G1292" t="s">
        <v>73</v>
      </c>
      <c r="H1292" t="s">
        <v>1372</v>
      </c>
      <c r="I1292">
        <v>-29.312100000000001</v>
      </c>
      <c r="J1292">
        <v>115.119</v>
      </c>
      <c r="K1292" t="str">
        <f>HYPERLINK("http://geossdi.dmp.wa.gov.au/NVCLDataServices/mosaic.html?datasetid=3ba77d71-d259-43e4-97d6-7120cbd6812","Mondarra 7_Core Image")</f>
        <v>Mondarra 7_Core Image</v>
      </c>
    </row>
    <row r="1293" spans="1:11" x14ac:dyDescent="0.25">
      <c r="A1293" t="str">
        <f>HYPERLINK("http://www.corstruth.com.au/WA/Mountain_Bridge_1_cs.png","Mountain Bridge 1_A4")</f>
        <v>Mountain Bridge 1_A4</v>
      </c>
      <c r="B1293" t="str">
        <f>HYPERLINK("http://www.corstruth.com.au/WA/PNG2/Mountain_Bridge_1_cs.png","Mountain Bridge 1_0.25m Bins")</f>
        <v>Mountain Bridge 1_0.25m Bins</v>
      </c>
      <c r="C1293" t="str">
        <f>HYPERLINK("http://www.corstruth.com.au/WA/CSV/Mountain_Bridge_1.csv","Mountain Bridge 1_CSV File 1m Bins")</f>
        <v>Mountain Bridge 1_CSV File 1m Bins</v>
      </c>
      <c r="D1293" t="s">
        <v>1375</v>
      </c>
      <c r="E1293" t="s">
        <v>1</v>
      </c>
      <c r="G1293" t="s">
        <v>73</v>
      </c>
      <c r="H1293" t="s">
        <v>1376</v>
      </c>
      <c r="I1293">
        <v>-29.600100000000001</v>
      </c>
      <c r="J1293">
        <v>115.11499999999999</v>
      </c>
      <c r="K1293" t="str">
        <f>HYPERLINK("http://geossdi.dmp.wa.gov.au/NVCLDataServices/mosaic.html?datasetid=29086e22-56b2-4d26-97b4-e03b2cd991a","Mountain Bridge 1_Core Image")</f>
        <v>Mountain Bridge 1_Core Image</v>
      </c>
    </row>
    <row r="1294" spans="1:11" x14ac:dyDescent="0.25">
      <c r="A1294" t="str">
        <f>HYPERLINK("http://www.corstruth.com.au/WA/Mt_Adams_1_cs.png","Mt Adams 1_A4")</f>
        <v>Mt Adams 1_A4</v>
      </c>
      <c r="B1294" t="str">
        <f>HYPERLINK("http://www.corstruth.com.au/WA/PNG2/Mt_Adams_1_cs.png","Mt Adams 1_0.25m Bins")</f>
        <v>Mt Adams 1_0.25m Bins</v>
      </c>
      <c r="C1294" t="str">
        <f>HYPERLINK("http://www.corstruth.com.au/WA/CSV/Mt_Adams_1.csv","Mt Adams 1_CSV File 1m Bins")</f>
        <v>Mt Adams 1_CSV File 1m Bins</v>
      </c>
      <c r="D1294" t="s">
        <v>1377</v>
      </c>
      <c r="E1294" t="s">
        <v>1</v>
      </c>
      <c r="G1294" t="s">
        <v>73</v>
      </c>
      <c r="H1294" t="s">
        <v>1378</v>
      </c>
      <c r="I1294">
        <v>-29.4057</v>
      </c>
      <c r="J1294">
        <v>115.16800000000001</v>
      </c>
      <c r="K1294" t="str">
        <f>HYPERLINK("http://geossdi.dmp.wa.gov.au/NVCLDataServices/mosaic.html?datasetid=04b34d00-4439-4556-bfaa-7a75b0826f3","Mt Adams 1_Core Image")</f>
        <v>Mt Adams 1_Core Image</v>
      </c>
    </row>
    <row r="1295" spans="1:11" x14ac:dyDescent="0.25">
      <c r="A1295" t="str">
        <f>HYPERLINK("http://www.corstruth.com.au/WA/Mt_Hill_1_cs.png","Mt Hill 1_A4")</f>
        <v>Mt Hill 1_A4</v>
      </c>
      <c r="B1295" t="str">
        <f>HYPERLINK("http://www.corstruth.com.au/WA/PNG2/Mt_Hill_1_cs.png","Mt Hill 1_0.25m Bins")</f>
        <v>Mt Hill 1_0.25m Bins</v>
      </c>
      <c r="C1295" t="str">
        <f>HYPERLINK("http://www.corstruth.com.au/WA/CSV/Mt_Hill_1.csv","Mt Hill 1_CSV File 1m Bins")</f>
        <v>Mt Hill 1_CSV File 1m Bins</v>
      </c>
      <c r="D1295" t="s">
        <v>1379</v>
      </c>
      <c r="E1295" t="s">
        <v>1</v>
      </c>
      <c r="G1295" t="s">
        <v>73</v>
      </c>
      <c r="H1295" t="s">
        <v>1380</v>
      </c>
      <c r="I1295">
        <v>-29.067900000000002</v>
      </c>
      <c r="J1295">
        <v>114.985</v>
      </c>
      <c r="K1295" t="str">
        <f>HYPERLINK("http://geossdi.dmp.wa.gov.au/NVCLDataServices/mosaic.html?datasetid=c63d322b-cc4d-46e7-8f49-6efec5510e9","Mt Hill 1_Core Image")</f>
        <v>Mt Hill 1_Core Image</v>
      </c>
    </row>
    <row r="1296" spans="1:11" x14ac:dyDescent="0.25">
      <c r="A1296" t="str">
        <f>HYPERLINK("http://www.corstruth.com.au/WA/Mt_Horner_01_cs.png","Mt Horner 01_A4")</f>
        <v>Mt Horner 01_A4</v>
      </c>
      <c r="B1296" t="str">
        <f>HYPERLINK("http://www.corstruth.com.au/WA/PNG2/Mt_Horner_01_cs.png","Mt Horner 01_0.25m Bins")</f>
        <v>Mt Horner 01_0.25m Bins</v>
      </c>
      <c r="C1296" t="str">
        <f>HYPERLINK("http://www.corstruth.com.au/WA/CSV/Mt_Horner_01.csv","Mt Horner 01_CSV File 1m Bins")</f>
        <v>Mt Horner 01_CSV File 1m Bins</v>
      </c>
      <c r="D1296" t="s">
        <v>1381</v>
      </c>
      <c r="E1296" t="s">
        <v>1</v>
      </c>
      <c r="G1296" t="s">
        <v>73</v>
      </c>
      <c r="H1296" t="s">
        <v>1382</v>
      </c>
      <c r="I1296">
        <v>-29.1282</v>
      </c>
      <c r="J1296">
        <v>115.086</v>
      </c>
      <c r="K1296" t="str">
        <f>HYPERLINK("http://geossdi.dmp.wa.gov.au/NVCLDataServices/mosaic.html?datasetid=97a59849-eb0d-4a01-aa8b-908b7019eb8","Mt Horner 01_Core Image")</f>
        <v>Mt Horner 01_Core Image</v>
      </c>
    </row>
    <row r="1297" spans="1:11" x14ac:dyDescent="0.25">
      <c r="A1297" t="str">
        <f>HYPERLINK("http://www.corstruth.com.au/WA/Mt_Horner_07_cs.png","Mt Horner 07_A4")</f>
        <v>Mt Horner 07_A4</v>
      </c>
      <c r="B1297" t="str">
        <f>HYPERLINK("http://www.corstruth.com.au/WA/PNG2/Mt_Horner_07_cs.png","Mt Horner 07_0.25m Bins")</f>
        <v>Mt Horner 07_0.25m Bins</v>
      </c>
      <c r="C1297" t="str">
        <f>HYPERLINK("http://www.corstruth.com.au/WA/CSV/Mt_Horner_07.csv","Mt Horner 07_CSV File 1m Bins")</f>
        <v>Mt Horner 07_CSV File 1m Bins</v>
      </c>
      <c r="D1297" t="s">
        <v>1383</v>
      </c>
      <c r="E1297" t="s">
        <v>1</v>
      </c>
      <c r="G1297" t="s">
        <v>73</v>
      </c>
      <c r="H1297" t="s">
        <v>1382</v>
      </c>
      <c r="I1297">
        <v>-29.123200000000001</v>
      </c>
      <c r="J1297">
        <v>115.093</v>
      </c>
      <c r="K1297" t="str">
        <f>HYPERLINK("http://geossdi.dmp.wa.gov.au/NVCLDataServices/mosaic.html?datasetid=eb69d281-938e-432a-8185-59024183c84","Mt Horner 07_Core Image")</f>
        <v>Mt Horner 07_Core Image</v>
      </c>
    </row>
    <row r="1298" spans="1:11" x14ac:dyDescent="0.25">
      <c r="A1298" t="str">
        <f>HYPERLINK("http://www.corstruth.com.au/WA/North_Erregulla_1_cs.png","North Erregulla 1_A4")</f>
        <v>North Erregulla 1_A4</v>
      </c>
      <c r="B1298" t="str">
        <f>HYPERLINK("http://www.corstruth.com.au/WA/PNG2/North_Erregulla_1_cs.png","North Erregulla 1_0.25m Bins")</f>
        <v>North Erregulla 1_0.25m Bins</v>
      </c>
      <c r="C1298" t="str">
        <f>HYPERLINK("http://www.corstruth.com.au/WA/CSV/North_Erregulla_1.csv","North Erregulla 1_CSV File 1m Bins")</f>
        <v>North Erregulla 1_CSV File 1m Bins</v>
      </c>
      <c r="D1298" t="s">
        <v>1405</v>
      </c>
      <c r="E1298" t="s">
        <v>1</v>
      </c>
      <c r="G1298" t="s">
        <v>73</v>
      </c>
      <c r="H1298" t="s">
        <v>1406</v>
      </c>
      <c r="I1298">
        <v>-29.244299999999999</v>
      </c>
      <c r="J1298">
        <v>115.328</v>
      </c>
      <c r="K1298" t="str">
        <f>HYPERLINK("http://geossdi.dmp.wa.gov.au/NVCLDataServices/mosaic.html?datasetid=fea8666e-55a8-452b-a28e-007aa4324d8","North Erregulla 1_Core Image")</f>
        <v>North Erregulla 1_Core Image</v>
      </c>
    </row>
    <row r="1299" spans="1:11" x14ac:dyDescent="0.25">
      <c r="A1299" t="str">
        <f>HYPERLINK("http://www.corstruth.com.au/WA/Red_Gully_1_[cuttings_3210-4000m]_cs.png","Red Gully 1 [cuttings 3210-4000m]_A4")</f>
        <v>Red Gully 1 [cuttings 3210-4000m]_A4</v>
      </c>
      <c r="B1299" t="str">
        <f>HYPERLINK("http://www.corstruth.com.au/WA/PNG2/Red_Gully_1_[cuttings_3210-4000m]_cs.png","Red Gully 1 [cuttings 3210-4000m]_0.25m Bins")</f>
        <v>Red Gully 1 [cuttings 3210-4000m]_0.25m Bins</v>
      </c>
      <c r="C1299" t="str">
        <f>HYPERLINK("http://www.corstruth.com.au/WA/CSV/Red_Gully_1_[cuttings_3210-4000m].csv","Red Gully 1 [cuttings 3210-4000m]_CSV File 1m Bins")</f>
        <v>Red Gully 1 [cuttings 3210-4000m]_CSV File 1m Bins</v>
      </c>
      <c r="D1299" t="s">
        <v>1708</v>
      </c>
      <c r="E1299" t="s">
        <v>1</v>
      </c>
      <c r="G1299" t="s">
        <v>73</v>
      </c>
      <c r="H1299" t="s">
        <v>1709</v>
      </c>
      <c r="I1299">
        <v>-31.180499999999999</v>
      </c>
      <c r="J1299">
        <v>115.82599999999999</v>
      </c>
    </row>
    <row r="1300" spans="1:11" x14ac:dyDescent="0.25">
      <c r="A1300" t="str">
        <f>HYPERLINK("http://www.corstruth.com.au/WA/Strawberry_Hill_1_cs.png","Strawberry Hill 1_A4")</f>
        <v>Strawberry Hill 1_A4</v>
      </c>
      <c r="B1300" t="str">
        <f>HYPERLINK("http://www.corstruth.com.au/WA/PNG2/Strawberry_Hill_1_cs.png","Strawberry Hill 1_0.25m Bins")</f>
        <v>Strawberry Hill 1_0.25m Bins</v>
      </c>
      <c r="C1300" t="str">
        <f>HYPERLINK("http://www.corstruth.com.au/WA/CSV/Strawberry_Hill_1.csv","Strawberry Hill 1_CSV File 1m Bins")</f>
        <v>Strawberry Hill 1_CSV File 1m Bins</v>
      </c>
      <c r="D1300" t="s">
        <v>1710</v>
      </c>
      <c r="E1300" t="s">
        <v>1</v>
      </c>
      <c r="G1300" t="s">
        <v>73</v>
      </c>
      <c r="H1300" t="s">
        <v>1711</v>
      </c>
      <c r="I1300">
        <v>-29.253499999999999</v>
      </c>
      <c r="J1300">
        <v>115.123</v>
      </c>
      <c r="K1300" t="str">
        <f>HYPERLINK("http://geossdi.dmp.wa.gov.au/NVCLDataServices/mosaic.html?datasetid=f1a5b555-b34f-4ed0-b551-c0ebd76f5eb","Strawberry Hill 1_Core Image")</f>
        <v>Strawberry Hill 1_Core Image</v>
      </c>
    </row>
    <row r="1301" spans="1:11" x14ac:dyDescent="0.25">
      <c r="A1301" t="str">
        <f>HYPERLINK("http://www.corstruth.com.au/WA/Waitsia_2_cs.png","Waitsia 2_A4")</f>
        <v>Waitsia 2_A4</v>
      </c>
      <c r="B1301" t="str">
        <f>HYPERLINK("http://www.corstruth.com.au/WA/PNG2/Waitsia_2_cs.png","Waitsia 2_0.25m Bins")</f>
        <v>Waitsia 2_0.25m Bins</v>
      </c>
      <c r="C1301" t="str">
        <f>HYPERLINK("http://www.corstruth.com.au/WA/CSV/Waitsia_2.csv","Waitsia 2_CSV File 1m Bins")</f>
        <v>Waitsia 2_CSV File 1m Bins</v>
      </c>
      <c r="D1301" t="s">
        <v>1712</v>
      </c>
      <c r="E1301" t="s">
        <v>1</v>
      </c>
      <c r="G1301" t="s">
        <v>73</v>
      </c>
      <c r="H1301" t="s">
        <v>1713</v>
      </c>
      <c r="I1301">
        <v>-29.302</v>
      </c>
      <c r="J1301">
        <v>115.09399999999999</v>
      </c>
      <c r="K1301" t="str">
        <f>HYPERLINK("http://geossdi.dmp.wa.gov.au/NVCLDataServices/mosaic.html?datasetid=4ea2b101-1809-4159-b745-63b2be9ebbe","Waitsia 2_Core Image")</f>
        <v>Waitsia 2_Core Image</v>
      </c>
    </row>
    <row r="1302" spans="1:11" x14ac:dyDescent="0.25">
      <c r="A1302" t="str">
        <f>HYPERLINK("http://www.corstruth.com.au/WA/Waitsia_3_cs.png","Waitsia 3_A4")</f>
        <v>Waitsia 3_A4</v>
      </c>
      <c r="B1302" t="str">
        <f>HYPERLINK("http://www.corstruth.com.au/WA/PNG2/Waitsia_3_cs.png","Waitsia 3_0.25m Bins")</f>
        <v>Waitsia 3_0.25m Bins</v>
      </c>
      <c r="C1302" t="str">
        <f>HYPERLINK("http://www.corstruth.com.au/WA/CSV/Waitsia_3.csv","Waitsia 3_CSV File 1m Bins")</f>
        <v>Waitsia 3_CSV File 1m Bins</v>
      </c>
      <c r="D1302" t="s">
        <v>1714</v>
      </c>
      <c r="E1302" t="s">
        <v>1</v>
      </c>
      <c r="G1302" t="s">
        <v>73</v>
      </c>
      <c r="H1302" t="s">
        <v>1713</v>
      </c>
      <c r="I1302">
        <v>-29.350899999999999</v>
      </c>
      <c r="J1302">
        <v>115.10299999999999</v>
      </c>
      <c r="K1302" t="str">
        <f>HYPERLINK("http://geossdi.dmp.wa.gov.au/NVCLDataServices/mosaic.html?datasetid=774b320f-753c-4bcf-8185-db3e0e8d553","Waitsia 3_Core Image")</f>
        <v>Waitsia 3_Core Image</v>
      </c>
    </row>
    <row r="1303" spans="1:11" x14ac:dyDescent="0.25">
      <c r="A1303" t="str">
        <f>HYPERLINK("http://www.corstruth.com.au/WA/Waitsia_3_[cuttings_2710-2815m]_cs.png","Waitsia 3 [cuttings 2710-2815m]_A4")</f>
        <v>Waitsia 3 [cuttings 2710-2815m]_A4</v>
      </c>
      <c r="B1303" t="str">
        <f>HYPERLINK("http://www.corstruth.com.au/WA/PNG2/Waitsia_3_[cuttings_2710-2815m]_cs.png","Waitsia 3 [cuttings 2710-2815m]_0.25m Bins")</f>
        <v>Waitsia 3 [cuttings 2710-2815m]_0.25m Bins</v>
      </c>
      <c r="C1303" t="str">
        <f>HYPERLINK("http://www.corstruth.com.au/WA/CSV/Waitsia_3_[cuttings_2710-2815m].csv","Waitsia 3 [cuttings 2710-2815m]_CSV File 1m Bins")</f>
        <v>Waitsia 3 [cuttings 2710-2815m]_CSV File 1m Bins</v>
      </c>
      <c r="D1303" t="s">
        <v>1714</v>
      </c>
      <c r="E1303" t="s">
        <v>1</v>
      </c>
      <c r="G1303" t="s">
        <v>73</v>
      </c>
      <c r="H1303" t="s">
        <v>1713</v>
      </c>
      <c r="I1303">
        <v>-29.350899999999999</v>
      </c>
      <c r="J1303">
        <v>115.10299999999999</v>
      </c>
    </row>
    <row r="1304" spans="1:11" x14ac:dyDescent="0.25">
      <c r="A1304" t="str">
        <f>HYPERLINK("http://www.corstruth.com.au/WA/West_Erregulla_2_[cuttings_65.3-5029.7m]_cs.png","West Erregulla 2 [cuttings 65.3-5029.7m]_A4")</f>
        <v>West Erregulla 2 [cuttings 65.3-5029.7m]_A4</v>
      </c>
      <c r="B1304" t="str">
        <f>HYPERLINK("http://www.corstruth.com.au/WA/PNG2/West_Erregulla_2_[cuttings_65.3-5029.7m]_cs.png","West Erregulla 2 [cuttings 65.3-5029.7m]_0.25m Bins")</f>
        <v>West Erregulla 2 [cuttings 65.3-5029.7m]_0.25m Bins</v>
      </c>
      <c r="C1304" t="str">
        <f>HYPERLINK("http://www.corstruth.com.au/WA/CSV/West_Erregulla_2_[cuttings_65.3-5029.7m].csv","West Erregulla 2 [cuttings 65.3-5029.7m]_CSV File 1m Bins")</f>
        <v>West Erregulla 2 [cuttings 65.3-5029.7m]_CSV File 1m Bins</v>
      </c>
      <c r="D1304" t="s">
        <v>1715</v>
      </c>
      <c r="E1304" t="s">
        <v>1</v>
      </c>
      <c r="G1304" t="s">
        <v>73</v>
      </c>
      <c r="H1304" t="s">
        <v>1716</v>
      </c>
      <c r="I1304">
        <v>-29.414999999999999</v>
      </c>
      <c r="J1304">
        <v>115.307</v>
      </c>
    </row>
    <row r="1305" spans="1:11" x14ac:dyDescent="0.25">
      <c r="A1305" t="str">
        <f>HYPERLINK("http://www.corstruth.com.au/WA/West_Erregulla_1_cs.png","West Erregulla 1_A4")</f>
        <v>West Erregulla 1_A4</v>
      </c>
      <c r="B1305" t="str">
        <f>HYPERLINK("http://www.corstruth.com.au/WA/PNG2/West_Erregulla_1_cs.png","West Erregulla 1_0.25m Bins")</f>
        <v>West Erregulla 1_0.25m Bins</v>
      </c>
      <c r="C1305" t="str">
        <f>HYPERLINK("http://www.corstruth.com.au/WA/CSV/West_Erregulla_1.csv","West Erregulla 1_CSV File 1m Bins")</f>
        <v>West Erregulla 1_CSV File 1m Bins</v>
      </c>
      <c r="D1305" t="s">
        <v>1717</v>
      </c>
      <c r="E1305" t="s">
        <v>1</v>
      </c>
      <c r="G1305" t="s">
        <v>73</v>
      </c>
      <c r="H1305" t="s">
        <v>1718</v>
      </c>
      <c r="I1305">
        <v>-29.425799999999999</v>
      </c>
      <c r="J1305">
        <v>115.31</v>
      </c>
      <c r="K1305" t="str">
        <f>HYPERLINK("http://geossdi.dmp.wa.gov.au/NVCLDataServices/mosaic.html?datasetid=078b0c53-c357-4964-b125-81276c8315e","West Erregulla 1_Core Image")</f>
        <v>West Erregulla 1_Core Image</v>
      </c>
    </row>
    <row r="1306" spans="1:11" x14ac:dyDescent="0.25">
      <c r="A1306" t="str">
        <f>HYPERLINK("http://www.corstruth.com.au/WA/West_White_Point_1_cs.png","West White Point 1_A4")</f>
        <v>West White Point 1_A4</v>
      </c>
      <c r="B1306" t="str">
        <f>HYPERLINK("http://www.corstruth.com.au/WA/PNG2/West_White_Point_1_cs.png","West White Point 1_0.25m Bins")</f>
        <v>West White Point 1_0.25m Bins</v>
      </c>
      <c r="C1306" t="str">
        <f>HYPERLINK("http://www.corstruth.com.au/WA/CSV/West_White_Point_1.csv","West White Point 1_CSV File 1m Bins")</f>
        <v>West White Point 1_CSV File 1m Bins</v>
      </c>
      <c r="D1306" t="s">
        <v>1719</v>
      </c>
      <c r="E1306" t="s">
        <v>1</v>
      </c>
      <c r="G1306" t="s">
        <v>73</v>
      </c>
      <c r="H1306" t="s">
        <v>1720</v>
      </c>
      <c r="I1306">
        <v>-29.344899999999999</v>
      </c>
      <c r="J1306">
        <v>115.041</v>
      </c>
      <c r="K1306" t="str">
        <f>HYPERLINK("http://geossdi.dmp.wa.gov.au/NVCLDataServices/mosaic.html?datasetid=786de880-e6f2-4a51-b05f-81b740334c6","West White Point 1_Core Image")</f>
        <v>West White Point 1_Core Image</v>
      </c>
    </row>
    <row r="1307" spans="1:11" x14ac:dyDescent="0.25">
      <c r="A1307" t="str">
        <f>HYPERLINK("http://www.corstruth.com.au/WA/Wicherina_1_cs.png","Wicherina 1_A4")</f>
        <v>Wicherina 1_A4</v>
      </c>
      <c r="B1307" t="str">
        <f>HYPERLINK("http://www.corstruth.com.au/WA/PNG2/Wicherina_1_cs.png","Wicherina 1_0.25m Bins")</f>
        <v>Wicherina 1_0.25m Bins</v>
      </c>
      <c r="C1307" t="str">
        <f>HYPERLINK("http://www.corstruth.com.au/WA/CSV/Wicherina_1.csv","Wicherina 1_CSV File 1m Bins")</f>
        <v>Wicherina 1_CSV File 1m Bins</v>
      </c>
      <c r="D1307" t="s">
        <v>1721</v>
      </c>
      <c r="E1307" t="s">
        <v>1</v>
      </c>
      <c r="G1307" t="s">
        <v>73</v>
      </c>
      <c r="H1307" t="s">
        <v>1722</v>
      </c>
      <c r="I1307">
        <v>-28.831299999999999</v>
      </c>
      <c r="J1307">
        <v>115.242</v>
      </c>
      <c r="K1307" t="str">
        <f>HYPERLINK("http://geossdi.dmp.wa.gov.au/NVCLDataServices/mosaic.html?datasetid=f03b6f6a-80d9-487e-a2ed-35d1fe4257c","Wicherina 1_Core Image")</f>
        <v>Wicherina 1_Core Image</v>
      </c>
    </row>
    <row r="1308" spans="1:11" x14ac:dyDescent="0.25">
      <c r="A1308" t="str">
        <f>HYPERLINK("http://www.corstruth.com.au/WA/Woodada_02_cs.png","Woodada 02_A4")</f>
        <v>Woodada 02_A4</v>
      </c>
      <c r="B1308" t="str">
        <f>HYPERLINK("http://www.corstruth.com.au/WA/PNG2/Woodada_02_cs.png","Woodada 02_0.25m Bins")</f>
        <v>Woodada 02_0.25m Bins</v>
      </c>
      <c r="C1308" t="str">
        <f>HYPERLINK("http://www.corstruth.com.au/WA/CSV/Woodada_02.csv","Woodada 02_CSV File 1m Bins")</f>
        <v>Woodada 02_CSV File 1m Bins</v>
      </c>
      <c r="D1308" t="s">
        <v>1723</v>
      </c>
      <c r="E1308" t="s">
        <v>1</v>
      </c>
      <c r="G1308" t="s">
        <v>73</v>
      </c>
      <c r="H1308" t="s">
        <v>1661</v>
      </c>
      <c r="I1308">
        <v>-29.793900000000001</v>
      </c>
      <c r="J1308">
        <v>115.15300000000001</v>
      </c>
      <c r="K1308" t="str">
        <f>HYPERLINK("http://geossdi.dmp.wa.gov.au/NVCLDataServices/mosaic.html?datasetid=79ff1c21-3937-44bd-a58d-50879b466c4","Woodada 02_Core Image")</f>
        <v>Woodada 02_Core Image</v>
      </c>
    </row>
    <row r="1309" spans="1:11" x14ac:dyDescent="0.25">
      <c r="A1309" t="str">
        <f>HYPERLINK("http://www.corstruth.com.au/WA/Woodada_03_cs.png","Woodada 03_A4")</f>
        <v>Woodada 03_A4</v>
      </c>
      <c r="B1309" t="str">
        <f>HYPERLINK("http://www.corstruth.com.au/WA/PNG2/Woodada_03_cs.png","Woodada 03_0.25m Bins")</f>
        <v>Woodada 03_0.25m Bins</v>
      </c>
      <c r="C1309" t="str">
        <f>HYPERLINK("http://www.corstruth.com.au/WA/CSV/Woodada_03.csv","Woodada 03_CSV File 1m Bins")</f>
        <v>Woodada 03_CSV File 1m Bins</v>
      </c>
      <c r="D1309" t="s">
        <v>1724</v>
      </c>
      <c r="E1309" t="s">
        <v>1</v>
      </c>
      <c r="G1309" t="s">
        <v>73</v>
      </c>
      <c r="H1309" t="s">
        <v>1661</v>
      </c>
      <c r="I1309">
        <v>-29.753399999999999</v>
      </c>
      <c r="J1309">
        <v>115.157</v>
      </c>
      <c r="K1309" t="str">
        <f>HYPERLINK("http://geossdi.dmp.wa.gov.au/NVCLDataServices/mosaic.html?datasetid=d94d9536-d4ae-4112-9466-3bc1bb5b910","Woodada 03_Core Image")</f>
        <v>Woodada 03_Core Image</v>
      </c>
    </row>
    <row r="1310" spans="1:11" x14ac:dyDescent="0.25">
      <c r="A1310" t="str">
        <f>HYPERLINK("http://www.corstruth.com.au/WA/Allanooka_1_cs.png","Allanooka 1_A4")</f>
        <v>Allanooka 1_A4</v>
      </c>
      <c r="B1310" t="str">
        <f>HYPERLINK("http://www.corstruth.com.au/WA/PNG2/Allanooka_1_cs.png","Allanooka 1_0.25m Bins")</f>
        <v>Allanooka 1_0.25m Bins</v>
      </c>
      <c r="C1310" t="str">
        <f>HYPERLINK("http://www.corstruth.com.au/WA/CSV/Allanooka_1.csv","Allanooka 1_CSV File 1m Bins")</f>
        <v>Allanooka 1_CSV File 1m Bins</v>
      </c>
      <c r="D1310" t="s">
        <v>1725</v>
      </c>
      <c r="E1310" t="s">
        <v>1</v>
      </c>
      <c r="G1310" t="s">
        <v>1726</v>
      </c>
      <c r="H1310" t="s">
        <v>1727</v>
      </c>
      <c r="I1310">
        <v>-29.142499999999998</v>
      </c>
      <c r="J1310">
        <v>115.014</v>
      </c>
      <c r="K1310" t="str">
        <f>HYPERLINK("http://geossdi.dmp.wa.gov.au/NVCLDataServices/mosaic.html?datasetid=83def1c9-ee9c-4b09-bdcf-a86551523cc","Allanooka 1_Core Image")</f>
        <v>Allanooka 1_Core Image</v>
      </c>
    </row>
    <row r="1311" spans="1:11" x14ac:dyDescent="0.25">
      <c r="A1311" t="str">
        <f>HYPERLINK("http://www.corstruth.com.au/WA/Allanooka_1_cuttings_cs.png","Allanooka 1_cuttings_A4")</f>
        <v>Allanooka 1_cuttings_A4</v>
      </c>
      <c r="B1311" t="str">
        <f>HYPERLINK("http://www.corstruth.com.au/WA/PNG2/Allanooka_1_cuttings_cs.png","Allanooka 1_cuttings_0.25m Bins")</f>
        <v>Allanooka 1_cuttings_0.25m Bins</v>
      </c>
      <c r="C1311" t="str">
        <f>HYPERLINK("http://www.corstruth.com.au/WA/CSV/Allanooka_1_cuttings.csv","Allanooka 1_cuttings_CSV File 1m Bins")</f>
        <v>Allanooka 1_cuttings_CSV File 1m Bins</v>
      </c>
      <c r="D1311" t="s">
        <v>1725</v>
      </c>
      <c r="E1311" t="s">
        <v>1</v>
      </c>
      <c r="G1311" t="s">
        <v>1726</v>
      </c>
      <c r="H1311" t="s">
        <v>1727</v>
      </c>
      <c r="I1311">
        <v>-29.142499999999998</v>
      </c>
      <c r="J1311">
        <v>115.014</v>
      </c>
      <c r="K1311" t="str">
        <f>HYPERLINK("http://geossdi.dmp.wa.gov.au/NVCLDataServices/mosaic.html?datasetid=a5743990-a326-4a4c-8b84-57a74290470","Allanooka 1_cuttings_Core Image")</f>
        <v>Allanooka 1_cuttings_Core Image</v>
      </c>
    </row>
    <row r="1312" spans="1:11" x14ac:dyDescent="0.25">
      <c r="A1312" t="str">
        <f>HYPERLINK("http://www.corstruth.com.au/WA/Allanooka_1_cuttings2_cs.png","Allanooka 1_cuttings2_A4")</f>
        <v>Allanooka 1_cuttings2_A4</v>
      </c>
      <c r="B1312" t="str">
        <f>HYPERLINK("http://www.corstruth.com.au/WA/PNG2/Allanooka_1_cuttings2_cs.png","Allanooka 1_cuttings2_0.25m Bins")</f>
        <v>Allanooka 1_cuttings2_0.25m Bins</v>
      </c>
      <c r="C1312" t="str">
        <f>HYPERLINK("http://www.corstruth.com.au/WA/CSV/Allanooka_1_cuttings2.csv","Allanooka 1_cuttings2_CSV File 1m Bins")</f>
        <v>Allanooka 1_cuttings2_CSV File 1m Bins</v>
      </c>
      <c r="D1312" t="s">
        <v>1725</v>
      </c>
      <c r="E1312" t="s">
        <v>1</v>
      </c>
      <c r="G1312" t="s">
        <v>1726</v>
      </c>
      <c r="H1312" t="s">
        <v>1727</v>
      </c>
      <c r="I1312">
        <v>-29.142499999999998</v>
      </c>
      <c r="J1312">
        <v>115.014</v>
      </c>
      <c r="K1312" t="str">
        <f>HYPERLINK("http://geossdi.dmp.wa.gov.au/NVCLDataServices/mosaic.html?datasetid=66ac63e9-7742-4d25-9daa-2db1c607126","Allanooka 1_cuttings2_Core Image")</f>
        <v>Allanooka 1_cuttings2_Core Image</v>
      </c>
    </row>
    <row r="1313" spans="1:11" x14ac:dyDescent="0.25">
      <c r="A1313" t="str">
        <f>HYPERLINK("http://www.corstruth.com.au/WA/Allanooka_2_cs.png","Allanooka 2_A4")</f>
        <v>Allanooka 2_A4</v>
      </c>
      <c r="B1313" t="str">
        <f>HYPERLINK("http://www.corstruth.com.au/WA/PNG2/Allanooka_2_cs.png","Allanooka 2_0.25m Bins")</f>
        <v>Allanooka 2_0.25m Bins</v>
      </c>
      <c r="C1313" t="str">
        <f>HYPERLINK("http://www.corstruth.com.au/WA/CSV/Allanooka_2.csv","Allanooka 2_CSV File 1m Bins")</f>
        <v>Allanooka 2_CSV File 1m Bins</v>
      </c>
      <c r="D1313" t="s">
        <v>1728</v>
      </c>
      <c r="E1313" t="s">
        <v>1</v>
      </c>
      <c r="G1313" t="s">
        <v>1726</v>
      </c>
      <c r="H1313" t="s">
        <v>1727</v>
      </c>
      <c r="I1313">
        <v>-29.099900000000002</v>
      </c>
      <c r="J1313">
        <v>114.996</v>
      </c>
      <c r="K1313" t="str">
        <f>HYPERLINK("http://geossdi.dmp.wa.gov.au/NVCLDataServices/mosaic.html?datasetid=c1141ac0-2594-4252-b238-8f8f4cd30c2","Allanooka 2_Core Image")</f>
        <v>Allanooka 2_Core Image</v>
      </c>
    </row>
    <row r="1314" spans="1:11" x14ac:dyDescent="0.25">
      <c r="A1314" t="str">
        <f>HYPERLINK("http://www.corstruth.com.au/WA/Dongara_04_cs.png","Dongara 04_A4")</f>
        <v>Dongara 04_A4</v>
      </c>
      <c r="B1314" t="str">
        <f>HYPERLINK("http://www.corstruth.com.au/WA/PNG2/Dongara_04_cs.png","Dongara 04_0.25m Bins")</f>
        <v>Dongara 04_0.25m Bins</v>
      </c>
      <c r="C1314" t="str">
        <f>HYPERLINK("http://www.corstruth.com.au/WA/CSV/Dongara_04.csv","Dongara 04_CSV File 1m Bins")</f>
        <v>Dongara 04_CSV File 1m Bins</v>
      </c>
      <c r="D1314" t="s">
        <v>600</v>
      </c>
      <c r="E1314" t="s">
        <v>1</v>
      </c>
      <c r="G1314" t="s">
        <v>1726</v>
      </c>
      <c r="H1314" t="s">
        <v>601</v>
      </c>
      <c r="I1314">
        <v>-29.229500000000002</v>
      </c>
      <c r="J1314">
        <v>114.983</v>
      </c>
      <c r="K1314" t="str">
        <f>HYPERLINK("http://geossdi.dmp.wa.gov.au/NVCLDataServices/mosaic.html?datasetid=474c2395-8f44-4e0b-884e-0cd4636c8a9","Dongara 04_Core Image")</f>
        <v>Dongara 04_Core Image</v>
      </c>
    </row>
    <row r="1315" spans="1:11" x14ac:dyDescent="0.25">
      <c r="A1315" t="str">
        <f>HYPERLINK("http://www.corstruth.com.au/WA/Dongara_11_cs.png","Dongara 11_A4")</f>
        <v>Dongara 11_A4</v>
      </c>
      <c r="B1315" t="str">
        <f>HYPERLINK("http://www.corstruth.com.au/WA/PNG2/Dongara_11_cs.png","Dongara 11_0.25m Bins")</f>
        <v>Dongara 11_0.25m Bins</v>
      </c>
      <c r="C1315" t="str">
        <f>HYPERLINK("http://www.corstruth.com.au/WA/CSV/Dongara_11.csv","Dongara 11_CSV File 1m Bins")</f>
        <v>Dongara 11_CSV File 1m Bins</v>
      </c>
      <c r="D1315" t="s">
        <v>602</v>
      </c>
      <c r="E1315" t="s">
        <v>1</v>
      </c>
      <c r="G1315" t="s">
        <v>1726</v>
      </c>
      <c r="H1315" t="s">
        <v>601</v>
      </c>
      <c r="I1315">
        <v>-29.266400000000001</v>
      </c>
      <c r="J1315">
        <v>115.01</v>
      </c>
      <c r="K1315" t="str">
        <f>HYPERLINK("http://geossdi.dmp.wa.gov.au/NVCLDataServices/mosaic.html?datasetid=a45e02d0-459b-4dc0-8498-b0c4e1a3d54","Dongara 11_Core Image")</f>
        <v>Dongara 11_Core Image</v>
      </c>
    </row>
    <row r="1316" spans="1:11" x14ac:dyDescent="0.25">
      <c r="A1316" t="str">
        <f>HYPERLINK("http://www.corstruth.com.au/WA/Dongara_23_cs.png","Dongara 23_A4")</f>
        <v>Dongara 23_A4</v>
      </c>
      <c r="B1316" t="str">
        <f>HYPERLINK("http://www.corstruth.com.au/WA/PNG2/Dongara_23_cs.png","Dongara 23_0.25m Bins")</f>
        <v>Dongara 23_0.25m Bins</v>
      </c>
      <c r="C1316" t="str">
        <f>HYPERLINK("http://www.corstruth.com.au/WA/CSV/Dongara_23.csv","Dongara 23_CSV File 1m Bins")</f>
        <v>Dongara 23_CSV File 1m Bins</v>
      </c>
      <c r="D1316" t="s">
        <v>604</v>
      </c>
      <c r="E1316" t="s">
        <v>1</v>
      </c>
      <c r="G1316" t="s">
        <v>1726</v>
      </c>
      <c r="H1316" t="s">
        <v>601</v>
      </c>
      <c r="I1316">
        <v>-29.260999999999999</v>
      </c>
      <c r="J1316">
        <v>115.00700000000001</v>
      </c>
      <c r="K1316" t="str">
        <f>HYPERLINK("http://geossdi.dmp.wa.gov.au/NVCLDataServices/mosaic.html?datasetid=a552be5e-21e5-46b2-b7b3-26b58be6cc7","Dongara 23_Core Image")</f>
        <v>Dongara 23_Core Image</v>
      </c>
    </row>
    <row r="1317" spans="1:11" x14ac:dyDescent="0.25">
      <c r="A1317" t="str">
        <f>HYPERLINK("http://www.corstruth.com.au/WA/Cockburn_1_cs.png","Cockburn 1_A4")</f>
        <v>Cockburn 1_A4</v>
      </c>
      <c r="B1317" t="str">
        <f>HYPERLINK("http://www.corstruth.com.au/WA/PNG2/Cockburn_1_cs.png","Cockburn 1_0.25m Bins")</f>
        <v>Cockburn 1_0.25m Bins</v>
      </c>
      <c r="C1317" t="str">
        <f>HYPERLINK("http://www.corstruth.com.au/WA/CSV/Cockburn_1.csv","Cockburn 1_CSV File 1m Bins")</f>
        <v>Cockburn 1_CSV File 1m Bins</v>
      </c>
      <c r="D1317" t="s">
        <v>1729</v>
      </c>
      <c r="E1317" t="s">
        <v>1</v>
      </c>
      <c r="G1317" t="s">
        <v>1730</v>
      </c>
      <c r="H1317" t="s">
        <v>1731</v>
      </c>
      <c r="I1317">
        <v>-32.134799999999998</v>
      </c>
      <c r="J1317">
        <v>115.738</v>
      </c>
      <c r="K1317" t="str">
        <f>HYPERLINK("http://geossdi.dmp.wa.gov.au/NVCLDataServices/mosaic.html?datasetid=81aa41d5-528a-464f-b9ae-41131b88776","Cockburn 1_Core Image")</f>
        <v>Cockburn 1_Core Image</v>
      </c>
    </row>
    <row r="1318" spans="1:11" x14ac:dyDescent="0.25">
      <c r="A1318" t="str">
        <f>HYPERLINK("http://www.corstruth.com.au/WA/AR15_cs.png","AR15_A4")</f>
        <v>AR15_A4</v>
      </c>
      <c r="B1318" t="str">
        <f>HYPERLINK("http://www.corstruth.com.au/WA/PNG2/AR15_cs.png","AR15_0.25m Bins")</f>
        <v>AR15_0.25m Bins</v>
      </c>
      <c r="C1318" t="str">
        <f>HYPERLINK("http://www.corstruth.com.au/WA/CSV/AR15.csv","AR15_CSV File 1m Bins")</f>
        <v>AR15_CSV File 1m Bins</v>
      </c>
      <c r="D1318" t="s">
        <v>1732</v>
      </c>
      <c r="E1318" t="s">
        <v>1</v>
      </c>
      <c r="G1318" t="s">
        <v>1353</v>
      </c>
      <c r="H1318" t="s">
        <v>1733</v>
      </c>
      <c r="I1318">
        <v>-28.536200000000001</v>
      </c>
      <c r="J1318">
        <v>115.203</v>
      </c>
      <c r="K1318" t="str">
        <f>HYPERLINK("http://geossdi.dmp.wa.gov.au/NVCLDataServices/mosaic.html?datasetid=f841e11b-5cd8-4f3c-be1a-535684ebe40","AR15_Core Image")</f>
        <v>AR15_Core Image</v>
      </c>
    </row>
    <row r="1319" spans="1:11" x14ac:dyDescent="0.25">
      <c r="A1319" t="str">
        <f>HYPERLINK("http://www.corstruth.com.au/WA/Arrowsmith_2_cs.png","Arrowsmith 2_A4")</f>
        <v>Arrowsmith 2_A4</v>
      </c>
      <c r="B1319" t="str">
        <f>HYPERLINK("http://www.corstruth.com.au/WA/PNG2/Arrowsmith_2_cs.png","Arrowsmith 2_0.25m Bins")</f>
        <v>Arrowsmith 2_0.25m Bins</v>
      </c>
      <c r="C1319" t="str">
        <f>HYPERLINK("http://www.corstruth.com.au/WA/CSV/Arrowsmith_2.csv","Arrowsmith 2_CSV File 1m Bins")</f>
        <v>Arrowsmith 2_CSV File 1m Bins</v>
      </c>
      <c r="D1319" t="s">
        <v>276</v>
      </c>
      <c r="E1319" t="s">
        <v>1</v>
      </c>
      <c r="G1319" t="s">
        <v>1353</v>
      </c>
      <c r="H1319" t="s">
        <v>275</v>
      </c>
      <c r="I1319">
        <v>-29.613299999999999</v>
      </c>
      <c r="J1319">
        <v>115.121</v>
      </c>
      <c r="K1319" t="str">
        <f>HYPERLINK("http://geossdi.dmp.wa.gov.au/NVCLDataServices/mosaic.html?datasetid=239625a1-f1d6-42d2-bb1f-96ac721557f","Arrowsmith 2_Core Image")</f>
        <v>Arrowsmith 2_Core Image</v>
      </c>
    </row>
    <row r="1320" spans="1:11" x14ac:dyDescent="0.25">
      <c r="A1320" t="str">
        <f>HYPERLINK("http://www.corstruth.com.au/WA/DMP_Harvey_2_cs.png","DMP Harvey 2_A4")</f>
        <v>DMP Harvey 2_A4</v>
      </c>
      <c r="B1320" t="str">
        <f>HYPERLINK("http://www.corstruth.com.au/WA/PNG2/DMP_Harvey_2_cs.png","DMP Harvey 2_0.25m Bins")</f>
        <v>DMP Harvey 2_0.25m Bins</v>
      </c>
      <c r="C1320" t="str">
        <f>HYPERLINK("http://www.corstruth.com.au/WA/CSV/DMP_Harvey_2.csv","DMP Harvey 2_CSV File 1m Bins")</f>
        <v>DMP Harvey 2_CSV File 1m Bins</v>
      </c>
      <c r="D1320" t="s">
        <v>1734</v>
      </c>
      <c r="E1320" t="s">
        <v>1</v>
      </c>
      <c r="G1320" t="s">
        <v>1353</v>
      </c>
      <c r="H1320" t="s">
        <v>1735</v>
      </c>
      <c r="I1320">
        <v>-33.008800000000001</v>
      </c>
      <c r="J1320">
        <v>115.84399999999999</v>
      </c>
      <c r="K1320" t="str">
        <f>HYPERLINK("http://geossdi.dmp.wa.gov.au/NVCLDataServices/mosaic.html?datasetid=0e4e71ae-3f33-4ba9-985f-79c4c50d73f","DMP Harvey 2_Core Image")</f>
        <v>DMP Harvey 2_Core Image</v>
      </c>
    </row>
    <row r="1321" spans="1:11" x14ac:dyDescent="0.25">
      <c r="A1321" t="str">
        <f>HYPERLINK("http://www.corstruth.com.au/WA/DMP_Harvey_3_cs.png","DMP Harvey 3_A4")</f>
        <v>DMP Harvey 3_A4</v>
      </c>
      <c r="B1321" t="str">
        <f>HYPERLINK("http://www.corstruth.com.au/WA/PNG2/DMP_Harvey_3_cs.png","DMP Harvey 3_0.25m Bins")</f>
        <v>DMP Harvey 3_0.25m Bins</v>
      </c>
      <c r="C1321" t="str">
        <f>HYPERLINK("http://www.corstruth.com.au/WA/CSV/DMP_Harvey_3.csv","DMP Harvey 3_CSV File 1m Bins")</f>
        <v>DMP Harvey 3_CSV File 1m Bins</v>
      </c>
      <c r="D1321" t="s">
        <v>1736</v>
      </c>
      <c r="E1321" t="s">
        <v>1</v>
      </c>
      <c r="G1321" t="s">
        <v>1353</v>
      </c>
      <c r="H1321" t="s">
        <v>1735</v>
      </c>
      <c r="I1321">
        <v>-33.037599999999998</v>
      </c>
      <c r="J1321">
        <v>115.794</v>
      </c>
      <c r="K1321" t="str">
        <f>HYPERLINK("http://geossdi.dmp.wa.gov.au/NVCLDataServices/mosaic.html?datasetid=85512bc8-9358-4e0f-89f4-c0faa168922","DMP Harvey 3_Core Image")</f>
        <v>DMP Harvey 3_Core Image</v>
      </c>
    </row>
    <row r="1322" spans="1:11" x14ac:dyDescent="0.25">
      <c r="A1322" t="str">
        <f>HYPERLINK("http://www.corstruth.com.au/WA/DMP_Harvey_4_[core_3_&amp;_4]_cs.png","DMP Harvey 4 [core 3 &amp; 4]_A4")</f>
        <v>DMP Harvey 4 [core 3 &amp; 4]_A4</v>
      </c>
      <c r="B1322" t="str">
        <f>HYPERLINK("http://www.corstruth.com.au/WA/PNG2/DMP_Harvey_4_[core_3_&amp;_4]_cs.png","DMP Harvey 4 [core 3 &amp; 4]_0.25m Bins")</f>
        <v>DMP Harvey 4 [core 3 &amp; 4]_0.25m Bins</v>
      </c>
      <c r="C1322" t="str">
        <f>HYPERLINK("http://www.corstruth.com.au/WA/CSV/DMP_Harvey_4_[core_3_&amp;_4].csv","DMP Harvey 4 [core 3 &amp; 4]_CSV File 1m Bins")</f>
        <v>DMP Harvey 4 [core 3 &amp; 4]_CSV File 1m Bins</v>
      </c>
      <c r="D1322" t="s">
        <v>1737</v>
      </c>
      <c r="E1322" t="s">
        <v>1</v>
      </c>
      <c r="G1322" t="s">
        <v>1353</v>
      </c>
      <c r="H1322" t="s">
        <v>1735</v>
      </c>
      <c r="I1322">
        <v>-33.038400000000003</v>
      </c>
      <c r="J1322">
        <v>115.821</v>
      </c>
      <c r="K1322" t="str">
        <f>HYPERLINK("http://geossdi.dmp.wa.gov.au/NVCLDataServices/mosaic.html?datasetid=71253a70-8f2b-4979-988e-92a70976b82","DMP Harvey 4 [core 3 &amp; 4]_Core Image")</f>
        <v>DMP Harvey 4 [core 3 &amp; 4]_Core Image</v>
      </c>
    </row>
    <row r="1323" spans="1:11" x14ac:dyDescent="0.25">
      <c r="A1323" t="str">
        <f>HYPERLINK("http://www.corstruth.com.au/WA/Pinjarra_1_cs.png","Pinjarra 1_A4")</f>
        <v>Pinjarra 1_A4</v>
      </c>
      <c r="B1323" t="str">
        <f>HYPERLINK("http://www.corstruth.com.au/WA/PNG2/Pinjarra_1_cs.png","Pinjarra 1_0.25m Bins")</f>
        <v>Pinjarra 1_0.25m Bins</v>
      </c>
      <c r="C1323" t="str">
        <f>HYPERLINK("http://www.corstruth.com.au/WA/CSV/Pinjarra_1.csv","Pinjarra 1_CSV File 1m Bins")</f>
        <v>Pinjarra 1_CSV File 1m Bins</v>
      </c>
      <c r="D1323" t="s">
        <v>1738</v>
      </c>
      <c r="E1323" t="s">
        <v>1</v>
      </c>
      <c r="G1323" t="s">
        <v>1353</v>
      </c>
      <c r="H1323" t="s">
        <v>1735</v>
      </c>
      <c r="I1323">
        <v>-32.675600000000003</v>
      </c>
      <c r="J1323">
        <v>115.771</v>
      </c>
      <c r="K1323" t="str">
        <f>HYPERLINK("http://geossdi.dmp.wa.gov.au/NVCLDataServices/mosaic.html?datasetid=eb853a4a-286c-41b7-a49e-d76626cf0fe","Pinjarra 1_Core Image")</f>
        <v>Pinjarra 1_Core Image</v>
      </c>
    </row>
    <row r="1324" spans="1:11" x14ac:dyDescent="0.25">
      <c r="A1324" t="str">
        <f>HYPERLINK("http://www.corstruth.com.au/WA/85IRCH1_cs.png","85IRCH1_A4")</f>
        <v>85IRCH1_A4</v>
      </c>
      <c r="B1324" t="str">
        <f>HYPERLINK("http://www.corstruth.com.au/WA/PNG2/85IRCH1_cs.png","85IRCH1_0.25m Bins")</f>
        <v>85IRCH1_0.25m Bins</v>
      </c>
      <c r="C1324" t="str">
        <f>HYPERLINK("http://www.corstruth.com.au/WA/CSV/85IRCH1.csv","85IRCH1_CSV File 1m Bins")</f>
        <v>85IRCH1_CSV File 1m Bins</v>
      </c>
      <c r="D1324" t="s">
        <v>1739</v>
      </c>
      <c r="E1324" t="s">
        <v>1</v>
      </c>
      <c r="G1324" t="s">
        <v>1353</v>
      </c>
      <c r="H1324" t="s">
        <v>1740</v>
      </c>
      <c r="I1324">
        <v>-29.053699999999999</v>
      </c>
      <c r="J1324">
        <v>115.59699999999999</v>
      </c>
      <c r="K1324" t="str">
        <f>HYPERLINK("http://geossdi.dmp.wa.gov.au/NVCLDataServices/mosaic.html?datasetid=2957730c-ea2d-41ee-9b03-99978e3fab6","85IRCH1_Core Image")</f>
        <v>85IRCH1_Core Image</v>
      </c>
    </row>
    <row r="1325" spans="1:11" x14ac:dyDescent="0.25">
      <c r="A1325" t="str">
        <f>HYPERLINK("http://www.corstruth.com.au/WA/Centella_1_cs.png","Centella 1_A4")</f>
        <v>Centella 1_A4</v>
      </c>
      <c r="B1325" t="str">
        <f>HYPERLINK("http://www.corstruth.com.au/WA/PNG2/Centella_1_cs.png","Centella 1_0.25m Bins")</f>
        <v>Centella 1_0.25m Bins</v>
      </c>
      <c r="C1325" t="str">
        <f>HYPERLINK("http://www.corstruth.com.au/WA/CSV/Centella_1.csv","Centella 1_CSV File 1m Bins")</f>
        <v>Centella 1_CSV File 1m Bins</v>
      </c>
      <c r="D1325" t="s">
        <v>1741</v>
      </c>
      <c r="E1325" t="s">
        <v>1</v>
      </c>
      <c r="G1325" t="s">
        <v>1353</v>
      </c>
      <c r="H1325" t="s">
        <v>1742</v>
      </c>
      <c r="I1325">
        <v>-29.3005</v>
      </c>
      <c r="J1325">
        <v>115.10299999999999</v>
      </c>
      <c r="K1325" t="str">
        <f>HYPERLINK("http://geossdi.dmp.wa.gov.au/NVCLDataServices/mosaic.html?datasetid=584c45d1-1516-4d60-bfa1-74ced53873d","Centella 1_Core Image")</f>
        <v>Centella 1_Core Image</v>
      </c>
    </row>
    <row r="1326" spans="1:11" x14ac:dyDescent="0.25">
      <c r="A1326" t="str">
        <f>HYPERLINK("http://www.corstruth.com.au/WA/Corybas_1_cs.png","Corybas 1_A4")</f>
        <v>Corybas 1_A4</v>
      </c>
      <c r="B1326" t="str">
        <f>HYPERLINK("http://www.corstruth.com.au/WA/PNG2/Corybas_1_cs.png","Corybas 1_0.25m Bins")</f>
        <v>Corybas 1_0.25m Bins</v>
      </c>
      <c r="C1326" t="str">
        <f>HYPERLINK("http://www.corstruth.com.au/WA/CSV/Corybas_1.csv","Corybas 1_CSV File 1m Bins")</f>
        <v>Corybas 1_CSV File 1m Bins</v>
      </c>
      <c r="D1326" t="s">
        <v>594</v>
      </c>
      <c r="E1326" t="s">
        <v>1</v>
      </c>
      <c r="G1326" t="s">
        <v>1353</v>
      </c>
      <c r="H1326" t="s">
        <v>595</v>
      </c>
      <c r="I1326">
        <v>-29.200600000000001</v>
      </c>
      <c r="J1326">
        <v>115.053</v>
      </c>
      <c r="K1326" t="str">
        <f>HYPERLINK("http://geossdi.dmp.wa.gov.au/NVCLDataServices/mosaic.html?datasetid=03b6c284-ed92-46a8-9cdb-760c2a0a0a2","Corybas 1_Core Image")</f>
        <v>Corybas 1_Core Image</v>
      </c>
    </row>
    <row r="1327" spans="1:11" x14ac:dyDescent="0.25">
      <c r="A1327" t="str">
        <f>HYPERLINK("http://www.corstruth.com.au/WA/Drover_1_cs.png","Drover 1_A4")</f>
        <v>Drover 1_A4</v>
      </c>
      <c r="B1327" t="str">
        <f>HYPERLINK("http://www.corstruth.com.au/WA/PNG2/Drover_1_cs.png","Drover 1_0.25m Bins")</f>
        <v>Drover 1_0.25m Bins</v>
      </c>
      <c r="C1327" t="str">
        <f>HYPERLINK("http://www.corstruth.com.au/WA/CSV/Drover_1.csv","Drover 1_CSV File 1m Bins")</f>
        <v>Drover 1_CSV File 1m Bins</v>
      </c>
      <c r="D1327" t="s">
        <v>1743</v>
      </c>
      <c r="E1327" t="s">
        <v>1</v>
      </c>
      <c r="G1327" t="s">
        <v>1353</v>
      </c>
      <c r="H1327" t="s">
        <v>1744</v>
      </c>
      <c r="I1327">
        <v>-30.077400000000001</v>
      </c>
      <c r="J1327">
        <v>115.14700000000001</v>
      </c>
      <c r="K1327" t="str">
        <f>HYPERLINK("http://geossdi.dmp.wa.gov.au/NVCLDataServices/mosaic.html?datasetid=2348903d-1400-4111-9079-0cc81c2af9a","Drover 1_Core Image")</f>
        <v>Drover 1_Core Image</v>
      </c>
    </row>
    <row r="1328" spans="1:11" x14ac:dyDescent="0.25">
      <c r="A1328" t="str">
        <f>HYPERLINK("http://www.corstruth.com.au/WA/Gingin_1_cs.png","Gingin 1_A4")</f>
        <v>Gingin 1_A4</v>
      </c>
      <c r="B1328" t="str">
        <f>HYPERLINK("http://www.corstruth.com.au/WA/PNG2/Gingin_1_cs.png","Gingin 1_0.25m Bins")</f>
        <v>Gingin 1_0.25m Bins</v>
      </c>
      <c r="C1328" t="str">
        <f>HYPERLINK("http://www.corstruth.com.au/WA/CSV/Gingin_1.csv","Gingin 1_CSV File 1m Bins")</f>
        <v>Gingin 1_CSV File 1m Bins</v>
      </c>
      <c r="D1328" t="s">
        <v>1664</v>
      </c>
      <c r="E1328" t="s">
        <v>1</v>
      </c>
      <c r="G1328" t="s">
        <v>1353</v>
      </c>
      <c r="H1328" t="s">
        <v>71</v>
      </c>
      <c r="I1328">
        <v>-31.1431</v>
      </c>
      <c r="J1328">
        <v>115.827</v>
      </c>
      <c r="K1328" t="str">
        <f>HYPERLINK("http://geossdi.dmp.wa.gov.au/NVCLDataServices/mosaic.html?datasetid=da5180e1-5dd7-4906-8879-d6edcf1df15","Gingin 1_Core Image")</f>
        <v>Gingin 1_Core Image</v>
      </c>
    </row>
    <row r="1329" spans="1:11" x14ac:dyDescent="0.25">
      <c r="A1329" t="str">
        <f>HYPERLINK("http://www.corstruth.com.au/WA/Mondarra_8_cs.png","Mondarra 8_A4")</f>
        <v>Mondarra 8_A4</v>
      </c>
      <c r="B1329" t="str">
        <f>HYPERLINK("http://www.corstruth.com.au/WA/PNG2/Mondarra_8_cs.png","Mondarra 8_0.25m Bins")</f>
        <v>Mondarra 8_0.25m Bins</v>
      </c>
      <c r="C1329" t="str">
        <f>HYPERLINK("http://www.corstruth.com.au/WA/CSV/Mondarra_8.csv","Mondarra 8_CSV File 1m Bins")</f>
        <v>Mondarra 8_CSV File 1m Bins</v>
      </c>
      <c r="D1329" t="s">
        <v>1745</v>
      </c>
      <c r="E1329" t="s">
        <v>1</v>
      </c>
      <c r="G1329" t="s">
        <v>1353</v>
      </c>
      <c r="H1329" t="s">
        <v>1372</v>
      </c>
      <c r="I1329">
        <v>-29.312100000000001</v>
      </c>
      <c r="J1329">
        <v>115.119</v>
      </c>
      <c r="K1329" t="str">
        <f>HYPERLINK("http://geossdi.dmp.wa.gov.au/NVCLDataServices/mosaic.html?datasetid=82ea0e57-d2b7-434d-ae75-287bf89d43c","Mondarra 8_Core Image")</f>
        <v>Mondarra 8_Core Image</v>
      </c>
    </row>
    <row r="1330" spans="1:11" x14ac:dyDescent="0.25">
      <c r="A1330" t="str">
        <f>HYPERLINK("http://www.corstruth.com.au/WA/OXDD003A_cs.png","OXDD003A_A4")</f>
        <v>OXDD003A_A4</v>
      </c>
      <c r="B1330" t="str">
        <f>HYPERLINK("http://www.corstruth.com.au/WA/PNG2/OXDD003A_cs.png","OXDD003A_0.25m Bins")</f>
        <v>OXDD003A_0.25m Bins</v>
      </c>
      <c r="C1330" t="str">
        <f>HYPERLINK("http://www.corstruth.com.au/WA/CSV/OXDD003A.csv","OXDD003A_CSV File 1m Bins")</f>
        <v>OXDD003A_CSV File 1m Bins</v>
      </c>
      <c r="D1330" t="s">
        <v>1746</v>
      </c>
      <c r="E1330" t="s">
        <v>1</v>
      </c>
      <c r="G1330" t="s">
        <v>1353</v>
      </c>
      <c r="H1330" t="s">
        <v>1747</v>
      </c>
      <c r="I1330">
        <v>-29.206800000000001</v>
      </c>
      <c r="J1330">
        <v>115.822</v>
      </c>
      <c r="K1330" t="str">
        <f>HYPERLINK("http://geossdi.dmp.wa.gov.au/NVCLDataServices/mosaic.html?datasetid=bb61db0b-690f-4c13-abbb-60010de8a11","OXDD003A_Core Image")</f>
        <v>OXDD003A_Core Image</v>
      </c>
    </row>
    <row r="1331" spans="1:11" x14ac:dyDescent="0.25">
      <c r="A1331" t="str">
        <f>HYPERLINK("http://www.corstruth.com.au/WA/OXDD003B_cs.png","OXDD003B_A4")</f>
        <v>OXDD003B_A4</v>
      </c>
      <c r="B1331" t="str">
        <f>HYPERLINK("http://www.corstruth.com.au/WA/PNG2/OXDD003B_cs.png","OXDD003B_0.25m Bins")</f>
        <v>OXDD003B_0.25m Bins</v>
      </c>
      <c r="C1331" t="str">
        <f>HYPERLINK("http://www.corstruth.com.au/WA/CSV/OXDD003B.csv","OXDD003B_CSV File 1m Bins")</f>
        <v>OXDD003B_CSV File 1m Bins</v>
      </c>
      <c r="D1331" t="s">
        <v>1748</v>
      </c>
      <c r="E1331" t="s">
        <v>1</v>
      </c>
      <c r="G1331" t="s">
        <v>1353</v>
      </c>
      <c r="H1331" t="s">
        <v>1749</v>
      </c>
      <c r="I1331">
        <v>-29.206700000000001</v>
      </c>
      <c r="J1331">
        <v>115.822</v>
      </c>
      <c r="K1331" t="str">
        <f>HYPERLINK("http://geossdi.dmp.wa.gov.au/NVCLDataServices/mosaic.html?datasetid=4f819360-5589-41d9-9087-a87a4200daf","OXDD003B_Core Image")</f>
        <v>OXDD003B_Core Image</v>
      </c>
    </row>
    <row r="1332" spans="1:11" x14ac:dyDescent="0.25">
      <c r="A1332" t="str">
        <f>HYPERLINK("http://www.corstruth.com.au/WA/OXDD001_cs.png","OXDD001_A4")</f>
        <v>OXDD001_A4</v>
      </c>
      <c r="B1332" t="str">
        <f>HYPERLINK("http://www.corstruth.com.au/WA/PNG2/OXDD001_cs.png","OXDD001_0.25m Bins")</f>
        <v>OXDD001_0.25m Bins</v>
      </c>
      <c r="C1332" t="str">
        <f>HYPERLINK("http://www.corstruth.com.au/WA/CSV/OXDD001.csv","OXDD001_CSV File 1m Bins")</f>
        <v>OXDD001_CSV File 1m Bins</v>
      </c>
      <c r="D1332" t="s">
        <v>1750</v>
      </c>
      <c r="E1332" t="s">
        <v>1</v>
      </c>
      <c r="G1332" t="s">
        <v>1353</v>
      </c>
      <c r="H1332" t="s">
        <v>1751</v>
      </c>
      <c r="I1332">
        <v>-29.207699999999999</v>
      </c>
      <c r="J1332">
        <v>115.839</v>
      </c>
      <c r="K1332" t="str">
        <f>HYPERLINK("http://geossdi.dmp.wa.gov.au/NVCLDataServices/mosaic.html?datasetid=97395e7d-e2bc-47aa-a133-a6514716f43","OXDD001_Core Image")</f>
        <v>OXDD001_Core Image</v>
      </c>
    </row>
    <row r="1333" spans="1:11" x14ac:dyDescent="0.25">
      <c r="A1333" t="str">
        <f>HYPERLINK("http://www.corstruth.com.au/WA/OXDD002_cs.png","OXDD002_A4")</f>
        <v>OXDD002_A4</v>
      </c>
      <c r="B1333" t="str">
        <f>HYPERLINK("http://www.corstruth.com.au/WA/PNG2/OXDD002_cs.png","OXDD002_0.25m Bins")</f>
        <v>OXDD002_0.25m Bins</v>
      </c>
      <c r="C1333" t="str">
        <f>HYPERLINK("http://www.corstruth.com.au/WA/CSV/OXDD002.csv","OXDD002_CSV File 1m Bins")</f>
        <v>OXDD002_CSV File 1m Bins</v>
      </c>
      <c r="D1333" t="s">
        <v>1752</v>
      </c>
      <c r="E1333" t="s">
        <v>1</v>
      </c>
      <c r="G1333" t="s">
        <v>1353</v>
      </c>
      <c r="H1333" t="s">
        <v>1751</v>
      </c>
      <c r="I1333">
        <v>-29.205200000000001</v>
      </c>
      <c r="J1333">
        <v>115.83</v>
      </c>
      <c r="K1333" t="str">
        <f>HYPERLINK("http://geossdi.dmp.wa.gov.au/NVCLDataServices/mosaic.html?datasetid=9f172fea-ff1f-4553-977d-906251e082e","OXDD002_Core Image")</f>
        <v>OXDD002_Core Image</v>
      </c>
    </row>
    <row r="1334" spans="1:11" x14ac:dyDescent="0.25">
      <c r="A1334" t="str">
        <f>HYPERLINK("http://www.corstruth.com.au/WA/Senecio_3_cs.png","Senecio 3_A4")</f>
        <v>Senecio 3_A4</v>
      </c>
      <c r="B1334" t="str">
        <f>HYPERLINK("http://www.corstruth.com.au/WA/PNG2/Senecio_3_cs.png","Senecio 3_0.25m Bins")</f>
        <v>Senecio 3_0.25m Bins</v>
      </c>
      <c r="C1334" t="str">
        <f>HYPERLINK("http://www.corstruth.com.au/WA/CSV/Senecio_3.csv","Senecio 3_CSV File 1m Bins")</f>
        <v>Senecio 3_CSV File 1m Bins</v>
      </c>
      <c r="D1334" t="s">
        <v>1753</v>
      </c>
      <c r="E1334" t="s">
        <v>1</v>
      </c>
      <c r="G1334" t="s">
        <v>1353</v>
      </c>
      <c r="H1334" t="s">
        <v>1754</v>
      </c>
      <c r="I1334">
        <v>-29.2531</v>
      </c>
      <c r="J1334">
        <v>115.08</v>
      </c>
      <c r="K1334" t="str">
        <f>HYPERLINK("http://geossdi.dmp.wa.gov.au/NVCLDataServices/mosaic.html?datasetid=347f0caf-8bca-4fb8-8907-97dcd2a3f08","Senecio 3_Core Image")</f>
        <v>Senecio 3_Core Image</v>
      </c>
    </row>
    <row r="1335" spans="1:11" x14ac:dyDescent="0.25">
      <c r="A1335" t="str">
        <f>HYPERLINK("http://www.corstruth.com.au/WA/RBCH7_cs.png","RBCH7_A4")</f>
        <v>RBCH7_A4</v>
      </c>
      <c r="B1335" t="str">
        <f>HYPERLINK("http://www.corstruth.com.au/WA/PNG2/RBCH7_cs.png","RBCH7_0.25m Bins")</f>
        <v>RBCH7_0.25m Bins</v>
      </c>
      <c r="C1335" t="str">
        <f>HYPERLINK("http://www.corstruth.com.au/WA/CSV/RBCH7.csv","RBCH7_CSV File 1m Bins")</f>
        <v>RBCH7_CSV File 1m Bins</v>
      </c>
      <c r="D1335" t="s">
        <v>1755</v>
      </c>
      <c r="E1335" t="s">
        <v>1</v>
      </c>
      <c r="G1335" t="s">
        <v>1353</v>
      </c>
      <c r="H1335" t="s">
        <v>1756</v>
      </c>
      <c r="I1335">
        <v>-33.923400000000001</v>
      </c>
      <c r="J1335">
        <v>115.23399999999999</v>
      </c>
      <c r="K1335" t="str">
        <f>HYPERLINK("http://geossdi.dmp.wa.gov.au/NVCLDataServices/mosaic.html?datasetid=a015488f-3010-42f4-acc1-55c8bfa693f","RBCH7_Core Image")</f>
        <v>RBCH7_Core Image</v>
      </c>
    </row>
    <row r="1336" spans="1:11" x14ac:dyDescent="0.25">
      <c r="A1336" t="str">
        <f>HYPERLINK("http://www.corstruth.com.au/WA/CRCH1_cs.png","CRCH1_A4")</f>
        <v>CRCH1_A4</v>
      </c>
      <c r="B1336" t="str">
        <f>HYPERLINK("http://www.corstruth.com.au/WA/PNG2/CRCH1_cs.png","CRCH1_0.25m Bins")</f>
        <v>CRCH1_0.25m Bins</v>
      </c>
      <c r="C1336" t="str">
        <f>HYPERLINK("http://www.corstruth.com.au/WA/CSV/CRCH1.csv","CRCH1_CSV File 1m Bins")</f>
        <v>CRCH1_CSV File 1m Bins</v>
      </c>
      <c r="D1336" t="s">
        <v>1757</v>
      </c>
      <c r="E1336" t="s">
        <v>1</v>
      </c>
      <c r="G1336" t="s">
        <v>1353</v>
      </c>
      <c r="H1336" t="s">
        <v>1758</v>
      </c>
      <c r="I1336">
        <v>-33.763199999999998</v>
      </c>
      <c r="J1336">
        <v>115.184</v>
      </c>
      <c r="K1336" t="str">
        <f>HYPERLINK("http://geossdi.dmp.wa.gov.au/NVCLDataServices/mosaic.html?datasetid=8a685a6b-b6cf-4ddd-b3cf-c0918052c62","CRCH1_Core Image")</f>
        <v>CRCH1_Core Image</v>
      </c>
    </row>
    <row r="1337" spans="1:11" x14ac:dyDescent="0.25">
      <c r="A1337" t="str">
        <f>HYPERLINK("http://www.corstruth.com.au/WA/CRCH3_cs.png","CRCH3_A4")</f>
        <v>CRCH3_A4</v>
      </c>
      <c r="B1337" t="str">
        <f>HYPERLINK("http://www.corstruth.com.au/WA/PNG2/CRCH3_cs.png","CRCH3_0.25m Bins")</f>
        <v>CRCH3_0.25m Bins</v>
      </c>
      <c r="C1337" t="str">
        <f>HYPERLINK("http://www.corstruth.com.au/WA/CSV/CRCH3.csv","CRCH3_CSV File 1m Bins")</f>
        <v>CRCH3_CSV File 1m Bins</v>
      </c>
      <c r="D1337" t="s">
        <v>1759</v>
      </c>
      <c r="E1337" t="s">
        <v>1</v>
      </c>
      <c r="G1337" t="s">
        <v>1353</v>
      </c>
      <c r="H1337" t="s">
        <v>1758</v>
      </c>
      <c r="I1337">
        <v>-33.7104</v>
      </c>
      <c r="J1337">
        <v>115.199</v>
      </c>
      <c r="K1337" t="str">
        <f>HYPERLINK("http://geossdi.dmp.wa.gov.au/NVCLDataServices/mosaic.html?datasetid=21582e50-c7e9-485e-b6c1-ee4df97bf4b","CRCH3_Core Image")</f>
        <v>CRCH3_Core Image</v>
      </c>
    </row>
    <row r="1338" spans="1:11" x14ac:dyDescent="0.25">
      <c r="A1338" t="str">
        <f>HYPERLINK("http://www.corstruth.com.au/WA/CRCH4_cs.png","CRCH4_A4")</f>
        <v>CRCH4_A4</v>
      </c>
      <c r="B1338" t="str">
        <f>HYPERLINK("http://www.corstruth.com.au/WA/PNG2/CRCH4_cs.png","CRCH4_0.25m Bins")</f>
        <v>CRCH4_0.25m Bins</v>
      </c>
      <c r="C1338" t="str">
        <f>HYPERLINK("http://www.corstruth.com.au/WA/CSV/CRCH4.csv","CRCH4_CSV File 1m Bins")</f>
        <v>CRCH4_CSV File 1m Bins</v>
      </c>
      <c r="D1338" t="s">
        <v>1760</v>
      </c>
      <c r="E1338" t="s">
        <v>1</v>
      </c>
      <c r="G1338" t="s">
        <v>1353</v>
      </c>
      <c r="H1338" t="s">
        <v>1758</v>
      </c>
      <c r="I1338">
        <v>-33.676000000000002</v>
      </c>
      <c r="J1338">
        <v>115.184</v>
      </c>
      <c r="K1338" t="str">
        <f>HYPERLINK("http://geossdi.dmp.wa.gov.au/NVCLDataServices/mosaic.html?datasetid=fcaa7b57-4871-4b1f-8c7f-d580d49b1a5","CRCH4_Core Image")</f>
        <v>CRCH4_Core Image</v>
      </c>
    </row>
    <row r="1339" spans="1:11" x14ac:dyDescent="0.25">
      <c r="A1339" t="str">
        <f>HYPERLINK("http://www.corstruth.com.au/WA/MCH1_cs.png","MCH1_A4")</f>
        <v>MCH1_A4</v>
      </c>
      <c r="B1339" t="str">
        <f>HYPERLINK("http://www.corstruth.com.au/WA/PNG2/MCH1_cs.png","MCH1_0.25m Bins")</f>
        <v>MCH1_0.25m Bins</v>
      </c>
      <c r="C1339" t="str">
        <f>HYPERLINK("http://www.corstruth.com.au/WA/CSV/MCH1.csv","MCH1_CSV File 1m Bins")</f>
        <v>MCH1_CSV File 1m Bins</v>
      </c>
      <c r="D1339" t="s">
        <v>1761</v>
      </c>
      <c r="E1339" t="s">
        <v>1</v>
      </c>
      <c r="G1339" t="s">
        <v>1353</v>
      </c>
      <c r="H1339" t="s">
        <v>1762</v>
      </c>
      <c r="I1339">
        <v>-33.722499999999997</v>
      </c>
      <c r="J1339">
        <v>115.136</v>
      </c>
      <c r="K1339" t="str">
        <f>HYPERLINK("http://geossdi.dmp.wa.gov.au/NVCLDataServices/mosaic.html?datasetid=ce898081-8725-4493-b291-0eaeceecbe4","MCH1_Core Image")</f>
        <v>MCH1_Core Image</v>
      </c>
    </row>
    <row r="1340" spans="1:11" x14ac:dyDescent="0.25">
      <c r="A1340" t="str">
        <f>HYPERLINK("http://www.corstruth.com.au/WA/MCH1A_cs.png","MCH1A_A4")</f>
        <v>MCH1A_A4</v>
      </c>
      <c r="B1340" t="str">
        <f>HYPERLINK("http://www.corstruth.com.au/WA/PNG2/MCH1A_cs.png","MCH1A_0.25m Bins")</f>
        <v>MCH1A_0.25m Bins</v>
      </c>
      <c r="C1340" t="str">
        <f>HYPERLINK("http://www.corstruth.com.au/WA/CSV/MCH1A.csv","MCH1A_CSV File 1m Bins")</f>
        <v>MCH1A_CSV File 1m Bins</v>
      </c>
      <c r="D1340" t="s">
        <v>1763</v>
      </c>
      <c r="E1340" t="s">
        <v>1</v>
      </c>
      <c r="G1340" t="s">
        <v>1353</v>
      </c>
      <c r="H1340" t="s">
        <v>1762</v>
      </c>
      <c r="I1340">
        <v>-33.722499999999997</v>
      </c>
      <c r="J1340">
        <v>115.136</v>
      </c>
      <c r="K1340" t="str">
        <f>HYPERLINK("http://geossdi.dmp.wa.gov.au/NVCLDataServices/mosaic.html?datasetid=057e66dc-a1b3-465b-a419-66eeb94b7c2","MCH1A_Core Image")</f>
        <v>MCH1A_Core Image</v>
      </c>
    </row>
    <row r="1341" spans="1:11" x14ac:dyDescent="0.25">
      <c r="A1341" t="str">
        <f>HYPERLINK("http://www.corstruth.com.au/WA/VSCH1_cs.png","VSCH1_A4")</f>
        <v>VSCH1_A4</v>
      </c>
      <c r="B1341" t="str">
        <f>HYPERLINK("http://www.corstruth.com.au/WA/PNG2/VSCH1_cs.png","VSCH1_0.25m Bins")</f>
        <v>VSCH1_0.25m Bins</v>
      </c>
      <c r="C1341" t="str">
        <f>HYPERLINK("http://www.corstruth.com.au/WA/CSV/VSCH1.csv","VSCH1_CSV File 1m Bins")</f>
        <v>VSCH1_CSV File 1m Bins</v>
      </c>
      <c r="D1341" t="s">
        <v>1764</v>
      </c>
      <c r="E1341" t="s">
        <v>1</v>
      </c>
      <c r="G1341" t="s">
        <v>1353</v>
      </c>
      <c r="H1341" t="s">
        <v>1765</v>
      </c>
      <c r="I1341">
        <v>-33.898499999999999</v>
      </c>
      <c r="J1341">
        <v>115.21299999999999</v>
      </c>
      <c r="K1341" t="str">
        <f>HYPERLINK("http://geossdi.dmp.wa.gov.au/NVCLDataServices/mosaic.html?datasetid=2b15b626-ad16-4d49-9a58-15bc21cb2e2","VSCH1_Core Image")</f>
        <v>VSCH1_Core Image</v>
      </c>
    </row>
    <row r="1342" spans="1:11" x14ac:dyDescent="0.25">
      <c r="A1342" t="str">
        <f>HYPERLINK("http://www.corstruth.com.au/WA/VSCH4_cs.png","VSCH4_A4")</f>
        <v>VSCH4_A4</v>
      </c>
      <c r="B1342" t="str">
        <f>HYPERLINK("http://www.corstruth.com.au/WA/PNG2/VSCH4_cs.png","VSCH4_0.25m Bins")</f>
        <v>VSCH4_0.25m Bins</v>
      </c>
      <c r="C1342" t="str">
        <f>HYPERLINK("http://www.corstruth.com.au/WA/CSV/VSCH4.csv","VSCH4_CSV File 1m Bins")</f>
        <v>VSCH4_CSV File 1m Bins</v>
      </c>
      <c r="D1342" t="s">
        <v>1766</v>
      </c>
      <c r="E1342" t="s">
        <v>1</v>
      </c>
      <c r="G1342" t="s">
        <v>1353</v>
      </c>
      <c r="H1342" t="s">
        <v>1765</v>
      </c>
      <c r="I1342">
        <v>-33.903700000000001</v>
      </c>
      <c r="J1342">
        <v>115.23099999999999</v>
      </c>
      <c r="K1342" t="str">
        <f>HYPERLINK("http://geossdi.dmp.wa.gov.au/NVCLDataServices/mosaic.html?datasetid=e12eecfc-fc73-42c3-9131-8de5614bf7f","VSCH4_Core Image")</f>
        <v>VSCH4_Core Image</v>
      </c>
    </row>
    <row r="1343" spans="1:11" x14ac:dyDescent="0.25">
      <c r="A1343" t="str">
        <f>HYPERLINK("http://www.corstruth.com.au/WA/VCH1_cs.png","VCH1_A4")</f>
        <v>VCH1_A4</v>
      </c>
      <c r="B1343" t="str">
        <f>HYPERLINK("http://www.corstruth.com.au/WA/PNG2/VCH1_cs.png","VCH1_0.25m Bins")</f>
        <v>VCH1_0.25m Bins</v>
      </c>
      <c r="C1343" t="str">
        <f>HYPERLINK("http://www.corstruth.com.au/WA/CSV/VCH1.csv","VCH1_CSV File 1m Bins")</f>
        <v>VCH1_CSV File 1m Bins</v>
      </c>
      <c r="D1343" t="s">
        <v>1767</v>
      </c>
      <c r="E1343" t="s">
        <v>1</v>
      </c>
      <c r="G1343" t="s">
        <v>1353</v>
      </c>
      <c r="H1343" t="s">
        <v>1768</v>
      </c>
      <c r="I1343">
        <v>-33.702800000000003</v>
      </c>
      <c r="J1343">
        <v>115.271</v>
      </c>
      <c r="K1343" t="str">
        <f>HYPERLINK("http://geossdi.dmp.wa.gov.au/NVCLDataServices/mosaic.html?datasetid=23a36986-49a2-44b7-8266-4a073c8bc3b","VCH1_Core Image")</f>
        <v>VCH1_Core Image</v>
      </c>
    </row>
    <row r="1344" spans="1:11" x14ac:dyDescent="0.25">
      <c r="A1344" t="str">
        <f>HYPERLINK("http://www.corstruth.com.au/WA/Waitsia_1_cs.png","Waitsia 1_A4")</f>
        <v>Waitsia 1_A4</v>
      </c>
      <c r="B1344" t="str">
        <f>HYPERLINK("http://www.corstruth.com.au/WA/PNG2/Waitsia_1_cs.png","Waitsia 1_0.25m Bins")</f>
        <v>Waitsia 1_0.25m Bins</v>
      </c>
      <c r="C1344" t="str">
        <f>HYPERLINK("http://www.corstruth.com.au/WA/CSV/Waitsia_1.csv","Waitsia 1_CSV File 1m Bins")</f>
        <v>Waitsia 1_CSV File 1m Bins</v>
      </c>
      <c r="D1344" t="s">
        <v>1769</v>
      </c>
      <c r="E1344" t="s">
        <v>1</v>
      </c>
      <c r="G1344" t="s">
        <v>1353</v>
      </c>
      <c r="H1344" t="s">
        <v>1713</v>
      </c>
      <c r="I1344">
        <v>-29.253299999999999</v>
      </c>
      <c r="J1344">
        <v>115.111</v>
      </c>
      <c r="K1344" t="str">
        <f>HYPERLINK("http://geossdi.dmp.wa.gov.au/NVCLDataServices/mosaic.html?datasetid=4ea2b101-1809-4159-b745-63b2be9ebbe","Waitsia 1_Core Image")</f>
        <v>Waitsia 1_Core Image</v>
      </c>
    </row>
    <row r="1345" spans="1:11" x14ac:dyDescent="0.25">
      <c r="A1345" t="str">
        <f>HYPERLINK("http://www.corstruth.com.au/WA/Warradong_1_cs.png","Warradong 1_A4")</f>
        <v>Warradong 1_A4</v>
      </c>
      <c r="B1345" t="str">
        <f>HYPERLINK("http://www.corstruth.com.au/WA/PNG2/Warradong_1_cs.png","Warradong 1_0.25m Bins")</f>
        <v>Warradong 1_0.25m Bins</v>
      </c>
      <c r="C1345" t="str">
        <f>HYPERLINK("http://www.corstruth.com.au/WA/CSV/Warradong_1.csv","Warradong 1_CSV File 1m Bins")</f>
        <v>Warradong 1_CSV File 1m Bins</v>
      </c>
      <c r="D1345" t="s">
        <v>1770</v>
      </c>
      <c r="E1345" t="s">
        <v>1</v>
      </c>
      <c r="G1345" t="s">
        <v>1353</v>
      </c>
      <c r="H1345" t="s">
        <v>1771</v>
      </c>
      <c r="I1345">
        <v>-29.3003</v>
      </c>
      <c r="J1345">
        <v>115.173</v>
      </c>
      <c r="K1345" t="str">
        <f>HYPERLINK("http://geossdi.dmp.wa.gov.au/NVCLDataServices/mosaic.html?datasetid=5117f256-35d7-440b-bb3a-252df5f39e3","Warradong 1_Core Image")</f>
        <v>Warradong 1_Core Image</v>
      </c>
    </row>
    <row r="1346" spans="1:11" x14ac:dyDescent="0.25">
      <c r="A1346" t="str">
        <f>HYPERLINK("http://www.corstruth.com.au/WA/Woodada_Deep_1_cs.png","Woodada Deep 1_A4")</f>
        <v>Woodada Deep 1_A4</v>
      </c>
      <c r="B1346" t="str">
        <f>HYPERLINK("http://www.corstruth.com.au/WA/PNG2/Woodada_Deep_1_cs.png","Woodada Deep 1_0.25m Bins")</f>
        <v>Woodada Deep 1_0.25m Bins</v>
      </c>
      <c r="C1346" t="str">
        <f>HYPERLINK("http://www.corstruth.com.au/WA/CSV/Woodada_Deep_1.csv","Woodada Deep 1_CSV File 1m Bins")</f>
        <v>Woodada Deep 1_CSV File 1m Bins</v>
      </c>
      <c r="D1346" t="s">
        <v>1772</v>
      </c>
      <c r="E1346" t="s">
        <v>1</v>
      </c>
      <c r="G1346" t="s">
        <v>1353</v>
      </c>
      <c r="H1346" t="s">
        <v>1773</v>
      </c>
      <c r="I1346">
        <v>-29.8338</v>
      </c>
      <c r="J1346">
        <v>115.14400000000001</v>
      </c>
      <c r="K1346" t="str">
        <f>HYPERLINK("http://geossdi.dmp.wa.gov.au/NVCLDataServices/mosaic.html?datasetid=4fb31694-4585-4b44-9c96-21b52739eab","Woodada Deep 1_Core Image")</f>
        <v>Woodada Deep 1_Core Image</v>
      </c>
    </row>
    <row r="1347" spans="1:11" x14ac:dyDescent="0.25">
      <c r="A1347" t="str">
        <f>HYPERLINK("http://www.corstruth.com.au/WA/Yardarino_1_cs.png","Yardarino 1_A4")</f>
        <v>Yardarino 1_A4</v>
      </c>
      <c r="B1347" t="str">
        <f>HYPERLINK("http://www.corstruth.com.au/WA/PNG2/Yardarino_1_cs.png","Yardarino 1_0.25m Bins")</f>
        <v>Yardarino 1_0.25m Bins</v>
      </c>
      <c r="C1347" t="str">
        <f>HYPERLINK("http://www.corstruth.com.au/WA/CSV/Yardarino_1.csv","Yardarino 1_CSV File 1m Bins")</f>
        <v>Yardarino 1_CSV File 1m Bins</v>
      </c>
      <c r="D1347" t="s">
        <v>1774</v>
      </c>
      <c r="E1347" t="s">
        <v>1</v>
      </c>
      <c r="G1347" t="s">
        <v>1353</v>
      </c>
      <c r="H1347" t="s">
        <v>1775</v>
      </c>
      <c r="I1347">
        <v>-29.220800000000001</v>
      </c>
      <c r="J1347">
        <v>115.056</v>
      </c>
      <c r="K1347" t="str">
        <f>HYPERLINK("http://geossdi.dmp.wa.gov.au/NVCLDataServices/mosaic.html?datasetid=289df858-bdd7-45ca-abc3-7adc814ac40","Yardarino 1_Core Image")</f>
        <v>Yardarino 1_Core Image</v>
      </c>
    </row>
    <row r="1348" spans="1:11" x14ac:dyDescent="0.25">
      <c r="A1348" t="str">
        <f>HYPERLINK("http://www.corstruth.com.au/WA/Yardarino_2_cs.png","Yardarino 2_A4")</f>
        <v>Yardarino 2_A4</v>
      </c>
      <c r="B1348" t="str">
        <f>HYPERLINK("http://www.corstruth.com.au/WA/PNG2/Yardarino_2_cs.png","Yardarino 2_0.25m Bins")</f>
        <v>Yardarino 2_0.25m Bins</v>
      </c>
      <c r="C1348" t="str">
        <f>HYPERLINK("http://www.corstruth.com.au/WA/CSV/Yardarino_2.csv","Yardarino 2_CSV File 1m Bins")</f>
        <v>Yardarino 2_CSV File 1m Bins</v>
      </c>
      <c r="D1348" t="s">
        <v>1776</v>
      </c>
      <c r="E1348" t="s">
        <v>1</v>
      </c>
      <c r="G1348" t="s">
        <v>1353</v>
      </c>
      <c r="H1348" t="s">
        <v>1775</v>
      </c>
      <c r="I1348">
        <v>-29.2043</v>
      </c>
      <c r="J1348">
        <v>115.066</v>
      </c>
      <c r="K1348" t="str">
        <f>HYPERLINK("http://geossdi.dmp.wa.gov.au/NVCLDataServices/mosaic.html?datasetid=e0592fa3-20cf-4a63-b8b3-bb6c7335895","Yardarino 2_Core Image")</f>
        <v>Yardarino 2_Core Image</v>
      </c>
    </row>
    <row r="1349" spans="1:11" x14ac:dyDescent="0.25">
      <c r="A1349" t="str">
        <f>HYPERLINK("http://www.corstruth.com.au/WA/RKD005_cs.png","RKD005_A4")</f>
        <v>RKD005_A4</v>
      </c>
      <c r="B1349" t="str">
        <f>HYPERLINK("http://www.corstruth.com.au/WA/PNG2/RKD005_cs.png","RKD005_0.25m Bins")</f>
        <v>RKD005_0.25m Bins</v>
      </c>
      <c r="C1349" t="str">
        <f>HYPERLINK("http://www.corstruth.com.au/WA/CSV/RKD005.csv","RKD005_CSV File 1m Bins")</f>
        <v>RKD005_CSV File 1m Bins</v>
      </c>
      <c r="D1349" t="s">
        <v>1777</v>
      </c>
      <c r="E1349" t="s">
        <v>1</v>
      </c>
      <c r="G1349" t="s">
        <v>1778</v>
      </c>
      <c r="H1349" t="s">
        <v>1230</v>
      </c>
      <c r="I1349">
        <v>-22.826599999999999</v>
      </c>
      <c r="J1349">
        <v>117.46299999999999</v>
      </c>
      <c r="K1349" t="str">
        <f>HYPERLINK("http://geossdi.dmp.wa.gov.au/NVCLDataServices/mosaic.html?datasetid=ba8002eb-9030-4a0f-908c-c3b8c060c4b","RKD005_Core Image")</f>
        <v>RKD005_Core Image</v>
      </c>
    </row>
    <row r="1350" spans="1:11" x14ac:dyDescent="0.25">
      <c r="A1350" t="str">
        <f>HYPERLINK("http://www.corstruth.com.au/WA/ABDP1_cs.png","ABDP1_A4")</f>
        <v>ABDP1_A4</v>
      </c>
      <c r="B1350" t="str">
        <f>HYPERLINK("http://www.corstruth.com.au/WA/PNG2/ABDP1_cs.png","ABDP1_0.25m Bins")</f>
        <v>ABDP1_0.25m Bins</v>
      </c>
      <c r="C1350" t="str">
        <f>HYPERLINK("http://www.corstruth.com.au/WA/CSV/ABDP1.csv","ABDP1_CSV File 1m Bins")</f>
        <v>ABDP1_CSV File 1m Bins</v>
      </c>
      <c r="D1350" t="s">
        <v>1779</v>
      </c>
      <c r="E1350" t="s">
        <v>1</v>
      </c>
      <c r="G1350" t="s">
        <v>1780</v>
      </c>
      <c r="H1350" t="s">
        <v>1151</v>
      </c>
      <c r="I1350">
        <v>-21.2044</v>
      </c>
      <c r="J1350">
        <v>119.727</v>
      </c>
      <c r="K1350" t="str">
        <f>HYPERLINK("http://geossdi.dmp.wa.gov.au/NVCLDataServices/mosaic.html?datasetid=90724a66-4431-4e8b-a113-4aff605a10e","ABDP1_Core Image")</f>
        <v>ABDP1_Core Image</v>
      </c>
    </row>
    <row r="1351" spans="1:11" x14ac:dyDescent="0.25">
      <c r="A1351" t="str">
        <f>HYPERLINK("http://www.corstruth.com.au/WA/PDP2A_cs.png","PDP2A_A4")</f>
        <v>PDP2A_A4</v>
      </c>
      <c r="B1351" t="str">
        <f>HYPERLINK("http://www.corstruth.com.au/WA/PNG2/PDP2A_cs.png","PDP2A_0.25m Bins")</f>
        <v>PDP2A_0.25m Bins</v>
      </c>
      <c r="C1351" t="str">
        <f>HYPERLINK("http://www.corstruth.com.au/WA/CSV/PDP2A.csv","PDP2A_CSV File 1m Bins")</f>
        <v>PDP2A_CSV File 1m Bins</v>
      </c>
      <c r="D1351" t="s">
        <v>1781</v>
      </c>
      <c r="E1351" t="s">
        <v>1</v>
      </c>
      <c r="G1351" t="s">
        <v>1782</v>
      </c>
      <c r="H1351" t="s">
        <v>1783</v>
      </c>
      <c r="I1351">
        <v>-21.175799999999999</v>
      </c>
      <c r="J1351">
        <v>119.431</v>
      </c>
      <c r="K1351" t="str">
        <f>HYPERLINK("http://geossdi.dmp.wa.gov.au/NVCLDataServices/mosaic.html?datasetid=ae87ee7d-b92e-412b-a24d-c9217dbea8c","PDP2A_Core Image")</f>
        <v>PDP2A_Core Image</v>
      </c>
    </row>
    <row r="1352" spans="1:11" x14ac:dyDescent="0.25">
      <c r="A1352" t="str">
        <f>HYPERLINK("http://www.corstruth.com.au/WA/PDP2B_cs.png","PDP2B_A4")</f>
        <v>PDP2B_A4</v>
      </c>
      <c r="B1352" t="str">
        <f>HYPERLINK("http://www.corstruth.com.au/WA/PNG2/PDP2B_cs.png","PDP2B_0.25m Bins")</f>
        <v>PDP2B_0.25m Bins</v>
      </c>
      <c r="C1352" t="str">
        <f>HYPERLINK("http://www.corstruth.com.au/WA/CSV/PDP2B.csv","PDP2B_CSV File 1m Bins")</f>
        <v>PDP2B_CSV File 1m Bins</v>
      </c>
      <c r="D1352" t="s">
        <v>1784</v>
      </c>
      <c r="E1352" t="s">
        <v>1</v>
      </c>
      <c r="G1352" t="s">
        <v>1782</v>
      </c>
      <c r="H1352" t="s">
        <v>1783</v>
      </c>
      <c r="I1352">
        <v>-21.176100000000002</v>
      </c>
      <c r="J1352">
        <v>119.431</v>
      </c>
      <c r="K1352" t="str">
        <f>HYPERLINK("http://geossdi.dmp.wa.gov.au/NVCLDataServices/mosaic.html?datasetid=158971ee-a31a-42fa-b220-9ed1dbf538a","PDP2B_Core Image")</f>
        <v>PDP2B_Core Image</v>
      </c>
    </row>
    <row r="1353" spans="1:11" x14ac:dyDescent="0.25">
      <c r="A1353" t="str">
        <f>HYPERLINK("http://www.corstruth.com.au/WA/PDP2C_cs.png","PDP2C_A4")</f>
        <v>PDP2C_A4</v>
      </c>
      <c r="B1353" t="str">
        <f>HYPERLINK("http://www.corstruth.com.au/WA/PNG2/PDP2C_cs.png","PDP2C_0.25m Bins")</f>
        <v>PDP2C_0.25m Bins</v>
      </c>
      <c r="C1353" t="str">
        <f>HYPERLINK("http://www.corstruth.com.au/WA/CSV/PDP2C.csv","PDP2C_CSV File 1m Bins")</f>
        <v>PDP2C_CSV File 1m Bins</v>
      </c>
      <c r="D1353" t="s">
        <v>1785</v>
      </c>
      <c r="E1353" t="s">
        <v>1</v>
      </c>
      <c r="G1353" t="s">
        <v>1786</v>
      </c>
      <c r="H1353" t="s">
        <v>1783</v>
      </c>
      <c r="I1353">
        <v>-21.177600000000002</v>
      </c>
      <c r="J1353">
        <v>119.43</v>
      </c>
      <c r="K1353" t="str">
        <f>HYPERLINK("http://geossdi.dmp.wa.gov.au/NVCLDataServices/mosaic.html?datasetid=4e3663f0-a19e-419f-9058-8993c30dee0","PDP2C_Core Image")</f>
        <v>PDP2C_Core Image</v>
      </c>
    </row>
    <row r="1354" spans="1:11" x14ac:dyDescent="0.25">
      <c r="A1354" t="str">
        <f>HYPERLINK("http://www.corstruth.com.au/WA/PDP1_cs.png","PDP1_A4")</f>
        <v>PDP1_A4</v>
      </c>
      <c r="B1354" t="str">
        <f>HYPERLINK("http://www.corstruth.com.au/WA/PNG2/PDP1_cs.png","PDP1_0.25m Bins")</f>
        <v>PDP1_0.25m Bins</v>
      </c>
      <c r="C1354" t="str">
        <f>HYPERLINK("http://www.corstruth.com.au/WA/CSV/PDP1.csv","PDP1_CSV File 1m Bins")</f>
        <v>PDP1_CSV File 1m Bins</v>
      </c>
      <c r="D1354" t="s">
        <v>1787</v>
      </c>
      <c r="E1354" t="s">
        <v>1</v>
      </c>
      <c r="G1354" t="s">
        <v>1788</v>
      </c>
      <c r="H1354" t="s">
        <v>1783</v>
      </c>
      <c r="I1354">
        <v>-21.304200000000002</v>
      </c>
      <c r="J1354">
        <v>120.411</v>
      </c>
      <c r="K1354" t="str">
        <f>HYPERLINK("http://geossdi.dmp.wa.gov.au/NVCLDataServices/mosaic.html?datasetid=85023ae7-6d8b-4a1c-ac04-677c2546108","PDP1_Core Image")</f>
        <v>PDP1_Core Image</v>
      </c>
    </row>
    <row r="1355" spans="1:11" x14ac:dyDescent="0.25">
      <c r="A1355" t="str">
        <f>HYPERLINK("http://www.corstruth.com.au/WA/ABDP10_cs.png","ABDP10_A4")</f>
        <v>ABDP10_A4</v>
      </c>
      <c r="B1355" t="str">
        <f>HYPERLINK("http://www.corstruth.com.au/WA/PNG2/ABDP10_cs.png","ABDP10_0.25m Bins")</f>
        <v>ABDP10_0.25m Bins</v>
      </c>
      <c r="C1355" t="str">
        <f>HYPERLINK("http://www.corstruth.com.au/WA/CSV/ABDP10.csv","ABDP10_CSV File 1m Bins")</f>
        <v>ABDP10_CSV File 1m Bins</v>
      </c>
      <c r="D1355" t="s">
        <v>1789</v>
      </c>
      <c r="E1355" t="s">
        <v>1</v>
      </c>
      <c r="G1355" t="s">
        <v>1790</v>
      </c>
      <c r="H1355" t="s">
        <v>1200</v>
      </c>
      <c r="I1355">
        <v>-21.321000000000002</v>
      </c>
      <c r="J1355">
        <v>120.39700000000001</v>
      </c>
      <c r="K1355" t="str">
        <f>HYPERLINK("http://geossdi.dmp.wa.gov.au/NVCLDataServices/mosaic.html?datasetid=0e4e6f63-a01d-4789-b047-e467704e927","ABDP10_Core Image")</f>
        <v>ABDP10_Core Image</v>
      </c>
    </row>
    <row r="1356" spans="1:11" x14ac:dyDescent="0.25">
      <c r="A1356" t="str">
        <f>HYPERLINK("http://www.corstruth.com.au/WA/ABDP8_cs.png","ABDP8_A4")</f>
        <v>ABDP8_A4</v>
      </c>
      <c r="B1356" t="str">
        <f>HYPERLINK("http://www.corstruth.com.au/WA/PNG2/ABDP8_cs.png","ABDP8_0.25m Bins")</f>
        <v>ABDP8_0.25m Bins</v>
      </c>
      <c r="C1356" t="str">
        <f>HYPERLINK("http://www.corstruth.com.au/WA/CSV/ABDP8.csv","ABDP8_CSV File 1m Bins")</f>
        <v>ABDP8_CSV File 1m Bins</v>
      </c>
      <c r="D1356" t="s">
        <v>1791</v>
      </c>
      <c r="E1356" t="s">
        <v>1</v>
      </c>
      <c r="G1356" t="s">
        <v>1790</v>
      </c>
      <c r="H1356" t="s">
        <v>1200</v>
      </c>
      <c r="I1356">
        <v>-21.101400000000002</v>
      </c>
      <c r="J1356">
        <v>119.185</v>
      </c>
      <c r="K1356" t="str">
        <f>HYPERLINK("http://geossdi.dmp.wa.gov.au/NVCLDataServices/mosaic.html?datasetid=562ca67a-e62f-4dab-948b-44caeaa5d5d","ABDP8_Core Image")</f>
        <v>ABDP8_Core Image</v>
      </c>
    </row>
    <row r="1357" spans="1:11" x14ac:dyDescent="0.25">
      <c r="A1357" t="str">
        <f>HYPERLINK("http://www.corstruth.com.au/WA/ABDP2_cs.png","ABDP2_A4")</f>
        <v>ABDP2_A4</v>
      </c>
      <c r="B1357" t="str">
        <f>HYPERLINK("http://www.corstruth.com.au/WA/PNG2/ABDP2_cs.png","ABDP2_0.25m Bins")</f>
        <v>ABDP2_0.25m Bins</v>
      </c>
      <c r="C1357" t="str">
        <f>HYPERLINK("http://www.corstruth.com.au/WA/CSV/ABDP2.csv","ABDP2_CSV File 1m Bins")</f>
        <v>ABDP2_CSV File 1m Bins</v>
      </c>
      <c r="D1357" t="s">
        <v>1792</v>
      </c>
      <c r="E1357" t="s">
        <v>1</v>
      </c>
      <c r="G1357" t="s">
        <v>1790</v>
      </c>
      <c r="H1357" t="s">
        <v>1151</v>
      </c>
      <c r="I1357">
        <v>-21.2806</v>
      </c>
      <c r="J1357">
        <v>119.843</v>
      </c>
      <c r="K1357" t="str">
        <f>HYPERLINK("http://geossdi.dmp.wa.gov.au/NVCLDataServices/mosaic.html?datasetid=d9021cac-0372-4178-8afa-53a308f528c","ABDP2_Core Image")</f>
        <v>ABDP2_Core Image</v>
      </c>
    </row>
    <row r="1358" spans="1:11" x14ac:dyDescent="0.25">
      <c r="A1358" t="str">
        <f>HYPERLINK("http://www.corstruth.com.au/WA/ABDP5_cs.png","ABDP5_A4")</f>
        <v>ABDP5_A4</v>
      </c>
      <c r="B1358" t="str">
        <f>HYPERLINK("http://www.corstruth.com.au/WA/PNG2/ABDP5_cs.png","ABDP5_0.25m Bins")</f>
        <v>ABDP5_0.25m Bins</v>
      </c>
      <c r="C1358" t="str">
        <f>HYPERLINK("http://www.corstruth.com.au/WA/CSV/ABDP5.csv","ABDP5_CSV File 1m Bins")</f>
        <v>ABDP5_CSV File 1m Bins</v>
      </c>
      <c r="D1358" t="s">
        <v>1793</v>
      </c>
      <c r="E1358" t="s">
        <v>1</v>
      </c>
      <c r="G1358" t="s">
        <v>1790</v>
      </c>
      <c r="H1358" t="s">
        <v>1151</v>
      </c>
      <c r="I1358">
        <v>-21.698399999999999</v>
      </c>
      <c r="J1358">
        <v>120.621</v>
      </c>
      <c r="K1358" t="str">
        <f>HYPERLINK("http://geossdi.dmp.wa.gov.au/NVCLDataServices/mosaic.html?datasetid=42376c9a-af62-47e7-9ace-660121c69a2","ABDP5_Core Image")</f>
        <v>ABDP5_Core Image</v>
      </c>
    </row>
    <row r="1359" spans="1:11" x14ac:dyDescent="0.25">
      <c r="A1359" t="str">
        <f>HYPERLINK("http://www.corstruth.com.au/WA/ABDP5B_cs.png","ABDP5B_A4")</f>
        <v>ABDP5B_A4</v>
      </c>
      <c r="B1359" t="str">
        <f>HYPERLINK("http://www.corstruth.com.au/WA/PNG2/ABDP5B_cs.png","ABDP5B_0.25m Bins")</f>
        <v>ABDP5B_0.25m Bins</v>
      </c>
      <c r="C1359" t="str">
        <f>HYPERLINK("http://www.corstruth.com.au/WA/CSV/ABDP5B.csv","ABDP5B_CSV File 1m Bins")</f>
        <v>ABDP5B_CSV File 1m Bins</v>
      </c>
      <c r="D1359" t="s">
        <v>1794</v>
      </c>
      <c r="E1359" t="s">
        <v>1</v>
      </c>
      <c r="G1359" t="s">
        <v>1790</v>
      </c>
      <c r="H1359" t="s">
        <v>1151</v>
      </c>
      <c r="I1359">
        <v>-21.698</v>
      </c>
      <c r="J1359">
        <v>120.621</v>
      </c>
      <c r="K1359" t="str">
        <f>HYPERLINK("http://geossdi.dmp.wa.gov.au/NVCLDataServices/mosaic.html?datasetid=cb7a6b90-6952-4c85-b943-acdd7025dac","ABDP5B_Core Image")</f>
        <v>ABDP5B_Core Image</v>
      </c>
    </row>
    <row r="1360" spans="1:11" x14ac:dyDescent="0.25">
      <c r="A1360" t="str">
        <f>HYPERLINK("http://www.corstruth.com.au/WA/AIDP1_cs.png","AIDP1_A4")</f>
        <v>AIDP1_A4</v>
      </c>
      <c r="B1360" t="str">
        <f>HYPERLINK("http://www.corstruth.com.au/WA/PNG2/AIDP1_cs.png","AIDP1_0.25m Bins")</f>
        <v>AIDP1_0.25m Bins</v>
      </c>
      <c r="C1360" t="str">
        <f>HYPERLINK("http://www.corstruth.com.au/WA/CSV/AIDP1.csv","AIDP1_CSV File 1m Bins")</f>
        <v>AIDP1_CSV File 1m Bins</v>
      </c>
      <c r="D1360" t="s">
        <v>1795</v>
      </c>
      <c r="E1360" t="s">
        <v>1</v>
      </c>
      <c r="G1360" t="s">
        <v>1790</v>
      </c>
      <c r="H1360" t="s">
        <v>1202</v>
      </c>
      <c r="I1360">
        <v>-21.110600000000002</v>
      </c>
      <c r="J1360">
        <v>119.101</v>
      </c>
      <c r="K1360" t="str">
        <f>HYPERLINK("http://geossdi.dmp.wa.gov.au/NVCLDataServices/mosaic.html?datasetid=84c69f3c-1d00-4742-bfbf-d982d3018c7","AIDP1_Core Image")</f>
        <v>AIDP1_Core Image</v>
      </c>
    </row>
    <row r="1361" spans="1:11" x14ac:dyDescent="0.25">
      <c r="A1361" t="str">
        <f>HYPERLINK("http://www.corstruth.com.au/WA/13AHDD005_cs.png","13AHDD005_A4")</f>
        <v>13AHDD005_A4</v>
      </c>
      <c r="B1361" t="str">
        <f>HYPERLINK("http://www.corstruth.com.au/WA/PNG2/13AHDD005_cs.png","13AHDD005_0.25m Bins")</f>
        <v>13AHDD005_0.25m Bins</v>
      </c>
      <c r="C1361" t="str">
        <f>HYPERLINK("http://www.corstruth.com.au/WA/CSV/13AHDD005.csv","13AHDD005_CSV File 1m Bins")</f>
        <v>13AHDD005_CSV File 1m Bins</v>
      </c>
      <c r="D1361" t="s">
        <v>1796</v>
      </c>
      <c r="E1361" t="s">
        <v>1</v>
      </c>
      <c r="G1361" t="s">
        <v>1797</v>
      </c>
      <c r="H1361" t="s">
        <v>1798</v>
      </c>
      <c r="I1361">
        <v>-21.662400000000002</v>
      </c>
      <c r="J1361">
        <v>120.408</v>
      </c>
      <c r="K1361" t="str">
        <f>HYPERLINK("http://geossdi.dmp.wa.gov.au/NVCLDataServices/mosaic.html?datasetid=2b9b5673-2972-4cf9-ae75-fe792fb4e44","13AHDD005_Core Image")</f>
        <v>13AHDD005_Core Image</v>
      </c>
    </row>
    <row r="1362" spans="1:11" x14ac:dyDescent="0.25">
      <c r="A1362" t="str">
        <f>HYPERLINK("http://www.corstruth.com.au/WA/BUDD0036_cs.png","BUDD0036_A4")</f>
        <v>BUDD0036_A4</v>
      </c>
      <c r="B1362" t="str">
        <f>HYPERLINK("http://www.corstruth.com.au/WA/PNG2/BUDD0036_cs.png","BUDD0036_0.25m Bins")</f>
        <v>BUDD0036_0.25m Bins</v>
      </c>
      <c r="C1362" t="str">
        <f>HYPERLINK("http://www.corstruth.com.au/WA/CSV/BUDD0036.csv","BUDD0036_CSV File 1m Bins")</f>
        <v>BUDD0036_CSV File 1m Bins</v>
      </c>
      <c r="D1362" t="s">
        <v>1799</v>
      </c>
      <c r="E1362" t="s">
        <v>1</v>
      </c>
      <c r="G1362" t="s">
        <v>1797</v>
      </c>
      <c r="H1362" t="s">
        <v>1800</v>
      </c>
      <c r="I1362">
        <v>-21.882400000000001</v>
      </c>
      <c r="J1362">
        <v>120.282</v>
      </c>
    </row>
    <row r="1363" spans="1:11" x14ac:dyDescent="0.25">
      <c r="A1363" t="str">
        <f>HYPERLINK("http://www.corstruth.com.au/WA/ND14DD-001_cs.png","ND14DD-001_A4")</f>
        <v>ND14DD-001_A4</v>
      </c>
      <c r="B1363" t="str">
        <f>HYPERLINK("http://www.corstruth.com.au/WA/PNG2/ND14DD-001_cs.png","ND14DD-001_0.25m Bins")</f>
        <v>ND14DD-001_0.25m Bins</v>
      </c>
      <c r="C1363" t="str">
        <f>HYPERLINK("http://www.corstruth.com.au/WA/CSV/ND14DD-001.csv","ND14DD-001_CSV File 1m Bins")</f>
        <v>ND14DD-001_CSV File 1m Bins</v>
      </c>
      <c r="D1363" t="s">
        <v>1801</v>
      </c>
      <c r="E1363" t="s">
        <v>1</v>
      </c>
      <c r="G1363" t="s">
        <v>1797</v>
      </c>
      <c r="H1363" t="s">
        <v>1802</v>
      </c>
      <c r="I1363">
        <v>-21.8995</v>
      </c>
      <c r="J1363">
        <v>120.07299999999999</v>
      </c>
      <c r="K1363" t="str">
        <f>HYPERLINK("http://geossdi.dmp.wa.gov.au/NVCLDataServices/mosaic.html?datasetid=18296194-7af0-4364-9510-971d391a4a7","ND14DD-001_Core Image")</f>
        <v>ND14DD-001_Core Image</v>
      </c>
    </row>
    <row r="1364" spans="1:11" x14ac:dyDescent="0.25">
      <c r="A1364" t="str">
        <f>HYPERLINK("http://www.corstruth.com.au/WA/SDD001_cs.png","SDD001_A4")</f>
        <v>SDD001_A4</v>
      </c>
      <c r="B1364" t="str">
        <f>HYPERLINK("http://www.corstruth.com.au/WA/PNG2/SDD001_cs.png","SDD001_0.25m Bins")</f>
        <v>SDD001_0.25m Bins</v>
      </c>
      <c r="C1364" t="str">
        <f>HYPERLINK("http://www.corstruth.com.au/WA/CSV/SDD001.csv","SDD001_CSV File 1m Bins")</f>
        <v>SDD001_CSV File 1m Bins</v>
      </c>
      <c r="D1364" t="s">
        <v>1803</v>
      </c>
      <c r="E1364" t="s">
        <v>1</v>
      </c>
      <c r="G1364" t="s">
        <v>1797</v>
      </c>
      <c r="H1364" t="s">
        <v>1804</v>
      </c>
      <c r="I1364">
        <v>-21.666699999999999</v>
      </c>
      <c r="J1364">
        <v>120.187</v>
      </c>
      <c r="K1364" t="str">
        <f>HYPERLINK("http://geossdi.dmp.wa.gov.au/NVCLDataServices/mosaic.html?datasetid=28253d0d-f747-47dd-9833-26621dac7de","SDD001_Core Image")</f>
        <v>SDD001_Core Image</v>
      </c>
    </row>
    <row r="1365" spans="1:11" x14ac:dyDescent="0.25">
      <c r="A1365" t="str">
        <f>HYPERLINK("http://www.corstruth.com.au/WA/CL1_cs.png","CL1_A4")</f>
        <v>CL1_A4</v>
      </c>
      <c r="B1365" t="str">
        <f>HYPERLINK("http://www.corstruth.com.au/WA/PNG2/CL1_cs.png","CL1_0.25m Bins")</f>
        <v>CL1_0.25m Bins</v>
      </c>
      <c r="C1365" t="str">
        <f>HYPERLINK("http://www.corstruth.com.au/WA/CSV/CL1.csv","CL1_CSV File 1m Bins")</f>
        <v>CL1_CSV File 1m Bins</v>
      </c>
      <c r="D1365" t="s">
        <v>1805</v>
      </c>
      <c r="E1365" t="s">
        <v>1</v>
      </c>
      <c r="G1365" t="s">
        <v>1797</v>
      </c>
      <c r="H1365" t="s">
        <v>1806</v>
      </c>
      <c r="I1365">
        <v>-20.651900000000001</v>
      </c>
      <c r="J1365">
        <v>117.02500000000001</v>
      </c>
      <c r="K1365" t="str">
        <f>HYPERLINK("http://geossdi.dmp.wa.gov.au/NVCLDataServices/mosaic.html?datasetid=b376e8c3-03b2-4373-b7f1-d5660da2e02","CL1_Core Image")</f>
        <v>CL1_Core Image</v>
      </c>
    </row>
    <row r="1366" spans="1:11" x14ac:dyDescent="0.25">
      <c r="A1366" t="str">
        <f>HYPERLINK("http://www.corstruth.com.au/WA/CL2_cs.png","CL2_A4")</f>
        <v>CL2_A4</v>
      </c>
      <c r="B1366" t="str">
        <f>HYPERLINK("http://www.corstruth.com.au/WA/PNG2/CL2_cs.png","CL2_0.25m Bins")</f>
        <v>CL2_0.25m Bins</v>
      </c>
      <c r="C1366" t="str">
        <f>HYPERLINK("http://www.corstruth.com.au/WA/CSV/CL2.csv","CL2_CSV File 1m Bins")</f>
        <v>CL2_CSV File 1m Bins</v>
      </c>
      <c r="D1366" t="s">
        <v>1807</v>
      </c>
      <c r="E1366" t="s">
        <v>1</v>
      </c>
      <c r="G1366" t="s">
        <v>1797</v>
      </c>
      <c r="H1366" t="s">
        <v>1806</v>
      </c>
      <c r="I1366">
        <v>-20.659700000000001</v>
      </c>
      <c r="J1366">
        <v>117.02200000000001</v>
      </c>
      <c r="K1366" t="str">
        <f>HYPERLINK("http://geossdi.dmp.wa.gov.au/NVCLDataServices/mosaic.html?datasetid=5e2d77e9-7830-43cd-95a9-f185584014f","CL2_Core Image")</f>
        <v>CL2_Core Image</v>
      </c>
    </row>
    <row r="1367" spans="1:11" x14ac:dyDescent="0.25">
      <c r="A1367" t="str">
        <f>HYPERLINK("http://www.corstruth.com.au/WA/CL3_cs.png","CL3_A4")</f>
        <v>CL3_A4</v>
      </c>
      <c r="B1367" t="str">
        <f>HYPERLINK("http://www.corstruth.com.au/WA/PNG2/CL3_cs.png","CL3_0.25m Bins")</f>
        <v>CL3_0.25m Bins</v>
      </c>
      <c r="C1367" t="str">
        <f>HYPERLINK("http://www.corstruth.com.au/WA/CSV/CL3.csv","CL3_CSV File 1m Bins")</f>
        <v>CL3_CSV File 1m Bins</v>
      </c>
      <c r="D1367" t="s">
        <v>1808</v>
      </c>
      <c r="E1367" t="s">
        <v>1</v>
      </c>
      <c r="G1367" t="s">
        <v>1797</v>
      </c>
      <c r="H1367" t="s">
        <v>1806</v>
      </c>
      <c r="I1367">
        <v>-20.659700000000001</v>
      </c>
      <c r="J1367">
        <v>117.02200000000001</v>
      </c>
      <c r="K1367" t="str">
        <f>HYPERLINK("http://geossdi.dmp.wa.gov.au/NVCLDataServices/mosaic.html?datasetid=4a220387-ad79-4456-8371-0eec9288e5c","CL3_Core Image")</f>
        <v>CL3_Core Image</v>
      </c>
    </row>
    <row r="1368" spans="1:11" x14ac:dyDescent="0.25">
      <c r="A1368" t="str">
        <f>HYPERLINK("http://www.corstruth.com.au/WA/DX_cs.png","DX_A4")</f>
        <v>DX_A4</v>
      </c>
      <c r="B1368" t="str">
        <f>HYPERLINK("http://www.corstruth.com.au/WA/PNG2/DX_cs.png","DX_0.25m Bins")</f>
        <v>DX_0.25m Bins</v>
      </c>
      <c r="C1368" t="str">
        <f>HYPERLINK("http://www.corstruth.com.au/WA/CSV/DX.csv","DX_CSV File 1m Bins")</f>
        <v>DX_CSV File 1m Bins</v>
      </c>
      <c r="D1368" t="s">
        <v>1809</v>
      </c>
      <c r="E1368" t="s">
        <v>1</v>
      </c>
      <c r="G1368" t="s">
        <v>1797</v>
      </c>
      <c r="H1368" t="s">
        <v>1806</v>
      </c>
      <c r="I1368">
        <v>-20.662099999999999</v>
      </c>
      <c r="J1368">
        <v>117.002</v>
      </c>
      <c r="K1368" t="str">
        <f>HYPERLINK("http://geossdi.dmp.wa.gov.au/NVCLDataServices/mosaic.html?datasetid=2dcc06f2-2707-4947-b455-1c458b74668","DX_Core Image")</f>
        <v>DX_Core Image</v>
      </c>
    </row>
    <row r="1369" spans="1:11" x14ac:dyDescent="0.25">
      <c r="A1369" t="str">
        <f>HYPERLINK("http://www.corstruth.com.au/WA/13CGDD001_cs.png","13CGDD001_A4")</f>
        <v>13CGDD001_A4</v>
      </c>
      <c r="B1369" t="str">
        <f>HYPERLINK("http://www.corstruth.com.au/WA/PNG2/13CGDD001_cs.png","13CGDD001_0.25m Bins")</f>
        <v>13CGDD001_0.25m Bins</v>
      </c>
      <c r="C1369" t="str">
        <f>HYPERLINK("http://www.corstruth.com.au/WA/CSV/13CGDD001.csv","13CGDD001_CSV File 1m Bins")</f>
        <v>13CGDD001_CSV File 1m Bins</v>
      </c>
      <c r="D1369" t="s">
        <v>1810</v>
      </c>
      <c r="E1369" t="s">
        <v>1</v>
      </c>
      <c r="G1369" t="s">
        <v>1797</v>
      </c>
      <c r="H1369" t="s">
        <v>1811</v>
      </c>
      <c r="I1369">
        <v>-21.601500000000001</v>
      </c>
      <c r="J1369">
        <v>120.34699999999999</v>
      </c>
      <c r="K1369" t="str">
        <f>HYPERLINK("http://geossdi.dmp.wa.gov.au/NVCLDataServices/mosaic.html?datasetid=60976007-13b0-45ca-895a-8dd33124126","13CGDD001_Core Image")</f>
        <v>13CGDD001_Core Image</v>
      </c>
    </row>
    <row r="1370" spans="1:11" x14ac:dyDescent="0.25">
      <c r="A1370" t="str">
        <f>HYPERLINK("http://www.corstruth.com.au/WA/HKDH001_cs.png","HKDH001_A4")</f>
        <v>HKDH001_A4</v>
      </c>
      <c r="B1370" t="str">
        <f>HYPERLINK("http://www.corstruth.com.au/WA/PNG2/HKDH001_cs.png","HKDH001_0.25m Bins")</f>
        <v>HKDH001_0.25m Bins</v>
      </c>
      <c r="C1370" t="str">
        <f>HYPERLINK("http://www.corstruth.com.au/WA/CSV/HKDH001.csv","HKDH001_CSV File 1m Bins")</f>
        <v>HKDH001_CSV File 1m Bins</v>
      </c>
      <c r="D1370" t="s">
        <v>1812</v>
      </c>
      <c r="E1370" t="s">
        <v>1</v>
      </c>
      <c r="G1370" t="s">
        <v>1797</v>
      </c>
      <c r="H1370" t="s">
        <v>1813</v>
      </c>
      <c r="I1370">
        <v>-23.037199999999999</v>
      </c>
      <c r="J1370">
        <v>119.68300000000001</v>
      </c>
      <c r="K1370" t="str">
        <f>HYPERLINK("http://geossdi.dmp.wa.gov.au/NVCLDataServices/mosaic.html?datasetid=0d01f159-2673-451b-9688-591ba0a9807","HKDH001_Core Image")</f>
        <v>HKDH001_Core Image</v>
      </c>
    </row>
    <row r="1371" spans="1:11" x14ac:dyDescent="0.25">
      <c r="A1371" t="str">
        <f>HYPERLINK("http://www.corstruth.com.au/WA/KBD063_cs.png","KBD063_A4")</f>
        <v>KBD063_A4</v>
      </c>
      <c r="B1371" t="str">
        <f>HYPERLINK("http://www.corstruth.com.au/WA/PNG2/KBD063_cs.png","KBD063_0.25m Bins")</f>
        <v>KBD063_0.25m Bins</v>
      </c>
      <c r="C1371" t="str">
        <f>HYPERLINK("http://www.corstruth.com.au/WA/CSV/KBD063.csv","KBD063_CSV File 1m Bins")</f>
        <v>KBD063_CSV File 1m Bins</v>
      </c>
      <c r="D1371" t="s">
        <v>1814</v>
      </c>
      <c r="E1371" t="s">
        <v>1</v>
      </c>
      <c r="G1371" t="s">
        <v>1797</v>
      </c>
      <c r="H1371" t="s">
        <v>1815</v>
      </c>
      <c r="I1371">
        <v>-23.766400000000001</v>
      </c>
      <c r="J1371">
        <v>120.152</v>
      </c>
      <c r="K1371" t="str">
        <f>HYPERLINK("http://geossdi.dmp.wa.gov.au/NVCLDataServices/mosaic.html?datasetid=61234b93-eb8b-42e1-b1ea-741471aa0d0","KBD063_Core Image")</f>
        <v>KBD063_Core Image</v>
      </c>
    </row>
    <row r="1372" spans="1:11" x14ac:dyDescent="0.25">
      <c r="A1372" t="str">
        <f>HYPERLINK("http://www.corstruth.com.au/WA/KDD001_cs.png","KDD001_A4")</f>
        <v>KDD001_A4</v>
      </c>
      <c r="B1372" t="str">
        <f>HYPERLINK("http://www.corstruth.com.au/WA/PNG2/KDD001_cs.png","KDD001_0.25m Bins")</f>
        <v>KDD001_0.25m Bins</v>
      </c>
      <c r="C1372" t="str">
        <f>HYPERLINK("http://www.corstruth.com.au/WA/CSV/KDD001.csv","KDD001_CSV File 1m Bins")</f>
        <v>KDD001_CSV File 1m Bins</v>
      </c>
      <c r="D1372" t="s">
        <v>1816</v>
      </c>
      <c r="E1372" t="s">
        <v>1</v>
      </c>
      <c r="G1372" t="s">
        <v>1797</v>
      </c>
      <c r="H1372" t="s">
        <v>1817</v>
      </c>
      <c r="I1372">
        <v>-20.792400000000001</v>
      </c>
      <c r="J1372">
        <v>118.754</v>
      </c>
      <c r="K1372" t="str">
        <f>HYPERLINK("http://geossdi.dmp.wa.gov.au/NVCLDataServices/mosaic.html?datasetid=8860de4b-1d74-4f74-829a-ebcec1b4963","KDD001_Core Image")</f>
        <v>KDD001_Core Image</v>
      </c>
    </row>
    <row r="1373" spans="1:11" x14ac:dyDescent="0.25">
      <c r="A1373" t="str">
        <f>HYPERLINK("http://www.corstruth.com.au/WA/KDD002_cs.png","KDD002_A4")</f>
        <v>KDD002_A4</v>
      </c>
      <c r="B1373" t="str">
        <f>HYPERLINK("http://www.corstruth.com.au/WA/PNG2/KDD002_cs.png","KDD002_0.25m Bins")</f>
        <v>KDD002_0.25m Bins</v>
      </c>
      <c r="C1373" t="str">
        <f>HYPERLINK("http://www.corstruth.com.au/WA/CSV/KDD002.csv","KDD002_CSV File 1m Bins")</f>
        <v>KDD002_CSV File 1m Bins</v>
      </c>
      <c r="D1373" t="s">
        <v>1818</v>
      </c>
      <c r="E1373" t="s">
        <v>1</v>
      </c>
      <c r="G1373" t="s">
        <v>1797</v>
      </c>
      <c r="H1373" t="s">
        <v>1817</v>
      </c>
      <c r="I1373">
        <v>-20.7926</v>
      </c>
      <c r="J1373">
        <v>118.754</v>
      </c>
      <c r="K1373" t="str">
        <f>HYPERLINK("http://geossdi.dmp.wa.gov.au/NVCLDataServices/mosaic.html?datasetid=e6af8d39-4f47-4a8e-9680-3567890db6c","KDD002_Core Image")</f>
        <v>KDD002_Core Image</v>
      </c>
    </row>
    <row r="1374" spans="1:11" x14ac:dyDescent="0.25">
      <c r="A1374" t="str">
        <f>HYPERLINK("http://www.corstruth.com.au/WA/18KLDD007_(18KQDD007)_cs.png","18KLDD007 (18KQDD007)_A4")</f>
        <v>18KLDD007 (18KQDD007)_A4</v>
      </c>
      <c r="B1374" t="str">
        <f>HYPERLINK("http://www.corstruth.com.au/WA/PNG2/18KLDD007_(18KQDD007)_cs.png","18KLDD007 (18KQDD007)_0.25m Bins")</f>
        <v>18KLDD007 (18KQDD007)_0.25m Bins</v>
      </c>
      <c r="C1374" t="str">
        <f>HYPERLINK("http://www.corstruth.com.au/WA/CSV/18KLDD007_(18KQDD007).csv","18KLDD007 (18KQDD007)_CSV File 1m Bins")</f>
        <v>18KLDD007 (18KQDD007)_CSV File 1m Bins</v>
      </c>
      <c r="D1374" t="s">
        <v>1819</v>
      </c>
      <c r="E1374" t="s">
        <v>1</v>
      </c>
      <c r="G1374" t="s">
        <v>1797</v>
      </c>
      <c r="H1374" t="s">
        <v>1820</v>
      </c>
      <c r="I1374">
        <v>-21.337399999999999</v>
      </c>
      <c r="J1374">
        <v>119.886</v>
      </c>
      <c r="K1374" t="str">
        <f>HYPERLINK("http://geossdi.dmp.wa.gov.au/NVCLDataServices/mosaic.html?datasetid=3456d746-92b1-43c5-8908-a3ac77dda6c","18KLDD007 (18KQDD007)_Core Image")</f>
        <v>18KLDD007 (18KQDD007)_Core Image</v>
      </c>
    </row>
    <row r="1375" spans="1:11" x14ac:dyDescent="0.25">
      <c r="A1375" t="str">
        <f>HYPERLINK("http://www.corstruth.com.au/WA/18KLDD008_(18KQDD008)_cs.png","18KLDD008 (18KQDD008)_A4")</f>
        <v>18KLDD008 (18KQDD008)_A4</v>
      </c>
      <c r="B1375" t="str">
        <f>HYPERLINK("http://www.corstruth.com.au/WA/PNG2/18KLDD008_(18KQDD008)_cs.png","18KLDD008 (18KQDD008)_0.25m Bins")</f>
        <v>18KLDD008 (18KQDD008)_0.25m Bins</v>
      </c>
      <c r="C1375" t="str">
        <f>HYPERLINK("http://www.corstruth.com.au/WA/CSV/18KLDD008_(18KQDD008).csv","18KLDD008 (18KQDD008)_CSV File 1m Bins")</f>
        <v>18KLDD008 (18KQDD008)_CSV File 1m Bins</v>
      </c>
      <c r="D1375" t="s">
        <v>1821</v>
      </c>
      <c r="E1375" t="s">
        <v>1</v>
      </c>
      <c r="G1375" t="s">
        <v>1797</v>
      </c>
      <c r="H1375" t="s">
        <v>1822</v>
      </c>
      <c r="I1375">
        <v>-21.3371</v>
      </c>
      <c r="J1375">
        <v>119.886</v>
      </c>
      <c r="K1375" t="str">
        <f>HYPERLINK("http://geossdi.dmp.wa.gov.au/NVCLDataServices/mosaic.html?datasetid=73312ebc-21e4-4b41-8359-b7937e9a20a","18KLDD008 (18KQDD008)_Core Image")</f>
        <v>18KLDD008 (18KQDD008)_Core Image</v>
      </c>
    </row>
    <row r="1376" spans="1:11" x14ac:dyDescent="0.25">
      <c r="A1376" t="str">
        <f>HYPERLINK("http://www.corstruth.com.au/WA/18KLDD010_cs.png","18KLDD010_A4")</f>
        <v>18KLDD010_A4</v>
      </c>
      <c r="B1376" t="str">
        <f>HYPERLINK("http://www.corstruth.com.au/WA/PNG2/18KLDD010_cs.png","18KLDD010_0.25m Bins")</f>
        <v>18KLDD010_0.25m Bins</v>
      </c>
      <c r="C1376" t="str">
        <f>HYPERLINK("http://www.corstruth.com.au/WA/CSV/18KLDD010.csv","18KLDD010_CSV File 1m Bins")</f>
        <v>18KLDD010_CSV File 1m Bins</v>
      </c>
      <c r="D1376" t="s">
        <v>1823</v>
      </c>
      <c r="E1376" t="s">
        <v>1</v>
      </c>
      <c r="G1376" t="s">
        <v>1797</v>
      </c>
      <c r="H1376" t="s">
        <v>1822</v>
      </c>
      <c r="I1376">
        <v>-21.3368</v>
      </c>
      <c r="J1376">
        <v>119.886</v>
      </c>
      <c r="K1376" t="str">
        <f>HYPERLINK("http://geossdi.dmp.wa.gov.au/NVCLDataServices/mosaic.html?datasetid=6717b90c-f9e9-4011-b84f-ef47e182eae","18KLDD010_Core Image")</f>
        <v>18KLDD010_Core Image</v>
      </c>
    </row>
    <row r="1377" spans="1:11" x14ac:dyDescent="0.25">
      <c r="A1377" t="str">
        <f>HYPERLINK("http://www.corstruth.com.au/WA/M22_001_RCD_cs.png","M22_001_RCD_A4")</f>
        <v>M22_001_RCD_A4</v>
      </c>
      <c r="B1377" t="str">
        <f>HYPERLINK("http://www.corstruth.com.au/WA/PNG2/M22_001_RCD_cs.png","M22_001_RCD_0.25m Bins")</f>
        <v>M22_001_RCD_0.25m Bins</v>
      </c>
      <c r="C1377" t="str">
        <f>HYPERLINK("http://www.corstruth.com.au/WA/CSV/M22_001_RCD.csv","M22_001_RCD_CSV File 1m Bins")</f>
        <v>M22_001_RCD_CSV File 1m Bins</v>
      </c>
      <c r="D1377" t="s">
        <v>1824</v>
      </c>
      <c r="E1377" t="s">
        <v>1</v>
      </c>
      <c r="G1377" t="s">
        <v>1797</v>
      </c>
      <c r="H1377" t="s">
        <v>1825</v>
      </c>
      <c r="I1377">
        <v>-21.067</v>
      </c>
      <c r="J1377">
        <v>118.059</v>
      </c>
    </row>
    <row r="1378" spans="1:11" x14ac:dyDescent="0.25">
      <c r="A1378" t="str">
        <f>HYPERLINK("http://www.corstruth.com.au/WA/M22_003_RCD_cs.png","M22_003_RCD_A4")</f>
        <v>M22_003_RCD_A4</v>
      </c>
      <c r="B1378" t="str">
        <f>HYPERLINK("http://www.corstruth.com.au/WA/PNG2/M22_003_RCD_cs.png","M22_003_RCD_0.25m Bins")</f>
        <v>M22_003_RCD_0.25m Bins</v>
      </c>
      <c r="C1378" t="str">
        <f>HYPERLINK("http://www.corstruth.com.au/WA/CSV/M22_003_RCD.csv","M22_003_RCD_CSV File 1m Bins")</f>
        <v>M22_003_RCD_CSV File 1m Bins</v>
      </c>
      <c r="D1378" t="s">
        <v>1826</v>
      </c>
      <c r="E1378" t="s">
        <v>1</v>
      </c>
      <c r="G1378" t="s">
        <v>1797</v>
      </c>
      <c r="H1378" t="s">
        <v>1825</v>
      </c>
      <c r="I1378">
        <v>-21.061299999999999</v>
      </c>
      <c r="J1378">
        <v>118.033</v>
      </c>
    </row>
    <row r="1379" spans="1:11" x14ac:dyDescent="0.25">
      <c r="A1379" t="str">
        <f>HYPERLINK("http://www.corstruth.com.au/WA/M22_004_D_cs.png","M22_004_D_A4")</f>
        <v>M22_004_D_A4</v>
      </c>
      <c r="B1379" t="str">
        <f>HYPERLINK("http://www.corstruth.com.au/WA/PNG2/M22_004_D_cs.png","M22_004_D_0.25m Bins")</f>
        <v>M22_004_D_0.25m Bins</v>
      </c>
      <c r="C1379" t="str">
        <f>HYPERLINK("http://www.corstruth.com.au/WA/CSV/M22_004_D.csv","M22_004_D_CSV File 1m Bins")</f>
        <v>M22_004_D_CSV File 1m Bins</v>
      </c>
      <c r="D1379" t="s">
        <v>1827</v>
      </c>
      <c r="E1379" t="s">
        <v>1</v>
      </c>
      <c r="G1379" t="s">
        <v>1797</v>
      </c>
      <c r="H1379" t="s">
        <v>1825</v>
      </c>
      <c r="I1379">
        <v>-21.066600000000001</v>
      </c>
      <c r="J1379">
        <v>118.062</v>
      </c>
    </row>
    <row r="1380" spans="1:11" x14ac:dyDescent="0.25">
      <c r="A1380" t="str">
        <f>HYPERLINK("http://www.corstruth.com.au/WA/M22_005_D_cs.png","M22_005_D_A4")</f>
        <v>M22_005_D_A4</v>
      </c>
      <c r="B1380" t="str">
        <f>HYPERLINK("http://www.corstruth.com.au/WA/PNG2/M22_005_D_cs.png","M22_005_D_0.25m Bins")</f>
        <v>M22_005_D_0.25m Bins</v>
      </c>
      <c r="C1380" t="str">
        <f>HYPERLINK("http://www.corstruth.com.au/WA/CSV/M22_005_D.csv","M22_005_D_CSV File 1m Bins")</f>
        <v>M22_005_D_CSV File 1m Bins</v>
      </c>
      <c r="D1380" t="s">
        <v>1828</v>
      </c>
      <c r="E1380" t="s">
        <v>1</v>
      </c>
      <c r="G1380" t="s">
        <v>1797</v>
      </c>
      <c r="H1380" t="s">
        <v>1825</v>
      </c>
      <c r="I1380">
        <v>-21.066500000000001</v>
      </c>
      <c r="J1380">
        <v>118.062</v>
      </c>
    </row>
    <row r="1381" spans="1:11" x14ac:dyDescent="0.25">
      <c r="A1381" t="str">
        <f>HYPERLINK("http://www.corstruth.com.au/WA/JMDH001_cs.png","JMDH001_A4")</f>
        <v>JMDH001_A4</v>
      </c>
      <c r="B1381" t="str">
        <f>HYPERLINK("http://www.corstruth.com.au/WA/PNG2/JMDH001_cs.png","JMDH001_0.25m Bins")</f>
        <v>JMDH001_0.25m Bins</v>
      </c>
      <c r="C1381" t="str">
        <f>HYPERLINK("http://www.corstruth.com.au/WA/CSV/JMDH001.csv","JMDH001_CSV File 1m Bins")</f>
        <v>JMDH001_CSV File 1m Bins</v>
      </c>
      <c r="D1381" t="s">
        <v>1829</v>
      </c>
      <c r="E1381" t="s">
        <v>1</v>
      </c>
      <c r="G1381" t="s">
        <v>1797</v>
      </c>
      <c r="H1381" t="s">
        <v>1830</v>
      </c>
      <c r="I1381">
        <v>-23.3476</v>
      </c>
      <c r="J1381">
        <v>120.19199999999999</v>
      </c>
      <c r="K1381" t="str">
        <f>HYPERLINK("http://geossdi.dmp.wa.gov.au/NVCLDataServices/mosaic.html?datasetid=1e56d92f-8497-418e-8369-e59ae9dc7fe","JMDH001_Core Image")</f>
        <v>JMDH001_Core Image</v>
      </c>
    </row>
    <row r="1382" spans="1:11" x14ac:dyDescent="0.25">
      <c r="A1382" t="str">
        <f>HYPERLINK("http://www.corstruth.com.au/WA/DD93CG05_cs.png","DD93CG05_A4")</f>
        <v>DD93CG05_A4</v>
      </c>
      <c r="B1382" t="str">
        <f>HYPERLINK("http://www.corstruth.com.au/WA/PNG2/DD93CG05_cs.png","DD93CG05_0.25m Bins")</f>
        <v>DD93CG05_0.25m Bins</v>
      </c>
      <c r="C1382" t="str">
        <f>HYPERLINK("http://www.corstruth.com.au/WA/CSV/DD93CG05.csv","DD93CG05_CSV File 1m Bins")</f>
        <v>DD93CG05_CSV File 1m Bins</v>
      </c>
      <c r="D1382" t="s">
        <v>1831</v>
      </c>
      <c r="E1382" t="s">
        <v>1</v>
      </c>
      <c r="G1382" t="s">
        <v>1797</v>
      </c>
      <c r="H1382" t="s">
        <v>1832</v>
      </c>
      <c r="I1382">
        <v>-21.613399999999999</v>
      </c>
      <c r="J1382">
        <v>120.352</v>
      </c>
      <c r="K1382" t="str">
        <f>HYPERLINK("http://geossdi.dmp.wa.gov.au/NVCLDataServices/mosaic.html?datasetid=25ed2f48-d98d-4841-9acc-8e109d1967c","DD93CG05_Core Image")</f>
        <v>DD93CG05_Core Image</v>
      </c>
    </row>
    <row r="1383" spans="1:11" x14ac:dyDescent="0.25">
      <c r="A1383" t="str">
        <f>HYPERLINK("http://www.corstruth.com.au/WA/DD93CG06_cs.png","DD93CG06_A4")</f>
        <v>DD93CG06_A4</v>
      </c>
      <c r="B1383" t="str">
        <f>HYPERLINK("http://www.corstruth.com.au/WA/PNG2/DD93CG06_cs.png","DD93CG06_0.25m Bins")</f>
        <v>DD93CG06_0.25m Bins</v>
      </c>
      <c r="C1383" t="str">
        <f>HYPERLINK("http://www.corstruth.com.au/WA/CSV/DD93CG06.csv","DD93CG06_CSV File 1m Bins")</f>
        <v>DD93CG06_CSV File 1m Bins</v>
      </c>
      <c r="D1383" t="s">
        <v>1833</v>
      </c>
      <c r="E1383" t="s">
        <v>1</v>
      </c>
      <c r="G1383" t="s">
        <v>1797</v>
      </c>
      <c r="H1383" t="s">
        <v>1832</v>
      </c>
      <c r="I1383">
        <v>-21.613399999999999</v>
      </c>
      <c r="J1383">
        <v>120.35899999999999</v>
      </c>
      <c r="K1383" t="str">
        <f>HYPERLINK("http://geossdi.dmp.wa.gov.au/NVCLDataServices/mosaic.html?datasetid=8375d0ee-6e21-46de-891f-a1ba9be1154","DD93CG06_Core Image")</f>
        <v>DD93CG06_Core Image</v>
      </c>
    </row>
    <row r="1384" spans="1:11" x14ac:dyDescent="0.25">
      <c r="A1384" t="str">
        <f>HYPERLINK("http://www.corstruth.com.au/WA/DD93CG07_cs.png","DD93CG07_A4")</f>
        <v>DD93CG07_A4</v>
      </c>
      <c r="B1384" t="str">
        <f>HYPERLINK("http://www.corstruth.com.au/WA/PNG2/DD93CG07_cs.png","DD93CG07_0.25m Bins")</f>
        <v>DD93CG07_0.25m Bins</v>
      </c>
      <c r="C1384" t="str">
        <f>HYPERLINK("http://www.corstruth.com.au/WA/CSV/DD93CG07.csv","DD93CG07_CSV File 1m Bins")</f>
        <v>DD93CG07_CSV File 1m Bins</v>
      </c>
      <c r="D1384" t="s">
        <v>1834</v>
      </c>
      <c r="E1384" t="s">
        <v>1</v>
      </c>
      <c r="G1384" t="s">
        <v>1797</v>
      </c>
      <c r="H1384" t="s">
        <v>1832</v>
      </c>
      <c r="I1384">
        <v>-21.6144</v>
      </c>
      <c r="J1384">
        <v>120.36</v>
      </c>
      <c r="K1384" t="str">
        <f>HYPERLINK("http://geossdi.dmp.wa.gov.au/NVCLDataServices/mosaic.html?datasetid=aeed5960-bff1-4d7d-ad8c-bedbd47c4a9","DD93CG07_Core Image")</f>
        <v>DD93CG07_Core Image</v>
      </c>
    </row>
    <row r="1385" spans="1:11" x14ac:dyDescent="0.25">
      <c r="A1385" t="str">
        <f>HYPERLINK("http://www.corstruth.com.au/WA/VSD005_cs.png","VSD005_A4")</f>
        <v>VSD005_A4</v>
      </c>
      <c r="B1385" t="str">
        <f>HYPERLINK("http://www.corstruth.com.au/WA/PNG2/VSD005_cs.png","VSD005_0.25m Bins")</f>
        <v>VSD005_0.25m Bins</v>
      </c>
      <c r="C1385" t="str">
        <f>HYPERLINK("http://www.corstruth.com.au/WA/CSV/VSD005.csv","VSD005_CSV File 1m Bins")</f>
        <v>VSD005_CSV File 1m Bins</v>
      </c>
      <c r="D1385" t="s">
        <v>1835</v>
      </c>
      <c r="E1385" t="s">
        <v>1</v>
      </c>
      <c r="G1385" t="s">
        <v>1797</v>
      </c>
      <c r="H1385" t="s">
        <v>1836</v>
      </c>
      <c r="I1385">
        <v>-21.1768</v>
      </c>
      <c r="J1385">
        <v>119.22799999999999</v>
      </c>
      <c r="K1385" t="str">
        <f>HYPERLINK("http://geossdi.dmp.wa.gov.au/NVCLDataServices/mosaic.html?datasetid=db282a27-b6e6-4442-9965-3867ae8a62c","VSD005_Core Image")</f>
        <v>VSD005_Core Image</v>
      </c>
    </row>
    <row r="1386" spans="1:11" x14ac:dyDescent="0.25">
      <c r="A1386" t="str">
        <f>HYPERLINK("http://www.corstruth.com.au/WA/VSD006_cs.png","VSD006_A4")</f>
        <v>VSD006_A4</v>
      </c>
      <c r="B1386" t="str">
        <f>HYPERLINK("http://www.corstruth.com.au/WA/PNG2/VSD006_cs.png","VSD006_0.25m Bins")</f>
        <v>VSD006_0.25m Bins</v>
      </c>
      <c r="C1386" t="str">
        <f>HYPERLINK("http://www.corstruth.com.au/WA/CSV/VSD006.csv","VSD006_CSV File 1m Bins")</f>
        <v>VSD006_CSV File 1m Bins</v>
      </c>
      <c r="D1386" t="s">
        <v>1837</v>
      </c>
      <c r="E1386" t="s">
        <v>1</v>
      </c>
      <c r="G1386" t="s">
        <v>1797</v>
      </c>
      <c r="H1386" t="s">
        <v>1836</v>
      </c>
      <c r="I1386">
        <v>-21.1768</v>
      </c>
      <c r="J1386">
        <v>119.22799999999999</v>
      </c>
      <c r="K1386" t="str">
        <f>HYPERLINK("http://geossdi.dmp.wa.gov.au/NVCLDataServices/mosaic.html?datasetid=650e69c4-a8fd-420b-a617-3dc4aad8dae","VSD006_Core Image")</f>
        <v>VSD006_Core Image</v>
      </c>
    </row>
    <row r="1387" spans="1:11" x14ac:dyDescent="0.25">
      <c r="A1387" t="str">
        <f>HYPERLINK("http://www.corstruth.com.au/WA/VSD007_cs.png","VSD007_A4")</f>
        <v>VSD007_A4</v>
      </c>
      <c r="B1387" t="str">
        <f>HYPERLINK("http://www.corstruth.com.au/WA/PNG2/VSD007_cs.png","VSD007_0.25m Bins")</f>
        <v>VSD007_0.25m Bins</v>
      </c>
      <c r="C1387" t="str">
        <f>HYPERLINK("http://www.corstruth.com.au/WA/CSV/VSD007.csv","VSD007_CSV File 1m Bins")</f>
        <v>VSD007_CSV File 1m Bins</v>
      </c>
      <c r="D1387" t="s">
        <v>1838</v>
      </c>
      <c r="E1387" t="s">
        <v>1</v>
      </c>
      <c r="G1387" t="s">
        <v>1797</v>
      </c>
      <c r="H1387" t="s">
        <v>1836</v>
      </c>
      <c r="I1387">
        <v>-21.1768</v>
      </c>
      <c r="J1387">
        <v>119.22799999999999</v>
      </c>
      <c r="K1387" t="str">
        <f>HYPERLINK("http://geossdi.dmp.wa.gov.au/NVCLDataServices/mosaic.html?datasetid=9f5d570a-90cc-473e-b2c2-a5e3bfa3631","VSD007_Core Image")</f>
        <v>VSD007_Core Image</v>
      </c>
    </row>
    <row r="1388" spans="1:11" x14ac:dyDescent="0.25">
      <c r="A1388" t="str">
        <f>HYPERLINK("http://www.corstruth.com.au/WA/VSD008_cs.png","VSD008_A4")</f>
        <v>VSD008_A4</v>
      </c>
      <c r="B1388" t="str">
        <f>HYPERLINK("http://www.corstruth.com.au/WA/PNG2/VSD008_cs.png","VSD008_0.25m Bins")</f>
        <v>VSD008_0.25m Bins</v>
      </c>
      <c r="C1388" t="str">
        <f>HYPERLINK("http://www.corstruth.com.au/WA/CSV/VSD008.csv","VSD008_CSV File 1m Bins")</f>
        <v>VSD008_CSV File 1m Bins</v>
      </c>
      <c r="D1388" t="s">
        <v>1839</v>
      </c>
      <c r="E1388" t="s">
        <v>1</v>
      </c>
      <c r="G1388" t="s">
        <v>1797</v>
      </c>
      <c r="H1388" t="s">
        <v>1836</v>
      </c>
      <c r="I1388">
        <v>-21.1799</v>
      </c>
      <c r="J1388">
        <v>119.22799999999999</v>
      </c>
      <c r="K1388" t="str">
        <f>HYPERLINK("http://geossdi.dmp.wa.gov.au/NVCLDataServices/mosaic.html?datasetid=dea599b1-0348-412c-b767-36fed387b87","VSD008_Core Image")</f>
        <v>VSD008_Core Image</v>
      </c>
    </row>
    <row r="1389" spans="1:11" x14ac:dyDescent="0.25">
      <c r="A1389" t="str">
        <f>HYPERLINK("http://www.corstruth.com.au/WA/PAD001_cs.png","PAD001_A4")</f>
        <v>PAD001_A4</v>
      </c>
      <c r="B1389" t="str">
        <f>HYPERLINK("http://www.corstruth.com.au/WA/PNG2/PAD001_cs.png","PAD001_0.25m Bins")</f>
        <v>PAD001_0.25m Bins</v>
      </c>
      <c r="C1389" t="str">
        <f>HYPERLINK("http://www.corstruth.com.au/WA/CSV/PAD001.csv","PAD001_CSV File 1m Bins")</f>
        <v>PAD001_CSV File 1m Bins</v>
      </c>
      <c r="D1389" t="s">
        <v>1840</v>
      </c>
      <c r="E1389" t="s">
        <v>1</v>
      </c>
      <c r="G1389" t="s">
        <v>1797</v>
      </c>
      <c r="H1389" t="s">
        <v>1841</v>
      </c>
      <c r="I1389">
        <v>-20.203600000000002</v>
      </c>
      <c r="J1389">
        <v>119.57299999999999</v>
      </c>
      <c r="K1389" t="str">
        <f>HYPERLINK("http://geossdi.dmp.wa.gov.au/NVCLDataServices/mosaic.html?datasetid=4bb05e96-7f2b-4d4a-bc36-e51a3ce25e6","PAD001_Core Image")</f>
        <v>PAD001_Core Image</v>
      </c>
    </row>
    <row r="1390" spans="1:11" x14ac:dyDescent="0.25">
      <c r="A1390" t="str">
        <f>HYPERLINK("http://www.corstruth.com.au/WA/PLSEIS001_cs.png","PLSEIS001_A4")</f>
        <v>PLSEIS001_A4</v>
      </c>
      <c r="B1390" t="str">
        <f>HYPERLINK("http://www.corstruth.com.au/WA/PNG2/PLSEIS001_cs.png","PLSEIS001_0.25m Bins")</f>
        <v>PLSEIS001_0.25m Bins</v>
      </c>
      <c r="C1390" t="str">
        <f>HYPERLINK("http://www.corstruth.com.au/WA/CSV/PLSEIS001.csv","PLSEIS001_CSV File 1m Bins")</f>
        <v>PLSEIS001_CSV File 1m Bins</v>
      </c>
      <c r="D1390" t="s">
        <v>1842</v>
      </c>
      <c r="E1390" t="s">
        <v>1</v>
      </c>
      <c r="G1390" t="s">
        <v>1797</v>
      </c>
      <c r="H1390" t="s">
        <v>1843</v>
      </c>
      <c r="I1390">
        <v>-21.057099999999998</v>
      </c>
      <c r="J1390">
        <v>118.907</v>
      </c>
      <c r="K1390" t="str">
        <f>HYPERLINK("http://geossdi.dmp.wa.gov.au/NVCLDataServices/mosaic.html?datasetid=c76a2310-024f-4d9e-9e71-baa2296e941","PLSEIS001_Core Image")</f>
        <v>PLSEIS001_Core Image</v>
      </c>
    </row>
    <row r="1391" spans="1:11" x14ac:dyDescent="0.25">
      <c r="A1391" t="str">
        <f>HYPERLINK("http://www.corstruth.com.au/WA/DD93RD1_cs.png","DD93RD1_A4")</f>
        <v>DD93RD1_A4</v>
      </c>
      <c r="B1391" t="str">
        <f>HYPERLINK("http://www.corstruth.com.au/WA/PNG2/DD93RD1_cs.png","DD93RD1_0.25m Bins")</f>
        <v>DD93RD1_0.25m Bins</v>
      </c>
      <c r="C1391" t="str">
        <f>HYPERLINK("http://www.corstruth.com.au/WA/CSV/DD93RD1.csv","DD93RD1_CSV File 1m Bins")</f>
        <v>DD93RD1_CSV File 1m Bins</v>
      </c>
      <c r="D1391" t="s">
        <v>1844</v>
      </c>
      <c r="E1391" t="s">
        <v>1</v>
      </c>
      <c r="G1391" t="s">
        <v>1797</v>
      </c>
      <c r="H1391" t="s">
        <v>1845</v>
      </c>
      <c r="I1391">
        <v>-22.7697</v>
      </c>
      <c r="J1391">
        <v>117.27</v>
      </c>
      <c r="K1391" t="str">
        <f>HYPERLINK("http://geossdi.dmp.wa.gov.au/NVCLDataServices/mosaic.html?datasetid=d2bbe4ea-a386-4d30-9a33-edf8bf4592b","DD93RD1_Core Image")</f>
        <v>DD93RD1_Core Image</v>
      </c>
    </row>
    <row r="1392" spans="1:11" x14ac:dyDescent="0.25">
      <c r="A1392" t="str">
        <f>HYPERLINK("http://www.corstruth.com.au/WA/DD93RD2_cs.png","DD93RD2_A4")</f>
        <v>DD93RD2_A4</v>
      </c>
      <c r="B1392" t="str">
        <f>HYPERLINK("http://www.corstruth.com.au/WA/PNG2/DD93RD2_cs.png","DD93RD2_0.25m Bins")</f>
        <v>DD93RD2_0.25m Bins</v>
      </c>
      <c r="C1392" t="str">
        <f>HYPERLINK("http://www.corstruth.com.au/WA/CSV/DD93RD2.csv","DD93RD2_CSV File 1m Bins")</f>
        <v>DD93RD2_CSV File 1m Bins</v>
      </c>
      <c r="D1392" t="s">
        <v>1846</v>
      </c>
      <c r="E1392" t="s">
        <v>1</v>
      </c>
      <c r="G1392" t="s">
        <v>1797</v>
      </c>
      <c r="H1392" t="s">
        <v>1845</v>
      </c>
      <c r="I1392">
        <v>-22.879000000000001</v>
      </c>
      <c r="J1392">
        <v>117.241</v>
      </c>
      <c r="K1392" t="str">
        <f>HYPERLINK("http://geossdi.dmp.wa.gov.au/NVCLDataServices/mosaic.html?datasetid=2acec1b2-6348-490f-a737-9c40c0a108f","DD93RD2_Core Image")</f>
        <v>DD93RD2_Core Image</v>
      </c>
    </row>
    <row r="1393" spans="1:11" x14ac:dyDescent="0.25">
      <c r="A1393" t="str">
        <f>HYPERLINK("http://www.corstruth.com.au/WA/RHD0296_cs.png","RHD0296_A4")</f>
        <v>RHD0296_A4</v>
      </c>
      <c r="B1393" t="str">
        <f>HYPERLINK("http://www.corstruth.com.au/WA/PNG2/RHD0296_cs.png","RHD0296_0.25m Bins")</f>
        <v>RHD0296_0.25m Bins</v>
      </c>
      <c r="C1393" t="str">
        <f>HYPERLINK("http://www.corstruth.com.au/WA/CSV/RHD0296.csv","RHD0296_CSV File 1m Bins")</f>
        <v>RHD0296_CSV File 1m Bins</v>
      </c>
      <c r="D1393" t="s">
        <v>1847</v>
      </c>
      <c r="E1393" t="s">
        <v>1</v>
      </c>
      <c r="G1393" t="s">
        <v>1797</v>
      </c>
      <c r="H1393" t="s">
        <v>1848</v>
      </c>
      <c r="I1393">
        <v>-22.6374</v>
      </c>
      <c r="J1393">
        <v>120.05</v>
      </c>
      <c r="K1393" t="str">
        <f>HYPERLINK("http://geossdi.dmp.wa.gov.au/NVCLDataServices/mosaic.html?datasetid=c4df6d6c-028e-4777-8288-98f73fec1cf","RHD0296_Core Image")</f>
        <v>RHD0296_Core Image</v>
      </c>
    </row>
    <row r="1394" spans="1:11" x14ac:dyDescent="0.25">
      <c r="A1394" t="str">
        <f>HYPERLINK("http://www.corstruth.com.au/WA/SBD_22_cs.png","SBD 22_A4")</f>
        <v>SBD 22_A4</v>
      </c>
      <c r="B1394" t="str">
        <f>HYPERLINK("http://www.corstruth.com.au/WA/PNG2/SBD_22_cs.png","SBD 22_0.25m Bins")</f>
        <v>SBD 22_0.25m Bins</v>
      </c>
      <c r="C1394" t="str">
        <f>HYPERLINK("http://www.corstruth.com.au/WA/CSV/SBD_22.csv","SBD 22_CSV File 1m Bins")</f>
        <v>SBD 22_CSV File 1m Bins</v>
      </c>
      <c r="D1394" t="s">
        <v>1849</v>
      </c>
      <c r="E1394" t="s">
        <v>1</v>
      </c>
      <c r="G1394" t="s">
        <v>1797</v>
      </c>
      <c r="H1394" t="s">
        <v>1850</v>
      </c>
      <c r="I1394">
        <v>-20.81</v>
      </c>
      <c r="J1394">
        <v>117.54</v>
      </c>
      <c r="K1394" t="str">
        <f>HYPERLINK("http://geossdi.dmp.wa.gov.au/NVCLDataServices/mosaic.html?datasetid=097fec7c-614b-4ab2-9974-498f0ca56fc","SBD 22_Core Image")</f>
        <v>SBD 22_Core Image</v>
      </c>
    </row>
    <row r="1395" spans="1:11" x14ac:dyDescent="0.25">
      <c r="A1395" t="str">
        <f>HYPERLINK("http://www.corstruth.com.au/WA/TRC174D_cs.png","TRC174D_A4")</f>
        <v>TRC174D_A4</v>
      </c>
      <c r="B1395" t="str">
        <f>HYPERLINK("http://www.corstruth.com.au/WA/PNG2/TRC174D_cs.png","TRC174D_0.25m Bins")</f>
        <v>TRC174D_0.25m Bins</v>
      </c>
      <c r="C1395" t="str">
        <f>HYPERLINK("http://www.corstruth.com.au/WA/CSV/TRC174D.csv","TRC174D_CSV File 1m Bins")</f>
        <v>TRC174D_CSV File 1m Bins</v>
      </c>
      <c r="D1395" t="s">
        <v>1851</v>
      </c>
      <c r="E1395" t="s">
        <v>1</v>
      </c>
      <c r="G1395" t="s">
        <v>1797</v>
      </c>
      <c r="H1395" t="s">
        <v>1852</v>
      </c>
      <c r="I1395">
        <v>-20.9786</v>
      </c>
      <c r="J1395">
        <v>117.88200000000001</v>
      </c>
      <c r="K1395" t="str">
        <f>HYPERLINK("http://geossdi.dmp.wa.gov.au/NVCLDataServices/mosaic.html?datasetid=753e8156-5f7c-485c-a781-ed175ab1400","TRC174D_Core Image")</f>
        <v>TRC174D_Core Image</v>
      </c>
    </row>
    <row r="1396" spans="1:11" x14ac:dyDescent="0.25">
      <c r="A1396" t="str">
        <f>HYPERLINK("http://www.corstruth.com.au/WA/WHRD021_cs.png","WHRD021_A4")</f>
        <v>WHRD021_A4</v>
      </c>
      <c r="B1396" t="str">
        <f>HYPERLINK("http://www.corstruth.com.au/WA/PNG2/WHRD021_cs.png","WHRD021_0.25m Bins")</f>
        <v>WHRD021_0.25m Bins</v>
      </c>
      <c r="C1396" t="str">
        <f>HYPERLINK("http://www.corstruth.com.au/WA/CSV/WHRD021.csv","WHRD021_CSV File 1m Bins")</f>
        <v>WHRD021_CSV File 1m Bins</v>
      </c>
      <c r="D1396" t="s">
        <v>1853</v>
      </c>
      <c r="E1396" t="s">
        <v>1</v>
      </c>
      <c r="G1396" t="s">
        <v>1797</v>
      </c>
      <c r="H1396" t="s">
        <v>1854</v>
      </c>
      <c r="I1396">
        <v>-23.860900000000001</v>
      </c>
      <c r="J1396">
        <v>119.57299999999999</v>
      </c>
      <c r="K1396" t="str">
        <f>HYPERLINK("http://geossdi.dmp.wa.gov.au/NVCLDataServices/mosaic.html?datasetid=de06736c-ddfa-434e-a442-b73320821ca","WHRD021_Core Image")</f>
        <v>WHRD021_Core Image</v>
      </c>
    </row>
    <row r="1397" spans="1:11" x14ac:dyDescent="0.25">
      <c r="A1397" t="str">
        <f>HYPERLINK("http://www.corstruth.com.au/WA/CSD01_cs.png","CSD01_A4")</f>
        <v>CSD01_A4</v>
      </c>
      <c r="B1397" t="str">
        <f>HYPERLINK("http://www.corstruth.com.au/WA/PNG2/CSD01_cs.png","CSD01_0.25m Bins")</f>
        <v>CSD01_0.25m Bins</v>
      </c>
      <c r="C1397" t="str">
        <f>HYPERLINK("http://www.corstruth.com.au/WA/CSV/CSD01.csv","CSD01_CSV File 1m Bins")</f>
        <v>CSD01_CSV File 1m Bins</v>
      </c>
      <c r="D1397" t="s">
        <v>1855</v>
      </c>
      <c r="E1397" t="s">
        <v>1</v>
      </c>
      <c r="G1397" t="s">
        <v>1856</v>
      </c>
      <c r="H1397" t="s">
        <v>1857</v>
      </c>
      <c r="I1397">
        <v>-27.025400000000001</v>
      </c>
      <c r="J1397">
        <v>115.44199999999999</v>
      </c>
      <c r="K1397" t="str">
        <f>HYPERLINK("http://geossdi.dmp.wa.gov.au/NVCLDataServices/mosaic.html?datasetid=fddf5e17-d7d2-4a2a-a341-afe9744bfa3","CSD01_Core Image")</f>
        <v>CSD01_Core Image</v>
      </c>
    </row>
    <row r="1398" spans="1:11" x14ac:dyDescent="0.25">
      <c r="A1398" t="str">
        <f>HYPERLINK("http://www.corstruth.com.au/WA/Redback_1_cuttings_cs.png","Redback 1_cuttings_A4")</f>
        <v>Redback 1_cuttings_A4</v>
      </c>
      <c r="B1398" t="str">
        <f>HYPERLINK("http://www.corstruth.com.au/WA/PNG2/Redback_1_cuttings_cs.png","Redback 1_cuttings_0.25m Bins")</f>
        <v>Redback 1_cuttings_0.25m Bins</v>
      </c>
      <c r="C1398" t="str">
        <f>HYPERLINK("http://www.corstruth.com.au/WA/CSV/Redback_1_cuttings.csv","Redback 1_cuttings_CSV File 1m Bins")</f>
        <v>Redback 1_cuttings_CSV File 1m Bins</v>
      </c>
      <c r="D1398" t="s">
        <v>1858</v>
      </c>
      <c r="E1398" t="s">
        <v>1</v>
      </c>
      <c r="H1398" t="s">
        <v>1859</v>
      </c>
      <c r="I1398">
        <v>-29.457799999999999</v>
      </c>
      <c r="J1398">
        <v>115.16200000000001</v>
      </c>
      <c r="K1398" t="str">
        <f>HYPERLINK("http://geossdi.dmp.wa.gov.au/NVCLDataServices/mosaic.html?datasetid=12190c9d-a0ba-4c17-a67f-a2e5c8f2dff","Redback 1_cuttings_Core Image")</f>
        <v>Redback 1_cuttings_Core Image</v>
      </c>
    </row>
    <row r="1399" spans="1:11" x14ac:dyDescent="0.25">
      <c r="A1399" t="str">
        <f>HYPERLINK("http://www.corstruth.com.au/WA/Redback_2_cuttings_cs.png","Redback 2_cuttings_A4")</f>
        <v>Redback 2_cuttings_A4</v>
      </c>
      <c r="B1399" t="str">
        <f>HYPERLINK("http://www.corstruth.com.au/WA/PNG2/Redback_2_cuttings_cs.png","Redback 2_cuttings_0.25m Bins")</f>
        <v>Redback 2_cuttings_0.25m Bins</v>
      </c>
      <c r="C1399" t="str">
        <f>HYPERLINK("http://www.corstruth.com.au/WA/CSV/Redback_2_cuttings.csv","Redback 2_cuttings_CSV File 1m Bins")</f>
        <v>Redback 2_cuttings_CSV File 1m Bins</v>
      </c>
      <c r="D1399" t="s">
        <v>1860</v>
      </c>
      <c r="E1399" t="s">
        <v>1</v>
      </c>
      <c r="H1399" t="s">
        <v>1859</v>
      </c>
      <c r="I1399">
        <v>-29.457599999999999</v>
      </c>
      <c r="J1399">
        <v>115.16200000000001</v>
      </c>
      <c r="K1399" t="str">
        <f>HYPERLINK("http://geossdi.dmp.wa.gov.au/NVCLDataServices/mosaic.html?datasetid=68edb4e8-7056-443d-b4ff-67cc447986a","Redback 2_cuttings_Core Image")</f>
        <v>Redback 2_cuttings_Core Image</v>
      </c>
    </row>
    <row r="1400" spans="1:11" x14ac:dyDescent="0.25">
      <c r="A1400" t="str">
        <f>HYPERLINK("http://www.corstruth.com.au/WA/Dorado_2_cs.png","Dorado 2_A4")</f>
        <v>Dorado 2_A4</v>
      </c>
      <c r="B1400" t="str">
        <f>HYPERLINK("http://www.corstruth.com.au/WA/PNG2/Dorado_2_cs.png","Dorado 2_0.25m Bins")</f>
        <v>Dorado 2_0.25m Bins</v>
      </c>
      <c r="C1400" t="str">
        <f>HYPERLINK("http://www.corstruth.com.au/WA/CSV/Dorado_2.csv","Dorado 2_CSV File 1m Bins")</f>
        <v>Dorado 2_CSV File 1m Bins</v>
      </c>
      <c r="D1400" t="s">
        <v>1861</v>
      </c>
      <c r="E1400" t="s">
        <v>1</v>
      </c>
      <c r="G1400" t="s">
        <v>1862</v>
      </c>
      <c r="H1400" t="s">
        <v>1863</v>
      </c>
      <c r="I1400">
        <v>-19.022099999999998</v>
      </c>
      <c r="J1400">
        <v>118.751</v>
      </c>
      <c r="K1400" t="str">
        <f>HYPERLINK("http://geossdi.dmp.wa.gov.au/NVCLDataServices/mosaic.html?datasetid=818648dd-069b-497b-983c-8a6a593cabb","Dorado 2_Core Image")</f>
        <v>Dorado 2_Core Image</v>
      </c>
    </row>
    <row r="1401" spans="1:11" x14ac:dyDescent="0.25">
      <c r="A1401" t="str">
        <f>HYPERLINK("http://www.corstruth.com.au/WA/Dorado_3_cs.png","Dorado 3_A4")</f>
        <v>Dorado 3_A4</v>
      </c>
      <c r="B1401" t="str">
        <f>HYPERLINK("http://www.corstruth.com.au/WA/PNG2/Dorado_3_cs.png","Dorado 3_0.25m Bins")</f>
        <v>Dorado 3_0.25m Bins</v>
      </c>
      <c r="C1401" t="str">
        <f>HYPERLINK("http://www.corstruth.com.au/WA/CSV/Dorado_3.csv","Dorado 3_CSV File 1m Bins")</f>
        <v>Dorado 3_CSV File 1m Bins</v>
      </c>
      <c r="D1401" t="s">
        <v>1864</v>
      </c>
      <c r="E1401" t="s">
        <v>1</v>
      </c>
      <c r="G1401" t="s">
        <v>1862</v>
      </c>
      <c r="H1401" t="s">
        <v>1863</v>
      </c>
      <c r="I1401">
        <v>-19.0304</v>
      </c>
      <c r="J1401">
        <v>118.726</v>
      </c>
      <c r="K1401" t="str">
        <f>HYPERLINK("http://geossdi.dmp.wa.gov.au/NVCLDataServices/mosaic.html?datasetid=3b41fb46-2bd2-4452-b0b9-3e4200fcbee","Dorado 3_Core Image")</f>
        <v>Dorado 3_Core Image</v>
      </c>
    </row>
    <row r="1402" spans="1:11" x14ac:dyDescent="0.25">
      <c r="A1402" t="str">
        <f>HYPERLINK("http://www.corstruth.com.au/WA/Roc_2_cs.png","Roc 2_A4")</f>
        <v>Roc 2_A4</v>
      </c>
      <c r="B1402" t="str">
        <f>HYPERLINK("http://www.corstruth.com.au/WA/PNG2/Roc_2_cs.png","Roc 2_0.25m Bins")</f>
        <v>Roc 2_0.25m Bins</v>
      </c>
      <c r="C1402" t="str">
        <f>HYPERLINK("http://www.corstruth.com.au/WA/CSV/Roc_2.csv","Roc 2_CSV File 1m Bins")</f>
        <v>Roc 2_CSV File 1m Bins</v>
      </c>
      <c r="D1402" t="s">
        <v>1865</v>
      </c>
      <c r="E1402" t="s">
        <v>1</v>
      </c>
      <c r="G1402" t="s">
        <v>1862</v>
      </c>
      <c r="H1402" t="s">
        <v>1866</v>
      </c>
      <c r="I1402">
        <v>-18.882400000000001</v>
      </c>
      <c r="J1402">
        <v>118.871</v>
      </c>
      <c r="K1402" t="str">
        <f>HYPERLINK("http://geossdi.dmp.wa.gov.au/NVCLDataServices/mosaic.html?datasetid=db33c118-89d1-44e6-83b0-b2d687bc15c","Roc 2_Core Image")</f>
        <v>Roc 2_Core Image</v>
      </c>
    </row>
    <row r="1403" spans="1:11" x14ac:dyDescent="0.25">
      <c r="A1403" t="str">
        <f>HYPERLINK("http://www.corstruth.com.au/WA/OD15_cs.png","OD15_A4")</f>
        <v>OD15_A4</v>
      </c>
      <c r="B1403" t="str">
        <f>HYPERLINK("http://www.corstruth.com.au/WA/PNG2/OD15_cs.png","OD15_0.25m Bins")</f>
        <v>OD15_0.25m Bins</v>
      </c>
      <c r="C1403" t="str">
        <f>HYPERLINK("http://www.corstruth.com.au/WA/CSV/OD15.csv","OD15_CSV File 1m Bins")</f>
        <v>OD15_CSV File 1m Bins</v>
      </c>
      <c r="D1403" t="s">
        <v>1867</v>
      </c>
      <c r="E1403" t="s">
        <v>1</v>
      </c>
      <c r="G1403" t="s">
        <v>1868</v>
      </c>
      <c r="H1403" t="s">
        <v>1869</v>
      </c>
      <c r="I1403">
        <v>-25.188400000000001</v>
      </c>
      <c r="J1403">
        <v>121.511</v>
      </c>
      <c r="K1403" t="str">
        <f>HYPERLINK("http://geossdi.dmp.wa.gov.au/NVCLDataServices/mosaic.html?datasetid=de121b89-6cb8-4ab0-9cae-d0e6709254d","OD15_Core Image")</f>
        <v>OD15_Core Image</v>
      </c>
    </row>
    <row r="1404" spans="1:11" x14ac:dyDescent="0.25">
      <c r="A1404" t="str">
        <f>HYPERLINK("http://www.corstruth.com.au/WA/Senecio_3_cuttings_cs.png","Senecio 3_cuttings_A4")</f>
        <v>Senecio 3_cuttings_A4</v>
      </c>
      <c r="B1404" t="str">
        <f>HYPERLINK("http://www.corstruth.com.au/WA/PNG2/Senecio_3_cuttings_cs.png","Senecio 3_cuttings_0.25m Bins")</f>
        <v>Senecio 3_cuttings_0.25m Bins</v>
      </c>
      <c r="C1404" t="str">
        <f>HYPERLINK("http://www.corstruth.com.au/WA/CSV/Senecio_3_cuttings.csv","Senecio 3_cuttings_CSV File 1m Bins")</f>
        <v>Senecio 3_cuttings_CSV File 1m Bins</v>
      </c>
      <c r="D1404" t="s">
        <v>1753</v>
      </c>
      <c r="E1404" t="s">
        <v>1</v>
      </c>
      <c r="H1404" t="s">
        <v>1754</v>
      </c>
      <c r="I1404">
        <v>-29.2531</v>
      </c>
      <c r="J1404">
        <v>115.08</v>
      </c>
      <c r="K1404" t="str">
        <f>HYPERLINK("http://geossdi.dmp.wa.gov.au/NVCLDataServices/mosaic.html?datasetid=c332a076-5724-4ec0-a8ff-257bc3e8ec3","Senecio 3_cuttings_Core Image")</f>
        <v>Senecio 3_cuttings_Core Image</v>
      </c>
    </row>
    <row r="1405" spans="1:11" x14ac:dyDescent="0.25">
      <c r="A1405" t="str">
        <f>HYPERLINK("http://www.corstruth.com.au/WA/Senecio_3_cuttings2_cs.png","Senecio 3_cuttings2_A4")</f>
        <v>Senecio 3_cuttings2_A4</v>
      </c>
      <c r="B1405" t="str">
        <f>HYPERLINK("http://www.corstruth.com.au/WA/PNG2/Senecio_3_cuttings2_cs.png","Senecio 3_cuttings2_0.25m Bins")</f>
        <v>Senecio 3_cuttings2_0.25m Bins</v>
      </c>
      <c r="C1405" t="str">
        <f>HYPERLINK("http://www.corstruth.com.au/WA/CSV/Senecio_3_cuttings2.csv","Senecio 3_cuttings2_CSV File 1m Bins")</f>
        <v>Senecio 3_cuttings2_CSV File 1m Bins</v>
      </c>
      <c r="D1405" t="s">
        <v>1753</v>
      </c>
      <c r="E1405" t="s">
        <v>1</v>
      </c>
      <c r="H1405" t="s">
        <v>1754</v>
      </c>
      <c r="I1405">
        <v>-29.2531</v>
      </c>
      <c r="J1405">
        <v>115.08</v>
      </c>
      <c r="K1405" t="str">
        <f>HYPERLINK("http://geossdi.dmp.wa.gov.au/NVCLDataServices/mosaic.html?datasetid=77ecceed-4fd4-4f79-bce6-053e7e9329b","Senecio 3_cuttings2_Core Image")</f>
        <v>Senecio 3_cuttings2_Core Image</v>
      </c>
    </row>
    <row r="1406" spans="1:11" x14ac:dyDescent="0.25">
      <c r="A1406" t="str">
        <f>HYPERLINK("http://www.corstruth.com.au/WA/RHDD001_cs.png","RHDD001_A4")</f>
        <v>RHDD001_A4</v>
      </c>
      <c r="B1406" t="str">
        <f>HYPERLINK("http://www.corstruth.com.au/WA/PNG2/RHDD001_cs.png","RHDD001_0.25m Bins")</f>
        <v>RHDD001_0.25m Bins</v>
      </c>
      <c r="C1406" t="str">
        <f>HYPERLINK("http://www.corstruth.com.au/WA/CSV/RHDD001.csv","RHDD001_CSV File 1m Bins")</f>
        <v>RHDD001_CSV File 1m Bins</v>
      </c>
      <c r="D1406" t="s">
        <v>1870</v>
      </c>
      <c r="E1406" t="s">
        <v>1</v>
      </c>
      <c r="G1406" t="s">
        <v>1871</v>
      </c>
      <c r="H1406" t="s">
        <v>1872</v>
      </c>
      <c r="I1406">
        <v>-33.515000000000001</v>
      </c>
      <c r="J1406">
        <v>117.38200000000001</v>
      </c>
      <c r="K1406" t="str">
        <f>HYPERLINK("http://geossdi.dmp.wa.gov.au/NVCLDataServices/mosaic.html?datasetid=9e44dc7c-c9da-4014-9c53-b3e719760a9","RHDD001_Core Image")</f>
        <v>RHDD001_Core Image</v>
      </c>
    </row>
    <row r="1407" spans="1:11" x14ac:dyDescent="0.25">
      <c r="A1407" t="str">
        <f>HYPERLINK("http://www.corstruth.com.au/WA/RHRC0014_cs.png","RHRC0014_A4")</f>
        <v>RHRC0014_A4</v>
      </c>
      <c r="B1407" t="str">
        <f>HYPERLINK("http://www.corstruth.com.au/WA/PNG2/RHRC0014_cs.png","RHRC0014_0.25m Bins")</f>
        <v>RHRC0014_0.25m Bins</v>
      </c>
      <c r="C1407" t="str">
        <f>HYPERLINK("http://www.corstruth.com.au/WA/CSV/RHRC0014.csv","RHRC0014_CSV File 1m Bins")</f>
        <v>RHRC0014_CSV File 1m Bins</v>
      </c>
      <c r="D1407" t="s">
        <v>1873</v>
      </c>
      <c r="E1407" t="s">
        <v>1</v>
      </c>
      <c r="G1407" t="s">
        <v>1871</v>
      </c>
      <c r="H1407" t="s">
        <v>1872</v>
      </c>
      <c r="I1407">
        <v>-33.600200000000001</v>
      </c>
      <c r="J1407">
        <v>117.447</v>
      </c>
      <c r="K1407" t="str">
        <f>HYPERLINK("http://geossdi.dmp.wa.gov.au/NVCLDataServices/mosaic.html?datasetid=cef2da28-433c-400c-a7be-9fb2a4073e3","RHRC0014_Core Image")</f>
        <v>RHRC0014_Core Image</v>
      </c>
    </row>
    <row r="1408" spans="1:11" x14ac:dyDescent="0.25">
      <c r="A1408" t="str">
        <f>HYPERLINK("http://www.corstruth.com.au/WA/ODD01_cs.png","ODD01_A4")</f>
        <v>ODD01_A4</v>
      </c>
      <c r="B1408" t="str">
        <f>HYPERLINK("http://www.corstruth.com.au/WA/PNG2/ODD01_cs.png","ODD01_0.25m Bins")</f>
        <v>ODD01_0.25m Bins</v>
      </c>
      <c r="C1408" t="str">
        <f>HYPERLINK("http://www.corstruth.com.au/WA/CSV/ODD01.csv","ODD01_CSV File 1m Bins")</f>
        <v>ODD01_CSV File 1m Bins</v>
      </c>
      <c r="D1408" t="s">
        <v>1874</v>
      </c>
      <c r="E1408" t="s">
        <v>1</v>
      </c>
      <c r="G1408" t="s">
        <v>1871</v>
      </c>
      <c r="H1408" t="s">
        <v>1875</v>
      </c>
      <c r="I1408">
        <v>-34.169499999999999</v>
      </c>
      <c r="J1408">
        <v>116.20099999999999</v>
      </c>
      <c r="K1408" t="str">
        <f>HYPERLINK("http://geossdi.dmp.wa.gov.au/NVCLDataServices/mosaic.html?datasetid=6b94e3aa-4d28-485b-8037-62611eedb07","ODD01_Core Image")</f>
        <v>ODD01_Core Image</v>
      </c>
    </row>
    <row r="1409" spans="1:11" x14ac:dyDescent="0.25">
      <c r="A1409" t="str">
        <f>HYPERLINK("http://www.corstruth.com.au/WA/TOR01_cs.png","TOR01_A4")</f>
        <v>TOR01_A4</v>
      </c>
      <c r="B1409" t="str">
        <f>HYPERLINK("http://www.corstruth.com.au/WA/PNG2/TOR01_cs.png","TOR01_0.25m Bins")</f>
        <v>TOR01_0.25m Bins</v>
      </c>
      <c r="C1409" t="str">
        <f>HYPERLINK("http://www.corstruth.com.au/WA/CSV/TOR01.csv","TOR01_CSV File 1m Bins")</f>
        <v>TOR01_CSV File 1m Bins</v>
      </c>
      <c r="D1409" t="s">
        <v>1876</v>
      </c>
      <c r="E1409" t="s">
        <v>1</v>
      </c>
      <c r="G1409" t="s">
        <v>1871</v>
      </c>
      <c r="H1409" t="s">
        <v>1875</v>
      </c>
      <c r="I1409">
        <v>-34.145000000000003</v>
      </c>
      <c r="J1409">
        <v>116.062</v>
      </c>
      <c r="K1409" t="str">
        <f>HYPERLINK("http://geossdi.dmp.wa.gov.au/NVCLDataServices/mosaic.html?datasetid=204f9c83-2165-4dd9-b289-54e194d5e5a","TOR01_Core Image")</f>
        <v>TOR01_Core Image</v>
      </c>
    </row>
    <row r="1410" spans="1:11" x14ac:dyDescent="0.25">
      <c r="A1410" t="str">
        <f>HYPERLINK("http://www.corstruth.com.au/WA/WRD09370-001_cs.png","WRD09370-001_A4")</f>
        <v>WRD09370-001_A4</v>
      </c>
      <c r="B1410" t="str">
        <f>HYPERLINK("http://www.corstruth.com.au/WA/PNG2/WRD09370-001_cs.png","WRD09370-001_0.25m Bins")</f>
        <v>WRD09370-001_0.25m Bins</v>
      </c>
      <c r="C1410" t="str">
        <f>HYPERLINK("http://www.corstruth.com.au/WA/CSV/WRD09370-001.csv","WRD09370-001_CSV File 1m Bins")</f>
        <v>WRD09370-001_CSV File 1m Bins</v>
      </c>
      <c r="D1410" t="s">
        <v>1877</v>
      </c>
      <c r="E1410" t="s">
        <v>1</v>
      </c>
      <c r="G1410" t="s">
        <v>1871</v>
      </c>
      <c r="H1410" t="s">
        <v>1878</v>
      </c>
      <c r="I1410">
        <v>-32.761499999999998</v>
      </c>
      <c r="J1410">
        <v>116.376</v>
      </c>
      <c r="K1410" t="str">
        <f>HYPERLINK("http://geossdi.dmp.wa.gov.au/NVCLDataServices/mosaic.html?datasetid=db2ac4ee-a395-48eb-af61-9e6973282fd","WRD09370-001_Core Image")</f>
        <v>WRD09370-001_Core Image</v>
      </c>
    </row>
    <row r="1411" spans="1:11" x14ac:dyDescent="0.25">
      <c r="A1411" t="str">
        <f>HYPERLINK("http://www.corstruth.com.au/WA/WRD10405-001_cs.png","WRD10405-001_A4")</f>
        <v>WRD10405-001_A4</v>
      </c>
      <c r="B1411" t="str">
        <f>HYPERLINK("http://www.corstruth.com.au/WA/PNG2/WRD10405-001_cs.png","WRD10405-001_0.25m Bins")</f>
        <v>WRD10405-001_0.25m Bins</v>
      </c>
      <c r="C1411" t="str">
        <f>HYPERLINK("http://www.corstruth.com.au/WA/CSV/WRD10405-001.csv","WRD10405-001_CSV File 1m Bins")</f>
        <v>WRD10405-001_CSV File 1m Bins</v>
      </c>
      <c r="D1411" t="s">
        <v>1879</v>
      </c>
      <c r="E1411" t="s">
        <v>1</v>
      </c>
      <c r="G1411" t="s">
        <v>1871</v>
      </c>
      <c r="H1411" t="s">
        <v>1878</v>
      </c>
      <c r="I1411">
        <v>-32.760599999999997</v>
      </c>
      <c r="J1411">
        <v>116.36</v>
      </c>
      <c r="K1411" t="str">
        <f>HYPERLINK("http://geossdi.dmp.wa.gov.au/NVCLDataServices/mosaic.html?datasetid=7258264b-08c8-4fba-920d-4bad7fce937","WRD10405-001_Core Image")</f>
        <v>WRD10405-001_Core Image</v>
      </c>
    </row>
    <row r="1412" spans="1:11" x14ac:dyDescent="0.25">
      <c r="A1412" t="str">
        <f>HYPERLINK("http://www.corstruth.com.au/WA/WRD10570-001_cs.png","WRD10570-001_A4")</f>
        <v>WRD10570-001_A4</v>
      </c>
      <c r="B1412" t="str">
        <f>HYPERLINK("http://www.corstruth.com.au/WA/PNG2/WRD10570-001_cs.png","WRD10570-001_0.25m Bins")</f>
        <v>WRD10570-001_0.25m Bins</v>
      </c>
      <c r="C1412" t="str">
        <f>HYPERLINK("http://www.corstruth.com.au/WA/CSV/WRD10570-001.csv","WRD10570-001_CSV File 1m Bins")</f>
        <v>WRD10570-001_CSV File 1m Bins</v>
      </c>
      <c r="D1412" t="s">
        <v>1880</v>
      </c>
      <c r="E1412" t="s">
        <v>1</v>
      </c>
      <c r="G1412" t="s">
        <v>1871</v>
      </c>
      <c r="H1412" t="s">
        <v>1878</v>
      </c>
      <c r="I1412">
        <v>-32.755299999999998</v>
      </c>
      <c r="J1412">
        <v>116.36499999999999</v>
      </c>
      <c r="K1412" t="str">
        <f>HYPERLINK("http://geossdi.dmp.wa.gov.au/NVCLDataServices/mosaic.html?datasetid=311c75dd-4b1c-4efb-8f03-38b58947b49","WRD10570-001_Core Image")</f>
        <v>WRD10570-001_Core Image</v>
      </c>
    </row>
    <row r="1413" spans="1:11" x14ac:dyDescent="0.25">
      <c r="A1413" t="str">
        <f>HYPERLINK("http://www.corstruth.com.au/WA/WRD10790-005_cs.png","WRD10790-005_A4")</f>
        <v>WRD10790-005_A4</v>
      </c>
      <c r="B1413" t="str">
        <f>HYPERLINK("http://www.corstruth.com.au/WA/PNG2/WRD10790-005_cs.png","WRD10790-005_0.25m Bins")</f>
        <v>WRD10790-005_0.25m Bins</v>
      </c>
      <c r="C1413" t="str">
        <f>HYPERLINK("http://www.corstruth.com.au/WA/CSV/WRD10790-005.csv","WRD10790-005_CSV File 1m Bins")</f>
        <v>WRD10790-005_CSV File 1m Bins</v>
      </c>
      <c r="D1413" t="s">
        <v>1881</v>
      </c>
      <c r="E1413" t="s">
        <v>1</v>
      </c>
      <c r="G1413" t="s">
        <v>1871</v>
      </c>
      <c r="H1413" t="s">
        <v>1878</v>
      </c>
      <c r="I1413">
        <v>-32.757199999999997</v>
      </c>
      <c r="J1413">
        <v>116.358</v>
      </c>
      <c r="K1413" t="str">
        <f>HYPERLINK("http://geossdi.dmp.wa.gov.au/NVCLDataServices/mosaic.html?datasetid=d0bfc310-a5e0-4b79-8d12-b0d78a8808b","WRD10790-005_Core Image")</f>
        <v>WRD10790-005_Core Image</v>
      </c>
    </row>
    <row r="1414" spans="1:11" x14ac:dyDescent="0.25">
      <c r="A1414" t="str">
        <f>HYPERLINK("http://www.corstruth.com.au/WA/WRD11695-001_cs.png","WRD11695-001_A4")</f>
        <v>WRD11695-001_A4</v>
      </c>
      <c r="B1414" t="str">
        <f>HYPERLINK("http://www.corstruth.com.au/WA/PNG2/WRD11695-001_cs.png","WRD11695-001_0.25m Bins")</f>
        <v>WRD11695-001_0.25m Bins</v>
      </c>
      <c r="C1414" t="str">
        <f>HYPERLINK("http://www.corstruth.com.au/WA/CSV/WRD11695-001.csv","WRD11695-001_CSV File 1m Bins")</f>
        <v>WRD11695-001_CSV File 1m Bins</v>
      </c>
      <c r="D1414" t="s">
        <v>1882</v>
      </c>
      <c r="E1414" t="s">
        <v>1</v>
      </c>
      <c r="G1414" t="s">
        <v>1871</v>
      </c>
      <c r="H1414" t="s">
        <v>1878</v>
      </c>
      <c r="I1414">
        <v>-32.748199999999997</v>
      </c>
      <c r="J1414">
        <v>116.35599999999999</v>
      </c>
      <c r="K1414" t="str">
        <f>HYPERLINK("http://geossdi.dmp.wa.gov.au/NVCLDataServices/mosaic.html?datasetid=f124bfe0-03f3-4236-b3d9-058ad57c563","WRD11695-001_Core Image")</f>
        <v>WRD11695-001_Core Image</v>
      </c>
    </row>
    <row r="1415" spans="1:11" x14ac:dyDescent="0.25">
      <c r="A1415" t="str">
        <f>HYPERLINK("http://www.corstruth.com.au/WA/WRD11720-003_cs.png","WRD11720-003_A4")</f>
        <v>WRD11720-003_A4</v>
      </c>
      <c r="B1415" t="str">
        <f>HYPERLINK("http://www.corstruth.com.au/WA/PNG2/WRD11720-003_cs.png","WRD11720-003_0.25m Bins")</f>
        <v>WRD11720-003_0.25m Bins</v>
      </c>
      <c r="C1415" t="str">
        <f>HYPERLINK("http://www.corstruth.com.au/WA/CSV/WRD11720-003.csv","WRD11720-003_CSV File 1m Bins")</f>
        <v>WRD11720-003_CSV File 1m Bins</v>
      </c>
      <c r="D1415" t="s">
        <v>1883</v>
      </c>
      <c r="E1415" t="s">
        <v>1</v>
      </c>
      <c r="G1415" t="s">
        <v>1871</v>
      </c>
      <c r="H1415" t="s">
        <v>1878</v>
      </c>
      <c r="I1415">
        <v>-32.749699999999997</v>
      </c>
      <c r="J1415">
        <v>116.354</v>
      </c>
      <c r="K1415" t="str">
        <f>HYPERLINK("http://geossdi.dmp.wa.gov.au/NVCLDataServices/mosaic.html?datasetid=fa1926b3-93d1-4e61-a716-6a207b337c4","WRD11720-003_Core Image")</f>
        <v>WRD11720-003_Core Image</v>
      </c>
    </row>
    <row r="1416" spans="1:11" x14ac:dyDescent="0.25">
      <c r="A1416" t="str">
        <f>HYPERLINK("http://www.corstruth.com.au/WA/WRD12620-002_cs.png","WRD12620-002_A4")</f>
        <v>WRD12620-002_A4</v>
      </c>
      <c r="B1416" t="str">
        <f>HYPERLINK("http://www.corstruth.com.au/WA/PNG2/WRD12620-002_cs.png","WRD12620-002_0.25m Bins")</f>
        <v>WRD12620-002_0.25m Bins</v>
      </c>
      <c r="C1416" t="str">
        <f>HYPERLINK("http://www.corstruth.com.au/WA/CSV/WRD12620-002.csv","WRD12620-002_CSV File 1m Bins")</f>
        <v>WRD12620-002_CSV File 1m Bins</v>
      </c>
      <c r="D1416" t="s">
        <v>1884</v>
      </c>
      <c r="E1416" t="s">
        <v>1</v>
      </c>
      <c r="G1416" t="s">
        <v>1871</v>
      </c>
      <c r="H1416" t="s">
        <v>1878</v>
      </c>
      <c r="I1416">
        <v>-32.743899999999996</v>
      </c>
      <c r="J1416">
        <v>116.34699999999999</v>
      </c>
      <c r="K1416" t="str">
        <f>HYPERLINK("http://geossdi.dmp.wa.gov.au/NVCLDataServices/mosaic.html?datasetid=d38c6a0c-4601-4b2e-8667-472c424de19","WRD12620-002_Core Image")</f>
        <v>WRD12620-002_Core Image</v>
      </c>
    </row>
    <row r="1417" spans="1:11" x14ac:dyDescent="0.25">
      <c r="A1417" t="str">
        <f>HYPERLINK("http://www.corstruth.com.au/WA/WRD12635-001_cs.png","WRD12635-001_A4")</f>
        <v>WRD12635-001_A4</v>
      </c>
      <c r="B1417" t="str">
        <f>HYPERLINK("http://www.corstruth.com.au/WA/PNG2/WRD12635-001_cs.png","WRD12635-001_0.25m Bins")</f>
        <v>WRD12635-001_0.25m Bins</v>
      </c>
      <c r="C1417" t="str">
        <f>HYPERLINK("http://www.corstruth.com.au/WA/CSV/WRD12635-001.csv","WRD12635-001_CSV File 1m Bins")</f>
        <v>WRD12635-001_CSV File 1m Bins</v>
      </c>
      <c r="D1417" t="s">
        <v>1885</v>
      </c>
      <c r="E1417" t="s">
        <v>1</v>
      </c>
      <c r="G1417" t="s">
        <v>1871</v>
      </c>
      <c r="H1417" t="s">
        <v>1878</v>
      </c>
      <c r="I1417">
        <v>-32.740499999999997</v>
      </c>
      <c r="J1417">
        <v>116.351</v>
      </c>
      <c r="K1417" t="str">
        <f>HYPERLINK("http://geossdi.dmp.wa.gov.au/NVCLDataServices/mosaic.html?datasetid=3969db8c-e78f-41a3-baee-be87ed4a344","WRD12635-001_Core Image")</f>
        <v>WRD12635-001_Core Image</v>
      </c>
    </row>
    <row r="1418" spans="1:11" x14ac:dyDescent="0.25">
      <c r="A1418" t="str">
        <f>HYPERLINK("http://www.corstruth.com.au/WA/WRD12725-001_cs.png","WRD12725-001_A4")</f>
        <v>WRD12725-001_A4</v>
      </c>
      <c r="B1418" t="str">
        <f>HYPERLINK("http://www.corstruth.com.au/WA/PNG2/WRD12725-001_cs.png","WRD12725-001_0.25m Bins")</f>
        <v>WRD12725-001_0.25m Bins</v>
      </c>
      <c r="C1418" t="str">
        <f>HYPERLINK("http://www.corstruth.com.au/WA/CSV/WRD12725-001.csv","WRD12725-001_CSV File 1m Bins")</f>
        <v>WRD12725-001_CSV File 1m Bins</v>
      </c>
      <c r="D1418" t="s">
        <v>1886</v>
      </c>
      <c r="E1418" t="s">
        <v>1</v>
      </c>
      <c r="G1418" t="s">
        <v>1871</v>
      </c>
      <c r="H1418" t="s">
        <v>1878</v>
      </c>
      <c r="I1418">
        <v>-32.746200000000002</v>
      </c>
      <c r="J1418">
        <v>116.342</v>
      </c>
      <c r="K1418" t="str">
        <f>HYPERLINK("http://geossdi.dmp.wa.gov.au/NVCLDataServices/mosaic.html?datasetid=0a922072-b88d-46c9-9648-632ec8af23a","WRD12725-001_Core Image")</f>
        <v>WRD12725-001_Core Image</v>
      </c>
    </row>
    <row r="1419" spans="1:11" x14ac:dyDescent="0.25">
      <c r="A1419" t="str">
        <f>HYPERLINK("http://www.corstruth.com.au/WA/WRD12980-001_cs.png","WRD12980-001_A4")</f>
        <v>WRD12980-001_A4</v>
      </c>
      <c r="B1419" t="str">
        <f>HYPERLINK("http://www.corstruth.com.au/WA/PNG2/WRD12980-001_cs.png","WRD12980-001_0.25m Bins")</f>
        <v>WRD12980-001_0.25m Bins</v>
      </c>
      <c r="C1419" t="str">
        <f>HYPERLINK("http://www.corstruth.com.au/WA/CSV/WRD12980-001.csv","WRD12980-001_CSV File 1m Bins")</f>
        <v>WRD12980-001_CSV File 1m Bins</v>
      </c>
      <c r="D1419" t="s">
        <v>1887</v>
      </c>
      <c r="E1419" t="s">
        <v>1</v>
      </c>
      <c r="G1419" t="s">
        <v>1871</v>
      </c>
      <c r="H1419" t="s">
        <v>1878</v>
      </c>
      <c r="I1419">
        <v>-32.740699999999997</v>
      </c>
      <c r="J1419">
        <v>116.345</v>
      </c>
      <c r="K1419" t="str">
        <f>HYPERLINK("http://geossdi.dmp.wa.gov.au/NVCLDataServices/mosaic.html?datasetid=d6b36f60-34c5-420a-8505-16179ee248a","WRD12980-001_Core Image")</f>
        <v>WRD12980-001_Core Image</v>
      </c>
    </row>
    <row r="1420" spans="1:11" x14ac:dyDescent="0.25">
      <c r="A1420" t="str">
        <f>HYPERLINK("http://www.corstruth.com.au/WA/WRD13125-001_cs.png","WRD13125-001_A4")</f>
        <v>WRD13125-001_A4</v>
      </c>
      <c r="B1420" t="str">
        <f>HYPERLINK("http://www.corstruth.com.au/WA/PNG2/WRD13125-001_cs.png","WRD13125-001_0.25m Bins")</f>
        <v>WRD13125-001_0.25m Bins</v>
      </c>
      <c r="C1420" t="str">
        <f>HYPERLINK("http://www.corstruth.com.au/WA/CSV/WRD13125-001.csv","WRD13125-001_CSV File 1m Bins")</f>
        <v>WRD13125-001_CSV File 1m Bins</v>
      </c>
      <c r="D1420" t="s">
        <v>1888</v>
      </c>
      <c r="E1420" t="s">
        <v>1</v>
      </c>
      <c r="G1420" t="s">
        <v>1871</v>
      </c>
      <c r="H1420" t="s">
        <v>1878</v>
      </c>
      <c r="I1420">
        <v>-32.739800000000002</v>
      </c>
      <c r="J1420">
        <v>116.34399999999999</v>
      </c>
      <c r="K1420" t="str">
        <f>HYPERLINK("http://geossdi.dmp.wa.gov.au/NVCLDataServices/mosaic.html?datasetid=da54174b-6889-4658-999b-bbdd35ccf9d","WRD13125-001_Core Image")</f>
        <v>WRD13125-001_Core Image</v>
      </c>
    </row>
    <row r="1421" spans="1:11" x14ac:dyDescent="0.25">
      <c r="A1421" t="str">
        <f>HYPERLINK("http://www.corstruth.com.au/WA/14CADD001_cs.png","14CADD001_A4")</f>
        <v>14CADD001_A4</v>
      </c>
      <c r="B1421" t="str">
        <f>HYPERLINK("http://www.corstruth.com.au/WA/PNG2/14CADD001_cs.png","14CADD001_0.25m Bins")</f>
        <v>14CADD001_0.25m Bins</v>
      </c>
      <c r="C1421" t="str">
        <f>HYPERLINK("http://www.corstruth.com.au/WA/CSV/14CADD001.csv","14CADD001_CSV File 1m Bins")</f>
        <v>14CADD001_CSV File 1m Bins</v>
      </c>
      <c r="D1421" t="s">
        <v>1889</v>
      </c>
      <c r="E1421" t="s">
        <v>1</v>
      </c>
      <c r="G1421" t="s">
        <v>1871</v>
      </c>
      <c r="H1421" t="s">
        <v>1890</v>
      </c>
      <c r="I1421">
        <v>-31.0337</v>
      </c>
      <c r="J1421">
        <v>116.626</v>
      </c>
      <c r="K1421" t="str">
        <f>HYPERLINK("http://geossdi.dmp.wa.gov.au/NVCLDataServices/mosaic.html?datasetid=80ed1449-b0e1-410d-85a7-06736a15612","14CADD001_Core Image")</f>
        <v>14CADD001_Core Image</v>
      </c>
    </row>
    <row r="1422" spans="1:11" x14ac:dyDescent="0.25">
      <c r="A1422" t="str">
        <f>HYPERLINK("http://www.corstruth.com.au/WA/14CADD002_cs.png","14CADD002_A4")</f>
        <v>14CADD002_A4</v>
      </c>
      <c r="B1422" t="str">
        <f>HYPERLINK("http://www.corstruth.com.au/WA/PNG2/14CADD002_cs.png","14CADD002_0.25m Bins")</f>
        <v>14CADD002_0.25m Bins</v>
      </c>
      <c r="C1422" t="str">
        <f>HYPERLINK("http://www.corstruth.com.au/WA/CSV/14CADD002.csv","14CADD002_CSV File 1m Bins")</f>
        <v>14CADD002_CSV File 1m Bins</v>
      </c>
      <c r="D1422" t="s">
        <v>1891</v>
      </c>
      <c r="E1422" t="s">
        <v>1</v>
      </c>
      <c r="G1422" t="s">
        <v>1871</v>
      </c>
      <c r="H1422" t="s">
        <v>1890</v>
      </c>
      <c r="I1422">
        <v>-30.979600000000001</v>
      </c>
      <c r="J1422">
        <v>116.60299999999999</v>
      </c>
      <c r="K1422" t="str">
        <f>HYPERLINK("http://geossdi.dmp.wa.gov.au/NVCLDataServices/mosaic.html?datasetid=48b27b5a-40fb-4d4b-9a4c-ca56f24f303","14CADD002_Core Image")</f>
        <v>14CADD002_Core Image</v>
      </c>
    </row>
    <row r="1423" spans="1:11" x14ac:dyDescent="0.25">
      <c r="A1423" t="str">
        <f>HYPERLINK("http://www.corstruth.com.au/WA/14CADD003_cs.png","14CADD003_A4")</f>
        <v>14CADD003_A4</v>
      </c>
      <c r="B1423" t="str">
        <f>HYPERLINK("http://www.corstruth.com.au/WA/PNG2/14CADD003_cs.png","14CADD003_0.25m Bins")</f>
        <v>14CADD003_0.25m Bins</v>
      </c>
      <c r="C1423" t="str">
        <f>HYPERLINK("http://www.corstruth.com.au/WA/CSV/14CADD003.csv","14CADD003_CSV File 1m Bins")</f>
        <v>14CADD003_CSV File 1m Bins</v>
      </c>
      <c r="D1423" t="s">
        <v>1892</v>
      </c>
      <c r="E1423" t="s">
        <v>1</v>
      </c>
      <c r="G1423" t="s">
        <v>1871</v>
      </c>
      <c r="H1423" t="s">
        <v>1890</v>
      </c>
      <c r="I1423">
        <v>-30.979600000000001</v>
      </c>
      <c r="J1423">
        <v>116.60299999999999</v>
      </c>
      <c r="K1423" t="str">
        <f>HYPERLINK("http://geossdi.dmp.wa.gov.au/NVCLDataServices/mosaic.html?datasetid=978822fb-de28-4603-b02e-af6882e5951","14CADD003_Core Image")</f>
        <v>14CADD003_Core Image</v>
      </c>
    </row>
    <row r="1424" spans="1:11" x14ac:dyDescent="0.25">
      <c r="A1424" t="str">
        <f>HYPERLINK("http://www.corstruth.com.au/WA/12CADD001_[Tray_1-93]_cs.png","12CADD001 [Tray 1-93]_A4")</f>
        <v>12CADD001 [Tray 1-93]_A4</v>
      </c>
      <c r="B1424" t="str">
        <f>HYPERLINK("http://www.corstruth.com.au/WA/PNG2/12CADD001_[Tray_1-93]_cs.png","12CADD001 [Tray 1-93]_0.25m Bins")</f>
        <v>12CADD001 [Tray 1-93]_0.25m Bins</v>
      </c>
      <c r="C1424" t="str">
        <f>HYPERLINK("http://www.corstruth.com.au/WA/CSV/12CADD001_[Tray_1-93].csv","12CADD001 [Tray 1-93]_CSV File 1m Bins")</f>
        <v>12CADD001 [Tray 1-93]_CSV File 1m Bins</v>
      </c>
      <c r="D1424" t="s">
        <v>1893</v>
      </c>
      <c r="E1424" t="s">
        <v>1</v>
      </c>
      <c r="G1424" t="s">
        <v>1871</v>
      </c>
      <c r="H1424" t="s">
        <v>1894</v>
      </c>
      <c r="I1424">
        <v>-31.030999999999999</v>
      </c>
      <c r="J1424">
        <v>116.62</v>
      </c>
      <c r="K1424" t="str">
        <f>HYPERLINK("http://geossdi.dmp.wa.gov.au/NVCLDataServices/mosaic.html?datasetid=0bf137d9-7fd7-4bf4-aa33-8130465ae4e","12CADD001 [Tray 1-93]_Core Image")</f>
        <v>12CADD001 [Tray 1-93]_Core Image</v>
      </c>
    </row>
    <row r="1425" spans="1:11" x14ac:dyDescent="0.25">
      <c r="A1425" t="str">
        <f>HYPERLINK("http://www.corstruth.com.au/WA/12CADD001_[Tray_94-151]_cs.png","12CADD001 [Tray 94-151]_A4")</f>
        <v>12CADD001 [Tray 94-151]_A4</v>
      </c>
      <c r="B1425" t="str">
        <f>HYPERLINK("http://www.corstruth.com.au/WA/PNG2/12CADD001_[Tray_94-151]_cs.png","12CADD001 [Tray 94-151]_0.25m Bins")</f>
        <v>12CADD001 [Tray 94-151]_0.25m Bins</v>
      </c>
      <c r="C1425" t="str">
        <f>HYPERLINK("http://www.corstruth.com.au/WA/CSV/12CADD001_[Tray_94-151].csv","12CADD001 [Tray 94-151]_CSV File 1m Bins")</f>
        <v>12CADD001 [Tray 94-151]_CSV File 1m Bins</v>
      </c>
      <c r="D1425" t="s">
        <v>1895</v>
      </c>
      <c r="E1425" t="s">
        <v>1</v>
      </c>
      <c r="G1425" t="s">
        <v>1871</v>
      </c>
      <c r="H1425" t="s">
        <v>1894</v>
      </c>
      <c r="I1425">
        <v>-31.030999999999999</v>
      </c>
      <c r="J1425">
        <v>116.62</v>
      </c>
    </row>
    <row r="1426" spans="1:11" x14ac:dyDescent="0.25">
      <c r="A1426" t="str">
        <f>HYPERLINK("http://www.corstruth.com.au/WA/12CADD002_cs.png","12CADD002_A4")</f>
        <v>12CADD002_A4</v>
      </c>
      <c r="B1426" t="str">
        <f>HYPERLINK("http://www.corstruth.com.au/WA/PNG2/12CADD002_cs.png","12CADD002_0.25m Bins")</f>
        <v>12CADD002_0.25m Bins</v>
      </c>
      <c r="C1426" t="str">
        <f>HYPERLINK("http://www.corstruth.com.au/WA/CSV/12CADD002.csv","12CADD002_CSV File 1m Bins")</f>
        <v>12CADD002_CSV File 1m Bins</v>
      </c>
      <c r="D1426" t="s">
        <v>1896</v>
      </c>
      <c r="E1426" t="s">
        <v>1</v>
      </c>
      <c r="G1426" t="s">
        <v>1871</v>
      </c>
      <c r="H1426" t="s">
        <v>1894</v>
      </c>
      <c r="I1426">
        <v>-31.0319</v>
      </c>
      <c r="J1426">
        <v>116.621</v>
      </c>
      <c r="K1426" t="str">
        <f>HYPERLINK("http://geossdi.dmp.wa.gov.au/NVCLDataServices/mosaic.html?datasetid=4e0c9aa3-1660-4a42-a79f-d9f98511120","12CADD002_Core Image")</f>
        <v>12CADD002_Core Image</v>
      </c>
    </row>
    <row r="1427" spans="1:11" x14ac:dyDescent="0.25">
      <c r="A1427" t="str">
        <f>HYPERLINK("http://www.corstruth.com.au/WA/CB11DD005_cs.png","CB11DD005_A4")</f>
        <v>CB11DD005_A4</v>
      </c>
      <c r="B1427" t="str">
        <f>HYPERLINK("http://www.corstruth.com.au/WA/PNG2/CB11DD005_cs.png","CB11DD005_0.25m Bins")</f>
        <v>CB11DD005_0.25m Bins</v>
      </c>
      <c r="C1427" t="str">
        <f>HYPERLINK("http://www.corstruth.com.au/WA/CSV/CB11DD005.csv","CB11DD005_CSV File 1m Bins")</f>
        <v>CB11DD005_CSV File 1m Bins</v>
      </c>
      <c r="D1427" t="s">
        <v>1897</v>
      </c>
      <c r="E1427" t="s">
        <v>1</v>
      </c>
      <c r="G1427" t="s">
        <v>1871</v>
      </c>
      <c r="H1427" t="s">
        <v>1898</v>
      </c>
      <c r="I1427">
        <v>-31.886199999999999</v>
      </c>
      <c r="J1427">
        <v>118.374</v>
      </c>
      <c r="K1427" t="str">
        <f>HYPERLINK("http://geossdi.dmp.wa.gov.au/NVCLDataServices/mosaic.html?datasetid=5555b971-5437-461a-8ea6-33c53b8e260","CB11DD005_Core Image")</f>
        <v>CB11DD005_Core Image</v>
      </c>
    </row>
    <row r="1428" spans="1:11" x14ac:dyDescent="0.25">
      <c r="A1428" t="str">
        <f>HYPERLINK("http://www.corstruth.com.au/WA/DDB17_cs.png","DDB17_A4")</f>
        <v>DDB17_A4</v>
      </c>
      <c r="B1428" t="str">
        <f>HYPERLINK("http://www.corstruth.com.au/WA/PNG2/DDB17_cs.png","DDB17_0.25m Bins")</f>
        <v>DDB17_0.25m Bins</v>
      </c>
      <c r="C1428" t="str">
        <f>HYPERLINK("http://www.corstruth.com.au/WA/CSV/DDB17.csv","DDB17_CSV File 1m Bins")</f>
        <v>DDB17_CSV File 1m Bins</v>
      </c>
      <c r="D1428" t="s">
        <v>1899</v>
      </c>
      <c r="E1428" t="s">
        <v>1</v>
      </c>
      <c r="G1428" t="s">
        <v>1871</v>
      </c>
      <c r="H1428" t="s">
        <v>1900</v>
      </c>
      <c r="I1428">
        <v>-33.617199999999997</v>
      </c>
      <c r="J1428">
        <v>115.828</v>
      </c>
      <c r="K1428" t="str">
        <f>HYPERLINK("http://geossdi.dmp.wa.gov.au/NVCLDataServices/mosaic.html?datasetid=611ef4a4-3e11-4805-81d9-156c51cd296","DDB17_Core Image")</f>
        <v>DDB17_Core Image</v>
      </c>
    </row>
    <row r="1429" spans="1:11" x14ac:dyDescent="0.25">
      <c r="A1429" t="str">
        <f>HYPERLINK("http://www.corstruth.com.au/WA/DDB2_cs.png","DDB2_A4")</f>
        <v>DDB2_A4</v>
      </c>
      <c r="B1429" t="str">
        <f>HYPERLINK("http://www.corstruth.com.au/WA/PNG2/DDB2_cs.png","DDB2_0.25m Bins")</f>
        <v>DDB2_0.25m Bins</v>
      </c>
      <c r="C1429" t="str">
        <f>HYPERLINK("http://www.corstruth.com.au/WA/CSV/DDB2.csv","DDB2_CSV File 1m Bins")</f>
        <v>DDB2_CSV File 1m Bins</v>
      </c>
      <c r="D1429" t="s">
        <v>1901</v>
      </c>
      <c r="E1429" t="s">
        <v>1</v>
      </c>
      <c r="G1429" t="s">
        <v>1871</v>
      </c>
      <c r="H1429" t="s">
        <v>1900</v>
      </c>
      <c r="I1429">
        <v>-33.6098</v>
      </c>
      <c r="J1429">
        <v>115.827</v>
      </c>
      <c r="K1429" t="str">
        <f>HYPERLINK("http://geossdi.dmp.wa.gov.au/NVCLDataServices/mosaic.html?datasetid=aefc8c06-3f5f-4023-8b57-662d80e53a1","DDB2_Core Image")</f>
        <v>DDB2_Core Image</v>
      </c>
    </row>
    <row r="1430" spans="1:11" x14ac:dyDescent="0.25">
      <c r="A1430" t="str">
        <f>HYPERLINK("http://www.corstruth.com.au/WA/DDB9_cs.png","DDB9_A4")</f>
        <v>DDB9_A4</v>
      </c>
      <c r="B1430" t="str">
        <f>HYPERLINK("http://www.corstruth.com.au/WA/PNG2/DDB9_cs.png","DDB9_0.25m Bins")</f>
        <v>DDB9_0.25m Bins</v>
      </c>
      <c r="C1430" t="str">
        <f>HYPERLINK("http://www.corstruth.com.au/WA/CSV/DDB9.csv","DDB9_CSV File 1m Bins")</f>
        <v>DDB9_CSV File 1m Bins</v>
      </c>
      <c r="D1430" t="s">
        <v>1902</v>
      </c>
      <c r="E1430" t="s">
        <v>1</v>
      </c>
      <c r="G1430" t="s">
        <v>1871</v>
      </c>
      <c r="H1430" t="s">
        <v>1900</v>
      </c>
      <c r="I1430">
        <v>-33.602899999999998</v>
      </c>
      <c r="J1430">
        <v>115.816</v>
      </c>
      <c r="K1430" t="str">
        <f>HYPERLINK("http://geossdi.dmp.wa.gov.au/NVCLDataServices/mosaic.html?datasetid=dc4e477b-1019-4e9c-af6d-c1ca954ac66","DDB9_Core Image")</f>
        <v>DDB9_Core Image</v>
      </c>
    </row>
    <row r="1431" spans="1:11" x14ac:dyDescent="0.25">
      <c r="A1431" t="str">
        <f>HYPERLINK("http://www.corstruth.com.au/WA/C3DD024_cs.png","C3DD024_A4")</f>
        <v>C3DD024_A4</v>
      </c>
      <c r="B1431" t="str">
        <f>HYPERLINK("http://www.corstruth.com.au/WA/PNG2/C3DD024_cs.png","C3DD024_0.25m Bins")</f>
        <v>C3DD024_0.25m Bins</v>
      </c>
      <c r="C1431" t="str">
        <f>HYPERLINK("http://www.corstruth.com.au/WA/CSV/C3DD024.csv","C3DD024_CSV File 1m Bins")</f>
        <v>C3DD024_CSV File 1m Bins</v>
      </c>
      <c r="D1431" t="s">
        <v>1903</v>
      </c>
      <c r="E1431" t="s">
        <v>1</v>
      </c>
      <c r="G1431" t="s">
        <v>1871</v>
      </c>
      <c r="H1431" t="s">
        <v>1904</v>
      </c>
      <c r="I1431">
        <v>-33.859200000000001</v>
      </c>
      <c r="J1431">
        <v>116.065</v>
      </c>
      <c r="K1431" t="str">
        <f>HYPERLINK("http://geossdi.dmp.wa.gov.au/NVCLDataServices/mosaic.html?datasetid=e7d39a7e-dfec-4e95-8d49-97a8d7aff49","C3DD024_Core Image")</f>
        <v>C3DD024_Core Image</v>
      </c>
    </row>
    <row r="1432" spans="1:11" x14ac:dyDescent="0.25">
      <c r="A1432" t="str">
        <f>HYPERLINK("http://www.corstruth.com.au/WA/CLDD016_cs.png","CLDD016_A4")</f>
        <v>CLDD016_A4</v>
      </c>
      <c r="B1432" t="str">
        <f>HYPERLINK("http://www.corstruth.com.au/WA/PNG2/CLDD016_cs.png","CLDD016_0.25m Bins")</f>
        <v>CLDD016_0.25m Bins</v>
      </c>
      <c r="C1432" t="str">
        <f>HYPERLINK("http://www.corstruth.com.au/WA/CSV/CLDD016.csv","CLDD016_CSV File 1m Bins")</f>
        <v>CLDD016_CSV File 1m Bins</v>
      </c>
      <c r="D1432" t="s">
        <v>1905</v>
      </c>
      <c r="E1432" t="s">
        <v>1</v>
      </c>
      <c r="G1432" t="s">
        <v>1871</v>
      </c>
      <c r="H1432" t="s">
        <v>1904</v>
      </c>
      <c r="I1432">
        <v>-33.859299999999998</v>
      </c>
      <c r="J1432">
        <v>116.056</v>
      </c>
      <c r="K1432" t="str">
        <f>HYPERLINK("http://geossdi.dmp.wa.gov.au/NVCLDataServices/mosaic.html?datasetid=e2b296cb-b8fe-4ccd-9991-6f762bc55f7","CLDD016_Core Image")</f>
        <v>CLDD016_Core Image</v>
      </c>
    </row>
    <row r="1433" spans="1:11" x14ac:dyDescent="0.25">
      <c r="A1433" t="str">
        <f>HYPERLINK("http://www.corstruth.com.au/WA/CLDD016_wedge_cs.png","CLDD016_wedge_A4")</f>
        <v>CLDD016_wedge_A4</v>
      </c>
      <c r="B1433" t="str">
        <f>HYPERLINK("http://www.corstruth.com.au/WA/PNG2/CLDD016_wedge_cs.png","CLDD016_wedge_0.25m Bins")</f>
        <v>CLDD016_wedge_0.25m Bins</v>
      </c>
      <c r="C1433" t="str">
        <f>HYPERLINK("http://www.corstruth.com.au/WA/CSV/CLDD016_wedge.csv","CLDD016_wedge_CSV File 1m Bins")</f>
        <v>CLDD016_wedge_CSV File 1m Bins</v>
      </c>
      <c r="D1433" t="s">
        <v>1905</v>
      </c>
      <c r="E1433" t="s">
        <v>1</v>
      </c>
      <c r="G1433" t="s">
        <v>1871</v>
      </c>
      <c r="H1433" t="s">
        <v>1904</v>
      </c>
      <c r="I1433">
        <v>-33.859299999999998</v>
      </c>
      <c r="J1433">
        <v>116.056</v>
      </c>
      <c r="K1433" t="str">
        <f>HYPERLINK("http://geossdi.dmp.wa.gov.au/NVCLDataServices/mosaic.html?datasetid=8231ebb4-ed45-4b4d-9d8a-5bcb9f7e8bb","CLDD016_wedge_Core Image")</f>
        <v>CLDD016_wedge_Core Image</v>
      </c>
    </row>
    <row r="1434" spans="1:11" x14ac:dyDescent="0.25">
      <c r="A1434" t="str">
        <f>HYPERLINK("http://www.corstruth.com.au/WA/CLDD016_wedge2_cs.png","CLDD016_wedge2_A4")</f>
        <v>CLDD016_wedge2_A4</v>
      </c>
      <c r="B1434" t="str">
        <f>HYPERLINK("http://www.corstruth.com.au/WA/PNG2/CLDD016_wedge2_cs.png","CLDD016_wedge2_0.25m Bins")</f>
        <v>CLDD016_wedge2_0.25m Bins</v>
      </c>
      <c r="C1434" t="str">
        <f>HYPERLINK("http://www.corstruth.com.au/WA/CSV/CLDD016_wedge2.csv","CLDD016_wedge2_CSV File 1m Bins")</f>
        <v>CLDD016_wedge2_CSV File 1m Bins</v>
      </c>
      <c r="D1434" t="s">
        <v>1905</v>
      </c>
      <c r="E1434" t="s">
        <v>1</v>
      </c>
      <c r="G1434" t="s">
        <v>1871</v>
      </c>
      <c r="H1434" t="s">
        <v>1904</v>
      </c>
      <c r="I1434">
        <v>-33.859299999999998</v>
      </c>
      <c r="J1434">
        <v>116.056</v>
      </c>
      <c r="K1434" t="str">
        <f>HYPERLINK("http://geossdi.dmp.wa.gov.au/NVCLDataServices/mosaic.html?datasetid=d860c94c-9e86-413e-8af0-1aca5dee759","CLDD016_wedge2_Core Image")</f>
        <v>CLDD016_wedge2_Core Image</v>
      </c>
    </row>
    <row r="1435" spans="1:11" x14ac:dyDescent="0.25">
      <c r="A1435" t="str">
        <f>HYPERLINK("http://www.corstruth.com.au/WA/JDH01_cs.png","JDH01_A4")</f>
        <v>JDH01_A4</v>
      </c>
      <c r="B1435" t="str">
        <f>HYPERLINK("http://www.corstruth.com.au/WA/PNG2/JDH01_cs.png","JDH01_0.25m Bins")</f>
        <v>JDH01_0.25m Bins</v>
      </c>
      <c r="C1435" t="str">
        <f>HYPERLINK("http://www.corstruth.com.au/WA/CSV/JDH01.csv","JDH01_CSV File 1m Bins")</f>
        <v>JDH01_CSV File 1m Bins</v>
      </c>
      <c r="D1435" t="s">
        <v>1906</v>
      </c>
      <c r="E1435" t="s">
        <v>1</v>
      </c>
      <c r="G1435" t="s">
        <v>1871</v>
      </c>
      <c r="H1435" t="s">
        <v>1907</v>
      </c>
      <c r="I1435">
        <v>-32.216700000000003</v>
      </c>
      <c r="J1435">
        <v>117.59399999999999</v>
      </c>
      <c r="K1435" t="str">
        <f>HYPERLINK("http://geossdi.dmp.wa.gov.au/NVCLDataServices/mosaic.html?datasetid=c39587a5-4047-41b7-b397-f96cdd37e9d","JDH01_Core Image")</f>
        <v>JDH01_Core Image</v>
      </c>
    </row>
    <row r="1436" spans="1:11" x14ac:dyDescent="0.25">
      <c r="A1436" t="str">
        <f>HYPERLINK("http://www.corstruth.com.au/WA/BSDD011_cs.png","BSDD011_A4")</f>
        <v>BSDD011_A4</v>
      </c>
      <c r="B1436" t="str">
        <f>HYPERLINK("http://www.corstruth.com.au/WA/PNG2/BSDD011_cs.png","BSDD011_0.25m Bins")</f>
        <v>BSDD011_0.25m Bins</v>
      </c>
      <c r="C1436" t="str">
        <f>HYPERLINK("http://www.corstruth.com.au/WA/CSV/BSDD011.csv","BSDD011_CSV File 1m Bins")</f>
        <v>BSDD011_CSV File 1m Bins</v>
      </c>
      <c r="D1436" t="s">
        <v>1908</v>
      </c>
      <c r="E1436" t="s">
        <v>1</v>
      </c>
      <c r="G1436" t="s">
        <v>1871</v>
      </c>
      <c r="H1436" t="s">
        <v>142</v>
      </c>
      <c r="I1436">
        <v>-33.480899999999998</v>
      </c>
      <c r="J1436">
        <v>117.875</v>
      </c>
      <c r="K1436" t="str">
        <f>HYPERLINK("http://geossdi.dmp.wa.gov.au/NVCLDataServices/mosaic.html?datasetid=979f3c4b-68b1-4a41-af70-6e9de48c0c7","BSDD011_Core Image")</f>
        <v>BSDD011_Core Image</v>
      </c>
    </row>
    <row r="1437" spans="1:11" x14ac:dyDescent="0.25">
      <c r="A1437" t="str">
        <f>HYPERLINK("http://www.corstruth.com.au/WA/BSDD012_cs.png","BSDD012_A4")</f>
        <v>BSDD012_A4</v>
      </c>
      <c r="B1437" t="str">
        <f>HYPERLINK("http://www.corstruth.com.au/WA/PNG2/BSDD012_cs.png","BSDD012_0.25m Bins")</f>
        <v>BSDD012_0.25m Bins</v>
      </c>
      <c r="C1437" t="str">
        <f>HYPERLINK("http://www.corstruth.com.au/WA/CSV/BSDD012.csv","BSDD012_CSV File 1m Bins")</f>
        <v>BSDD012_CSV File 1m Bins</v>
      </c>
      <c r="D1437" t="s">
        <v>1909</v>
      </c>
      <c r="E1437" t="s">
        <v>1</v>
      </c>
      <c r="G1437" t="s">
        <v>1871</v>
      </c>
      <c r="H1437" t="s">
        <v>142</v>
      </c>
      <c r="I1437">
        <v>-33.480600000000003</v>
      </c>
      <c r="J1437">
        <v>117.874</v>
      </c>
      <c r="K1437" t="str">
        <f>HYPERLINK("http://geossdi.dmp.wa.gov.au/NVCLDataServices/mosaic.html?datasetid=a76428ff-f757-4a88-bb1f-a5005696b76","BSDD012_Core Image")</f>
        <v>BSDD012_Core Image</v>
      </c>
    </row>
    <row r="1438" spans="1:11" x14ac:dyDescent="0.25">
      <c r="A1438" t="str">
        <f>HYPERLINK("http://www.corstruth.com.au/WA/BSDD013_cs.png","BSDD013_A4")</f>
        <v>BSDD013_A4</v>
      </c>
      <c r="B1438" t="str">
        <f>HYPERLINK("http://www.corstruth.com.au/WA/PNG2/BSDD013_cs.png","BSDD013_0.25m Bins")</f>
        <v>BSDD013_0.25m Bins</v>
      </c>
      <c r="C1438" t="str">
        <f>HYPERLINK("http://www.corstruth.com.au/WA/CSV/BSDD013.csv","BSDD013_CSV File 1m Bins")</f>
        <v>BSDD013_CSV File 1m Bins</v>
      </c>
      <c r="D1438" t="s">
        <v>1910</v>
      </c>
      <c r="E1438" t="s">
        <v>1</v>
      </c>
      <c r="G1438" t="s">
        <v>1871</v>
      </c>
      <c r="H1438" t="s">
        <v>142</v>
      </c>
      <c r="I1438">
        <v>-33.480600000000003</v>
      </c>
      <c r="J1438">
        <v>117.874</v>
      </c>
      <c r="K1438" t="str">
        <f>HYPERLINK("http://geossdi.dmp.wa.gov.au/NVCLDataServices/mosaic.html?datasetid=ad045d2e-3574-4e1f-a567-739376f2cd1","BSDD013_Core Image")</f>
        <v>BSDD013_Core Image</v>
      </c>
    </row>
    <row r="1439" spans="1:11" x14ac:dyDescent="0.25">
      <c r="A1439" t="str">
        <f>HYPERLINK("http://www.corstruth.com.au/WA/BSDD014_cs.png","BSDD014_A4")</f>
        <v>BSDD014_A4</v>
      </c>
      <c r="B1439" t="str">
        <f>HYPERLINK("http://www.corstruth.com.au/WA/PNG2/BSDD014_cs.png","BSDD014_0.25m Bins")</f>
        <v>BSDD014_0.25m Bins</v>
      </c>
      <c r="C1439" t="str">
        <f>HYPERLINK("http://www.corstruth.com.au/WA/CSV/BSDD014.csv","BSDD014_CSV File 1m Bins")</f>
        <v>BSDD014_CSV File 1m Bins</v>
      </c>
      <c r="D1439" t="s">
        <v>1911</v>
      </c>
      <c r="E1439" t="s">
        <v>1</v>
      </c>
      <c r="G1439" t="s">
        <v>1871</v>
      </c>
      <c r="H1439" t="s">
        <v>142</v>
      </c>
      <c r="I1439">
        <v>-33.483600000000003</v>
      </c>
      <c r="J1439">
        <v>117.988</v>
      </c>
      <c r="K1439" t="str">
        <f>HYPERLINK("http://geossdi.dmp.wa.gov.au/NVCLDataServices/mosaic.html?datasetid=596e9e5f-f90a-40c9-af37-9dd79c96629","BSDD014_Core Image")</f>
        <v>BSDD014_Core Image</v>
      </c>
    </row>
    <row r="1440" spans="1:11" x14ac:dyDescent="0.25">
      <c r="A1440" t="str">
        <f>HYPERLINK("http://www.corstruth.com.au/WA/BSDD015A_cs.png","BSDD015A_A4")</f>
        <v>BSDD015A_A4</v>
      </c>
      <c r="B1440" t="str">
        <f>HYPERLINK("http://www.corstruth.com.au/WA/PNG2/BSDD015A_cs.png","BSDD015A_0.25m Bins")</f>
        <v>BSDD015A_0.25m Bins</v>
      </c>
      <c r="C1440" t="str">
        <f>HYPERLINK("http://www.corstruth.com.au/WA/CSV/BSDD015A.csv","BSDD015A_CSV File 1m Bins")</f>
        <v>BSDD015A_CSV File 1m Bins</v>
      </c>
      <c r="D1440" t="s">
        <v>1912</v>
      </c>
      <c r="E1440" t="s">
        <v>1</v>
      </c>
      <c r="G1440" t="s">
        <v>1871</v>
      </c>
      <c r="H1440" t="s">
        <v>142</v>
      </c>
      <c r="I1440">
        <v>-33.481200000000001</v>
      </c>
      <c r="J1440">
        <v>117.875</v>
      </c>
      <c r="K1440" t="str">
        <f>HYPERLINK("http://geossdi.dmp.wa.gov.au/NVCLDataServices/mosaic.html?datasetid=1eeae4f1-6222-4ab6-8dc0-1c00d9f4209","BSDD015A_Core Image")</f>
        <v>BSDD015A_Core Image</v>
      </c>
    </row>
    <row r="1441" spans="1:11" x14ac:dyDescent="0.25">
      <c r="A1441" t="str">
        <f>HYPERLINK("http://www.corstruth.com.au/WA/14KDD001_cs.png","14KDD001_A4")</f>
        <v>14KDD001_A4</v>
      </c>
      <c r="B1441" t="str">
        <f>HYPERLINK("http://www.corstruth.com.au/WA/PNG2/14KDD001_cs.png","14KDD001_0.25m Bins")</f>
        <v>14KDD001_0.25m Bins</v>
      </c>
      <c r="C1441" t="str">
        <f>HYPERLINK("http://www.corstruth.com.au/WA/CSV/14KDD001.csv","14KDD001_CSV File 1m Bins")</f>
        <v>14KDD001_CSV File 1m Bins</v>
      </c>
      <c r="D1441" t="s">
        <v>1913</v>
      </c>
      <c r="E1441" t="s">
        <v>1</v>
      </c>
      <c r="G1441" t="s">
        <v>1871</v>
      </c>
      <c r="H1441" t="s">
        <v>1914</v>
      </c>
      <c r="I1441">
        <v>-31.919699999999999</v>
      </c>
      <c r="J1441">
        <v>117.07599999999999</v>
      </c>
      <c r="K1441" t="str">
        <f>HYPERLINK("http://geossdi.dmp.wa.gov.au/NVCLDataServices/mosaic.html?datasetid=eb0c6c07-1957-421a-b974-47d8a30aa7a","14KDD001_Core Image")</f>
        <v>14KDD001_Core Image</v>
      </c>
    </row>
    <row r="1442" spans="1:11" x14ac:dyDescent="0.25">
      <c r="A1442" t="str">
        <f>HYPERLINK("http://www.corstruth.com.au/WA/14KDD001_[wedge]_cs.png","14KDD001 [wedge]_A4")</f>
        <v>14KDD001 [wedge]_A4</v>
      </c>
      <c r="B1442" t="str">
        <f>HYPERLINK("http://www.corstruth.com.au/WA/PNG2/14KDD001_[wedge]_cs.png","14KDD001 [wedge]_0.25m Bins")</f>
        <v>14KDD001 [wedge]_0.25m Bins</v>
      </c>
      <c r="C1442" t="str">
        <f>HYPERLINK("http://www.corstruth.com.au/WA/CSV/14KDD001_[wedge].csv","14KDD001 [wedge]_CSV File 1m Bins")</f>
        <v>14KDD001 [wedge]_CSV File 1m Bins</v>
      </c>
      <c r="D1442" t="s">
        <v>1913</v>
      </c>
      <c r="E1442" t="s">
        <v>1</v>
      </c>
      <c r="G1442" t="s">
        <v>1871</v>
      </c>
      <c r="H1442" t="s">
        <v>1914</v>
      </c>
      <c r="I1442">
        <v>-31.919699999999999</v>
      </c>
      <c r="J1442">
        <v>117.07599999999999</v>
      </c>
      <c r="K1442" t="str">
        <f>HYPERLINK("http://geossdi.dmp.wa.gov.au/NVCLDataServices/mosaic.html?datasetid=c10744cc-2e42-478a-8bc3-7cea1059044","14KDD001 [wedge]_Core Image")</f>
        <v>14KDD001 [wedge]_Core Image</v>
      </c>
    </row>
    <row r="1443" spans="1:11" x14ac:dyDescent="0.25">
      <c r="A1443" t="str">
        <f>HYPERLINK("http://www.corstruth.com.au/WA/SBDD001_cs.png","SBDD001_A4")</f>
        <v>SBDD001_A4</v>
      </c>
      <c r="B1443" t="str">
        <f>HYPERLINK("http://www.corstruth.com.au/WA/PNG2/SBDD001_cs.png","SBDD001_0.25m Bins")</f>
        <v>SBDD001_0.25m Bins</v>
      </c>
      <c r="C1443" t="str">
        <f>HYPERLINK("http://www.corstruth.com.au/WA/CSV/SBDD001.csv","SBDD001_CSV File 1m Bins")</f>
        <v>SBDD001_CSV File 1m Bins</v>
      </c>
      <c r="D1443" t="s">
        <v>1915</v>
      </c>
      <c r="E1443" t="s">
        <v>1</v>
      </c>
      <c r="G1443" t="s">
        <v>1871</v>
      </c>
      <c r="H1443" t="s">
        <v>1916</v>
      </c>
      <c r="I1443">
        <v>-31.5335</v>
      </c>
      <c r="J1443">
        <v>116.84399999999999</v>
      </c>
      <c r="K1443" t="str">
        <f>HYPERLINK("http://geossdi.dmp.wa.gov.au/NVCLDataServices/mosaic.html?datasetid=4f960950-3765-4237-ae9d-fc03d45bce8","SBDD001_Core Image")</f>
        <v>SBDD001_Core Image</v>
      </c>
    </row>
    <row r="1444" spans="1:11" x14ac:dyDescent="0.25">
      <c r="A1444" t="str">
        <f>HYPERLINK("http://www.corstruth.com.au/WA/BNDD001_cs.png","BNDD001_A4")</f>
        <v>BNDD001_A4</v>
      </c>
      <c r="B1444" t="str">
        <f>HYPERLINK("http://www.corstruth.com.au/WA/PNG2/BNDD001_cs.png","BNDD001_0.25m Bins")</f>
        <v>BNDD001_0.25m Bins</v>
      </c>
      <c r="C1444" t="str">
        <f>HYPERLINK("http://www.corstruth.com.au/WA/CSV/BNDD001.csv","BNDD001_CSV File 1m Bins")</f>
        <v>BNDD001_CSV File 1m Bins</v>
      </c>
      <c r="D1444" t="s">
        <v>1917</v>
      </c>
      <c r="E1444" t="s">
        <v>1</v>
      </c>
      <c r="G1444" t="s">
        <v>1871</v>
      </c>
      <c r="H1444" t="s">
        <v>1918</v>
      </c>
      <c r="I1444">
        <v>-33.361899999999999</v>
      </c>
      <c r="J1444">
        <v>118.05800000000001</v>
      </c>
      <c r="K1444" t="str">
        <f>HYPERLINK("http://geossdi.dmp.wa.gov.au/NVCLDataServices/mosaic.html?datasetid=444d863f-2606-4020-9a34-12e79bac147","BNDD001_Core Image")</f>
        <v>BNDD001_Core Image</v>
      </c>
    </row>
    <row r="1445" spans="1:11" x14ac:dyDescent="0.25">
      <c r="A1445" t="str">
        <f>HYPERLINK("http://www.corstruth.com.au/WA/BNDD002_cs.png","BNDD002_A4")</f>
        <v>BNDD002_A4</v>
      </c>
      <c r="B1445" t="str">
        <f>HYPERLINK("http://www.corstruth.com.au/WA/PNG2/BNDD002_cs.png","BNDD002_0.25m Bins")</f>
        <v>BNDD002_0.25m Bins</v>
      </c>
      <c r="C1445" t="str">
        <f>HYPERLINK("http://www.corstruth.com.au/WA/CSV/BNDD002.csv","BNDD002_CSV File 1m Bins")</f>
        <v>BNDD002_CSV File 1m Bins</v>
      </c>
      <c r="D1445" t="s">
        <v>1919</v>
      </c>
      <c r="E1445" t="s">
        <v>1</v>
      </c>
      <c r="G1445" t="s">
        <v>1871</v>
      </c>
      <c r="H1445" t="s">
        <v>1918</v>
      </c>
      <c r="I1445">
        <v>-33.361699999999999</v>
      </c>
      <c r="J1445">
        <v>118.05800000000001</v>
      </c>
      <c r="K1445" t="str">
        <f>HYPERLINK("http://geossdi.dmp.wa.gov.au/NVCLDataServices/mosaic.html?datasetid=4909b667-156a-456e-8ab3-134e46106ab","BNDD002_Core Image")</f>
        <v>BNDD002_Core Image</v>
      </c>
    </row>
    <row r="1446" spans="1:11" x14ac:dyDescent="0.25">
      <c r="A1446" t="str">
        <f>HYPERLINK("http://www.corstruth.com.au/WA/BNDD003_cs.png","BNDD003_A4")</f>
        <v>BNDD003_A4</v>
      </c>
      <c r="B1446" t="str">
        <f>HYPERLINK("http://www.corstruth.com.au/WA/PNG2/BNDD003_cs.png","BNDD003_0.25m Bins")</f>
        <v>BNDD003_0.25m Bins</v>
      </c>
      <c r="C1446" t="str">
        <f>HYPERLINK("http://www.corstruth.com.au/WA/CSV/BNDD003.csv","BNDD003_CSV File 1m Bins")</f>
        <v>BNDD003_CSV File 1m Bins</v>
      </c>
      <c r="D1446" t="s">
        <v>1920</v>
      </c>
      <c r="E1446" t="s">
        <v>1</v>
      </c>
      <c r="G1446" t="s">
        <v>1871</v>
      </c>
      <c r="H1446" t="s">
        <v>1918</v>
      </c>
      <c r="I1446">
        <v>-33.361600000000003</v>
      </c>
      <c r="J1446">
        <v>118.057</v>
      </c>
      <c r="K1446" t="str">
        <f>HYPERLINK("http://geossdi.dmp.wa.gov.au/NVCLDataServices/mosaic.html?datasetid=e3fd7375-7a5b-4078-9bb5-905a17d0ee8","BNDD003_Core Image")</f>
        <v>BNDD003_Core Image</v>
      </c>
    </row>
    <row r="1447" spans="1:11" x14ac:dyDescent="0.25">
      <c r="A1447" t="str">
        <f>HYPERLINK("http://www.corstruth.com.au/WA/BNDD004_cs.png","BNDD004_A4")</f>
        <v>BNDD004_A4</v>
      </c>
      <c r="B1447" t="str">
        <f>HYPERLINK("http://www.corstruth.com.au/WA/PNG2/BNDD004_cs.png","BNDD004_0.25m Bins")</f>
        <v>BNDD004_0.25m Bins</v>
      </c>
      <c r="C1447" t="str">
        <f>HYPERLINK("http://www.corstruth.com.au/WA/CSV/BNDD004.csv","BNDD004_CSV File 1m Bins")</f>
        <v>BNDD004_CSV File 1m Bins</v>
      </c>
      <c r="D1447" t="s">
        <v>1921</v>
      </c>
      <c r="E1447" t="s">
        <v>1</v>
      </c>
      <c r="G1447" t="s">
        <v>1871</v>
      </c>
      <c r="H1447" t="s">
        <v>1918</v>
      </c>
      <c r="I1447">
        <v>-33.361499999999999</v>
      </c>
      <c r="J1447">
        <v>118.057</v>
      </c>
      <c r="K1447" t="str">
        <f>HYPERLINK("http://geossdi.dmp.wa.gov.au/NVCLDataServices/mosaic.html?datasetid=81f10b03-da13-4e98-9ad9-5808b75d7d8","BNDD004_Core Image")</f>
        <v>BNDD004_Core Image</v>
      </c>
    </row>
    <row r="1448" spans="1:11" x14ac:dyDescent="0.25">
      <c r="A1448" t="str">
        <f>HYPERLINK("http://www.corstruth.com.au/WA/BNDD005_cs.png","BNDD005_A4")</f>
        <v>BNDD005_A4</v>
      </c>
      <c r="B1448" t="str">
        <f>HYPERLINK("http://www.corstruth.com.au/WA/PNG2/BNDD005_cs.png","BNDD005_0.25m Bins")</f>
        <v>BNDD005_0.25m Bins</v>
      </c>
      <c r="C1448" t="str">
        <f>HYPERLINK("http://www.corstruth.com.au/WA/CSV/BNDD005.csv","BNDD005_CSV File 1m Bins")</f>
        <v>BNDD005_CSV File 1m Bins</v>
      </c>
      <c r="D1448" t="s">
        <v>1922</v>
      </c>
      <c r="E1448" t="s">
        <v>1</v>
      </c>
      <c r="G1448" t="s">
        <v>1871</v>
      </c>
      <c r="H1448" t="s">
        <v>1918</v>
      </c>
      <c r="I1448">
        <v>-33.3613</v>
      </c>
      <c r="J1448">
        <v>118.056</v>
      </c>
      <c r="K1448" t="str">
        <f>HYPERLINK("http://geossdi.dmp.wa.gov.au/NVCLDataServices/mosaic.html?datasetid=98c3e94a-704c-4772-8120-07770c71b4c","BNDD005_Core Image")</f>
        <v>BNDD005_Core Image</v>
      </c>
    </row>
    <row r="1449" spans="1:11" x14ac:dyDescent="0.25">
      <c r="A1449" t="str">
        <f>HYPERLINK("http://www.corstruth.com.au/WA/BNDD006_cs.png","BNDD006_A4")</f>
        <v>BNDD006_A4</v>
      </c>
      <c r="B1449" t="str">
        <f>HYPERLINK("http://www.corstruth.com.au/WA/PNG2/BNDD006_cs.png","BNDD006_0.25m Bins")</f>
        <v>BNDD006_0.25m Bins</v>
      </c>
      <c r="C1449" t="str">
        <f>HYPERLINK("http://www.corstruth.com.au/WA/CSV/BNDD006.csv","BNDD006_CSV File 1m Bins")</f>
        <v>BNDD006_CSV File 1m Bins</v>
      </c>
      <c r="D1449" t="s">
        <v>1923</v>
      </c>
      <c r="E1449" t="s">
        <v>1</v>
      </c>
      <c r="G1449" t="s">
        <v>1871</v>
      </c>
      <c r="H1449" t="s">
        <v>1918</v>
      </c>
      <c r="I1449">
        <v>-33.360799999999998</v>
      </c>
      <c r="J1449">
        <v>118.05500000000001</v>
      </c>
      <c r="K1449" t="str">
        <f>HYPERLINK("http://geossdi.dmp.wa.gov.au/NVCLDataServices/mosaic.html?datasetid=84d4e50a-effc-4fdb-9f4b-4b491f3c049","BNDD006_Core Image")</f>
        <v>BNDD006_Core Image</v>
      </c>
    </row>
    <row r="1450" spans="1:11" x14ac:dyDescent="0.25">
      <c r="A1450" t="str">
        <f>HYPERLINK("http://www.corstruth.com.au/WA/BNDD007_cs.png","BNDD007_A4")</f>
        <v>BNDD007_A4</v>
      </c>
      <c r="B1450" t="str">
        <f>HYPERLINK("http://www.corstruth.com.au/WA/PNG2/BNDD007_cs.png","BNDD007_0.25m Bins")</f>
        <v>BNDD007_0.25m Bins</v>
      </c>
      <c r="C1450" t="str">
        <f>HYPERLINK("http://www.corstruth.com.au/WA/CSV/BNDD007.csv","BNDD007_CSV File 1m Bins")</f>
        <v>BNDD007_CSV File 1m Bins</v>
      </c>
      <c r="D1450" t="s">
        <v>1924</v>
      </c>
      <c r="E1450" t="s">
        <v>1</v>
      </c>
      <c r="G1450" t="s">
        <v>1871</v>
      </c>
      <c r="H1450" t="s">
        <v>1918</v>
      </c>
      <c r="I1450">
        <v>-33.359400000000001</v>
      </c>
      <c r="J1450">
        <v>118.07299999999999</v>
      </c>
      <c r="K1450" t="str">
        <f>HYPERLINK("http://geossdi.dmp.wa.gov.au/NVCLDataServices/mosaic.html?datasetid=b89cad8b-e852-44c5-aae3-ad65f207b4b","BNDD007_Core Image")</f>
        <v>BNDD007_Core Image</v>
      </c>
    </row>
    <row r="1451" spans="1:11" x14ac:dyDescent="0.25">
      <c r="A1451" t="str">
        <f>HYPERLINK("http://www.corstruth.com.au/WA/BNRD002_cs.png","BNRD002_A4")</f>
        <v>BNRD002_A4</v>
      </c>
      <c r="B1451" t="str">
        <f>HYPERLINK("http://www.corstruth.com.au/WA/PNG2/BNRD002_cs.png","BNRD002_0.25m Bins")</f>
        <v>BNRD002_0.25m Bins</v>
      </c>
      <c r="C1451" t="str">
        <f>HYPERLINK("http://www.corstruth.com.au/WA/CSV/BNRD002.csv","BNRD002_CSV File 1m Bins")</f>
        <v>BNRD002_CSV File 1m Bins</v>
      </c>
      <c r="D1451" t="s">
        <v>1925</v>
      </c>
      <c r="E1451" t="s">
        <v>1</v>
      </c>
      <c r="G1451" t="s">
        <v>1871</v>
      </c>
      <c r="H1451" t="s">
        <v>1918</v>
      </c>
      <c r="I1451">
        <v>-33.362400000000001</v>
      </c>
      <c r="J1451">
        <v>118.056</v>
      </c>
      <c r="K1451" t="str">
        <f>HYPERLINK("http://geossdi.dmp.wa.gov.au/NVCLDataServices/mosaic.html?datasetid=ca9c5c0a-7175-47ec-9915-42af8d6d15b","BNRD002_Core Image")</f>
        <v>BNRD002_Core Image</v>
      </c>
    </row>
    <row r="1452" spans="1:11" x14ac:dyDescent="0.25">
      <c r="A1452" t="str">
        <f>HYPERLINK("http://www.corstruth.com.au/WA/BNRD005_cs.png","BNRD005_A4")</f>
        <v>BNRD005_A4</v>
      </c>
      <c r="B1452" t="str">
        <f>HYPERLINK("http://www.corstruth.com.au/WA/PNG2/BNRD005_cs.png","BNRD005_0.25m Bins")</f>
        <v>BNRD005_0.25m Bins</v>
      </c>
      <c r="C1452" t="str">
        <f>HYPERLINK("http://www.corstruth.com.au/WA/CSV/BNRD005.csv","BNRD005_CSV File 1m Bins")</f>
        <v>BNRD005_CSV File 1m Bins</v>
      </c>
      <c r="D1452" t="s">
        <v>1926</v>
      </c>
      <c r="E1452" t="s">
        <v>1</v>
      </c>
      <c r="G1452" t="s">
        <v>1871</v>
      </c>
      <c r="H1452" t="s">
        <v>1918</v>
      </c>
      <c r="I1452">
        <v>-33.361899999999999</v>
      </c>
      <c r="J1452">
        <v>118.054</v>
      </c>
      <c r="K1452" t="str">
        <f>HYPERLINK("http://geossdi.dmp.wa.gov.au/NVCLDataServices/mosaic.html?datasetid=0991cc96-b4c9-4558-a458-f7f44590e55","BNRD005_Core Image")</f>
        <v>BNRD005_Core Image</v>
      </c>
    </row>
    <row r="1453" spans="1:11" x14ac:dyDescent="0.25">
      <c r="A1453" t="str">
        <f>HYPERLINK("http://www.corstruth.com.au/WA/BNRD007_cs.png","BNRD007_A4")</f>
        <v>BNRD007_A4</v>
      </c>
      <c r="B1453" t="str">
        <f>HYPERLINK("http://www.corstruth.com.au/WA/PNG2/BNRD007_cs.png","BNRD007_0.25m Bins")</f>
        <v>BNRD007_0.25m Bins</v>
      </c>
      <c r="C1453" t="str">
        <f>HYPERLINK("http://www.corstruth.com.au/WA/CSV/BNRD007.csv","BNRD007_CSV File 1m Bins")</f>
        <v>BNRD007_CSV File 1m Bins</v>
      </c>
      <c r="D1453" t="s">
        <v>1927</v>
      </c>
      <c r="E1453" t="s">
        <v>1</v>
      </c>
      <c r="G1453" t="s">
        <v>1871</v>
      </c>
      <c r="H1453" t="s">
        <v>1918</v>
      </c>
      <c r="I1453">
        <v>-33.360500000000002</v>
      </c>
      <c r="J1453">
        <v>118.05500000000001</v>
      </c>
      <c r="K1453" t="str">
        <f>HYPERLINK("http://geossdi.dmp.wa.gov.au/NVCLDataServices/mosaic.html?datasetid=8859c2a0-d295-408d-8957-78745cb7e3b","BNRD007_Core Image")</f>
        <v>BNRD007_Core Image</v>
      </c>
    </row>
    <row r="1454" spans="1:11" x14ac:dyDescent="0.25">
      <c r="A1454" t="str">
        <f>HYPERLINK("http://www.corstruth.com.au/WA/BNRD010_cs.png","BNRD010_A4")</f>
        <v>BNRD010_A4</v>
      </c>
      <c r="B1454" t="str">
        <f>HYPERLINK("http://www.corstruth.com.au/WA/PNG2/BNRD010_cs.png","BNRD010_0.25m Bins")</f>
        <v>BNRD010_0.25m Bins</v>
      </c>
      <c r="C1454" t="str">
        <f>HYPERLINK("http://www.corstruth.com.au/WA/CSV/BNRD010.csv","BNRD010_CSV File 1m Bins")</f>
        <v>BNRD010_CSV File 1m Bins</v>
      </c>
      <c r="D1454" t="s">
        <v>1928</v>
      </c>
      <c r="E1454" t="s">
        <v>1</v>
      </c>
      <c r="G1454" t="s">
        <v>1871</v>
      </c>
      <c r="H1454" t="s">
        <v>1918</v>
      </c>
      <c r="I1454">
        <v>-33.361800000000002</v>
      </c>
      <c r="J1454">
        <v>118.056</v>
      </c>
      <c r="K1454" t="str">
        <f>HYPERLINK("http://geossdi.dmp.wa.gov.au/NVCLDataServices/mosaic.html?datasetid=8de8a609-d0cd-42a2-b130-f2a7316f13b","BNRD010_Core Image")</f>
        <v>BNRD010_Core Image</v>
      </c>
    </row>
    <row r="1455" spans="1:11" x14ac:dyDescent="0.25">
      <c r="A1455" t="str">
        <f>HYPERLINK("http://www.corstruth.com.au/WA/BNRD023_cs.png","BNRD023_A4")</f>
        <v>BNRD023_A4</v>
      </c>
      <c r="B1455" t="str">
        <f>HYPERLINK("http://www.corstruth.com.au/WA/PNG2/BNRD023_cs.png","BNRD023_0.25m Bins")</f>
        <v>BNRD023_0.25m Bins</v>
      </c>
      <c r="C1455" t="str">
        <f>HYPERLINK("http://www.corstruth.com.au/WA/CSV/BNRD023.csv","BNRD023_CSV File 1m Bins")</f>
        <v>BNRD023_CSV File 1m Bins</v>
      </c>
      <c r="D1455" t="s">
        <v>1929</v>
      </c>
      <c r="E1455" t="s">
        <v>1</v>
      </c>
      <c r="G1455" t="s">
        <v>1871</v>
      </c>
      <c r="H1455" t="s">
        <v>1918</v>
      </c>
      <c r="I1455">
        <v>-33.361600000000003</v>
      </c>
      <c r="J1455">
        <v>118.054</v>
      </c>
      <c r="K1455" t="str">
        <f>HYPERLINK("http://geossdi.dmp.wa.gov.au/NVCLDataServices/mosaic.html?datasetid=b82ed01c-81d0-4f2b-b286-7aad845f123","BNRD023_Core Image")</f>
        <v>BNRD023_Core Image</v>
      </c>
    </row>
    <row r="1456" spans="1:11" x14ac:dyDescent="0.25">
      <c r="A1456" t="str">
        <f>HYPERLINK("http://www.corstruth.com.au/WA/BNRD024_cs.png","BNRD024_A4")</f>
        <v>BNRD024_A4</v>
      </c>
      <c r="B1456" t="str">
        <f>HYPERLINK("http://www.corstruth.com.au/WA/PNG2/BNRD024_cs.png","BNRD024_0.25m Bins")</f>
        <v>BNRD024_0.25m Bins</v>
      </c>
      <c r="C1456" t="str">
        <f>HYPERLINK("http://www.corstruth.com.au/WA/CSV/BNRD024.csv","BNRD024_CSV File 1m Bins")</f>
        <v>BNRD024_CSV File 1m Bins</v>
      </c>
      <c r="D1456" t="s">
        <v>1930</v>
      </c>
      <c r="E1456" t="s">
        <v>1</v>
      </c>
      <c r="G1456" t="s">
        <v>1871</v>
      </c>
      <c r="H1456" t="s">
        <v>1918</v>
      </c>
      <c r="I1456">
        <v>-33.3611</v>
      </c>
      <c r="J1456">
        <v>118.054</v>
      </c>
      <c r="K1456" t="str">
        <f>HYPERLINK("http://geossdi.dmp.wa.gov.au/NVCLDataServices/mosaic.html?datasetid=7576594c-d77b-4d7c-bbc6-84a536985b9","BNRD024_Core Image")</f>
        <v>BNRD024_Core Image</v>
      </c>
    </row>
    <row r="1457" spans="1:11" x14ac:dyDescent="0.25">
      <c r="A1457" t="str">
        <f>HYPERLINK("http://www.corstruth.com.au/WA/THDD024_cs.png","THDD024_A4")</f>
        <v>THDD024_A4</v>
      </c>
      <c r="B1457" t="str">
        <f>HYPERLINK("http://www.corstruth.com.au/WA/PNG2/THDD024_cs.png","THDD024_0.25m Bins")</f>
        <v>THDD024_0.25m Bins</v>
      </c>
      <c r="C1457" t="str">
        <f>HYPERLINK("http://www.corstruth.com.au/WA/CSV/THDD024.csv","THDD024_CSV File 1m Bins")</f>
        <v>THDD024_CSV File 1m Bins</v>
      </c>
      <c r="D1457" t="s">
        <v>1931</v>
      </c>
      <c r="E1457" t="s">
        <v>1</v>
      </c>
      <c r="G1457" t="s">
        <v>1871</v>
      </c>
      <c r="H1457" t="s">
        <v>1932</v>
      </c>
      <c r="I1457">
        <v>-32.164099999999998</v>
      </c>
      <c r="J1457">
        <v>118.453</v>
      </c>
      <c r="K1457" t="str">
        <f>HYPERLINK("http://geossdi.dmp.wa.gov.au/NVCLDataServices/mosaic.html?datasetid=370f2ac9-0213-4e90-94a7-a1bff7f9969","THDD024_Core Image")</f>
        <v>THDD024_Core Image</v>
      </c>
    </row>
    <row r="1458" spans="1:11" x14ac:dyDescent="0.25">
      <c r="A1458" t="str">
        <f>HYPERLINK("http://www.corstruth.com.au/WA/THDD025_cs.png","THDD025_A4")</f>
        <v>THDD025_A4</v>
      </c>
      <c r="B1458" t="str">
        <f>HYPERLINK("http://www.corstruth.com.au/WA/PNG2/THDD025_cs.png","THDD025_0.25m Bins")</f>
        <v>THDD025_0.25m Bins</v>
      </c>
      <c r="C1458" t="str">
        <f>HYPERLINK("http://www.corstruth.com.au/WA/CSV/THDD025.csv","THDD025_CSV File 1m Bins")</f>
        <v>THDD025_CSV File 1m Bins</v>
      </c>
      <c r="D1458" t="s">
        <v>1933</v>
      </c>
      <c r="E1458" t="s">
        <v>1</v>
      </c>
      <c r="G1458" t="s">
        <v>1871</v>
      </c>
      <c r="H1458" t="s">
        <v>1932</v>
      </c>
      <c r="I1458">
        <v>-32.164099999999998</v>
      </c>
      <c r="J1458">
        <v>118.45099999999999</v>
      </c>
      <c r="K1458" t="str">
        <f>HYPERLINK("http://geossdi.dmp.wa.gov.au/NVCLDataServices/mosaic.html?datasetid=dd82b3ee-bba6-45b5-94ee-c36d25ed67c","THDD025_Core Image")</f>
        <v>THDD025_Core Image</v>
      </c>
    </row>
    <row r="1459" spans="1:11" x14ac:dyDescent="0.25">
      <c r="A1459" t="str">
        <f>HYPERLINK("http://www.corstruth.com.au/WA/THDD023_cs.png","THDD023_A4")</f>
        <v>THDD023_A4</v>
      </c>
      <c r="B1459" t="str">
        <f>HYPERLINK("http://www.corstruth.com.au/WA/PNG2/THDD023_cs.png","THDD023_0.25m Bins")</f>
        <v>THDD023_0.25m Bins</v>
      </c>
      <c r="C1459" t="str">
        <f>HYPERLINK("http://www.corstruth.com.au/WA/CSV/THDD023.csv","THDD023_CSV File 1m Bins")</f>
        <v>THDD023_CSV File 1m Bins</v>
      </c>
      <c r="D1459" t="s">
        <v>1934</v>
      </c>
      <c r="E1459" t="s">
        <v>1</v>
      </c>
      <c r="G1459" t="s">
        <v>1871</v>
      </c>
      <c r="H1459" t="s">
        <v>1935</v>
      </c>
      <c r="I1459">
        <v>-32.167000000000002</v>
      </c>
      <c r="J1459">
        <v>118.45399999999999</v>
      </c>
      <c r="K1459" t="str">
        <f>HYPERLINK("http://geossdi.dmp.wa.gov.au/NVCLDataServices/mosaic.html?datasetid=6e8d3a82-45f7-448b-bdc7-275c5677d04","THDD023_Core Image")</f>
        <v>THDD023_Core Image</v>
      </c>
    </row>
    <row r="1460" spans="1:11" x14ac:dyDescent="0.25">
      <c r="A1460" t="str">
        <f>HYPERLINK("http://www.corstruth.com.au/WA/CFDD001_cs.png","CFDD001_A4")</f>
        <v>CFDD001_A4</v>
      </c>
      <c r="B1460" t="str">
        <f>HYPERLINK("http://www.corstruth.com.au/WA/PNG2/CFDD001_cs.png","CFDD001_0.25m Bins")</f>
        <v>CFDD001_0.25m Bins</v>
      </c>
      <c r="C1460" t="str">
        <f>HYPERLINK("http://www.corstruth.com.au/WA/CSV/CFDD001.csv","CFDD001_CSV File 1m Bins")</f>
        <v>CFDD001_CSV File 1m Bins</v>
      </c>
      <c r="D1460" t="s">
        <v>1936</v>
      </c>
      <c r="E1460" t="s">
        <v>1</v>
      </c>
      <c r="G1460" t="s">
        <v>1871</v>
      </c>
      <c r="H1460" t="s">
        <v>1937</v>
      </c>
      <c r="I1460">
        <v>-31.494900000000001</v>
      </c>
      <c r="J1460">
        <v>116.82899999999999</v>
      </c>
      <c r="K1460" t="str">
        <f>HYPERLINK("http://geossdi.dmp.wa.gov.au/NVCLDataServices/mosaic.html?datasetid=91aba337-b0cb-43c8-b251-0e4ee5f0608","CFDD001_Core Image")</f>
        <v>CFDD001_Core Image</v>
      </c>
    </row>
    <row r="1461" spans="1:11" x14ac:dyDescent="0.25">
      <c r="A1461" t="str">
        <f>HYPERLINK("http://www.corstruth.com.au/WA/WPD013_cs.png","WPD013_A4")</f>
        <v>WPD013_A4</v>
      </c>
      <c r="B1461" t="str">
        <f>HYPERLINK("http://www.corstruth.com.au/WA/PNG2/WPD013_cs.png","WPD013_0.25m Bins")</f>
        <v>WPD013_0.25m Bins</v>
      </c>
      <c r="C1461" t="str">
        <f>HYPERLINK("http://www.corstruth.com.au/WA/CSV/WPD013.csv","WPD013_CSV File 1m Bins")</f>
        <v>WPD013_CSV File 1m Bins</v>
      </c>
      <c r="D1461" t="s">
        <v>1938</v>
      </c>
      <c r="E1461" t="s">
        <v>1</v>
      </c>
      <c r="G1461" t="s">
        <v>1871</v>
      </c>
      <c r="H1461" t="s">
        <v>1939</v>
      </c>
      <c r="I1461">
        <v>-34.154699999999998</v>
      </c>
      <c r="J1461">
        <v>116.002</v>
      </c>
      <c r="K1461" t="str">
        <f>HYPERLINK("http://geossdi.dmp.wa.gov.au/NVCLDataServices/mosaic.html?datasetid=f054b700-a298-458d-b1e7-f2b96e13d37","WPD013_Core Image")</f>
        <v>WPD013_Core Image</v>
      </c>
    </row>
    <row r="1462" spans="1:11" x14ac:dyDescent="0.25">
      <c r="A1462" t="str">
        <f>HYPERLINK("http://www.corstruth.com.au/WA/WPD02_cs.png","WPD02_A4")</f>
        <v>WPD02_A4</v>
      </c>
      <c r="B1462" t="str">
        <f>HYPERLINK("http://www.corstruth.com.au/WA/PNG2/WPD02_cs.png","WPD02_0.25m Bins")</f>
        <v>WPD02_0.25m Bins</v>
      </c>
      <c r="C1462" t="str">
        <f>HYPERLINK("http://www.corstruth.com.au/WA/CSV/WPD02.csv","WPD02_CSV File 1m Bins")</f>
        <v>WPD02_CSV File 1m Bins</v>
      </c>
      <c r="D1462" t="s">
        <v>1940</v>
      </c>
      <c r="E1462" t="s">
        <v>1</v>
      </c>
      <c r="G1462" t="s">
        <v>1871</v>
      </c>
      <c r="H1462" t="s">
        <v>1939</v>
      </c>
      <c r="I1462">
        <v>-34.158000000000001</v>
      </c>
      <c r="J1462">
        <v>115.998</v>
      </c>
      <c r="K1462" t="str">
        <f>HYPERLINK("http://geossdi.dmp.wa.gov.au/NVCLDataServices/mosaic.html?datasetid=ecdb4498-0870-4dbc-bbcf-32920fa6a28","WPD02_Core Image")</f>
        <v>WPD02_Core Image</v>
      </c>
    </row>
    <row r="1463" spans="1:11" x14ac:dyDescent="0.25">
      <c r="A1463" t="str">
        <f>HYPERLINK("http://www.corstruth.com.au/WA/WPD03_cs.png","WPD03_A4")</f>
        <v>WPD03_A4</v>
      </c>
      <c r="B1463" t="str">
        <f>HYPERLINK("http://www.corstruth.com.au/WA/PNG2/WPD03_cs.png","WPD03_0.25m Bins")</f>
        <v>WPD03_0.25m Bins</v>
      </c>
      <c r="C1463" t="str">
        <f>HYPERLINK("http://www.corstruth.com.au/WA/CSV/WPD03.csv","WPD03_CSV File 1m Bins")</f>
        <v>WPD03_CSV File 1m Bins</v>
      </c>
      <c r="D1463" t="s">
        <v>1941</v>
      </c>
      <c r="E1463" t="s">
        <v>1</v>
      </c>
      <c r="G1463" t="s">
        <v>1871</v>
      </c>
      <c r="H1463" t="s">
        <v>1939</v>
      </c>
      <c r="I1463">
        <v>-34.134900000000002</v>
      </c>
      <c r="J1463">
        <v>115.99</v>
      </c>
      <c r="K1463" t="str">
        <f>HYPERLINK("http://geossdi.dmp.wa.gov.au/NVCLDataServices/mosaic.html?datasetid=9f25959a-31b4-4fb0-bbc2-03d37eb1756","WPD03_Core Image")</f>
        <v>WPD03_Core Image</v>
      </c>
    </row>
    <row r="1464" spans="1:11" x14ac:dyDescent="0.25">
      <c r="A1464" t="str">
        <f>HYPERLINK("http://www.corstruth.com.au/WA/WPD04_cs.png","WPD04_A4")</f>
        <v>WPD04_A4</v>
      </c>
      <c r="B1464" t="str">
        <f>HYPERLINK("http://www.corstruth.com.au/WA/PNG2/WPD04_cs.png","WPD04_0.25m Bins")</f>
        <v>WPD04_0.25m Bins</v>
      </c>
      <c r="C1464" t="str">
        <f>HYPERLINK("http://www.corstruth.com.au/WA/CSV/WPD04.csv","WPD04_CSV File 1m Bins")</f>
        <v>WPD04_CSV File 1m Bins</v>
      </c>
      <c r="D1464" t="s">
        <v>1942</v>
      </c>
      <c r="E1464" t="s">
        <v>1</v>
      </c>
      <c r="G1464" t="s">
        <v>1871</v>
      </c>
      <c r="H1464" t="s">
        <v>1939</v>
      </c>
      <c r="I1464">
        <v>-34.161700000000003</v>
      </c>
      <c r="J1464">
        <v>115.986</v>
      </c>
      <c r="K1464" t="str">
        <f>HYPERLINK("http://geossdi.dmp.wa.gov.au/NVCLDataServices/mosaic.html?datasetid=6243171e-bd0b-48a9-8878-83a870c31b9","WPD04_Core Image")</f>
        <v>WPD04_Core Image</v>
      </c>
    </row>
    <row r="1465" spans="1:11" x14ac:dyDescent="0.25">
      <c r="A1465" t="str">
        <f>HYPERLINK("http://www.corstruth.com.au/WA/WPD07_cs.png","WPD07_A4")</f>
        <v>WPD07_A4</v>
      </c>
      <c r="B1465" t="str">
        <f>HYPERLINK("http://www.corstruth.com.au/WA/PNG2/WPD07_cs.png","WPD07_0.25m Bins")</f>
        <v>WPD07_0.25m Bins</v>
      </c>
      <c r="C1465" t="str">
        <f>HYPERLINK("http://www.corstruth.com.au/WA/CSV/WPD07.csv","WPD07_CSV File 1m Bins")</f>
        <v>WPD07_CSV File 1m Bins</v>
      </c>
      <c r="D1465" t="s">
        <v>1943</v>
      </c>
      <c r="E1465" t="s">
        <v>1</v>
      </c>
      <c r="G1465" t="s">
        <v>1871</v>
      </c>
      <c r="H1465" t="s">
        <v>1939</v>
      </c>
      <c r="I1465">
        <v>-34.156399999999998</v>
      </c>
      <c r="J1465">
        <v>116</v>
      </c>
      <c r="K1465" t="str">
        <f>HYPERLINK("http://geossdi.dmp.wa.gov.au/NVCLDataServices/mosaic.html?datasetid=abe51a53-aeb8-4781-bb3a-6c9a8bc6cb6","WPD07_Core Image")</f>
        <v>WPD07_Core Image</v>
      </c>
    </row>
    <row r="1466" spans="1:11" x14ac:dyDescent="0.25">
      <c r="A1466" t="str">
        <f>HYPERLINK("http://www.corstruth.com.au/WA/YAD0019_cs.png","YAD0019_A4")</f>
        <v>YAD0019_A4</v>
      </c>
      <c r="B1466" t="str">
        <f>HYPERLINK("http://www.corstruth.com.au/WA/PNG2/YAD0019_cs.png","YAD0019_0.25m Bins")</f>
        <v>YAD0019_0.25m Bins</v>
      </c>
      <c r="C1466" t="str">
        <f>HYPERLINK("http://www.corstruth.com.au/WA/CSV/YAD0019.csv","YAD0019_CSV File 1m Bins")</f>
        <v>YAD0019_CSV File 1m Bins</v>
      </c>
      <c r="D1466" t="s">
        <v>1944</v>
      </c>
      <c r="E1466" t="s">
        <v>1</v>
      </c>
      <c r="G1466" t="s">
        <v>1871</v>
      </c>
      <c r="H1466" t="s">
        <v>1945</v>
      </c>
      <c r="I1466">
        <v>-31.093299999999999</v>
      </c>
      <c r="J1466">
        <v>116.274</v>
      </c>
    </row>
    <row r="1467" spans="1:11" x14ac:dyDescent="0.25">
      <c r="A1467" t="str">
        <f>HYPERLINK("http://www.corstruth.com.au/WA/GSWA_Barrabiddy_1_cs.png","GSWA Barrabiddy 1_A4")</f>
        <v>GSWA Barrabiddy 1_A4</v>
      </c>
      <c r="B1467" t="str">
        <f>HYPERLINK("http://www.corstruth.com.au/WA/PNG2/GSWA_Barrabiddy_1_cs.png","GSWA Barrabiddy 1_0.25m Bins")</f>
        <v>GSWA Barrabiddy 1_0.25m Bins</v>
      </c>
      <c r="C1467" t="str">
        <f>HYPERLINK("http://www.corstruth.com.au/WA/CSV/GSWA_Barrabiddy_1.csv","GSWA Barrabiddy 1_CSV File 1m Bins")</f>
        <v>GSWA Barrabiddy 1_CSV File 1m Bins</v>
      </c>
      <c r="D1467" t="s">
        <v>88</v>
      </c>
      <c r="E1467" t="s">
        <v>1</v>
      </c>
      <c r="G1467" t="s">
        <v>86</v>
      </c>
      <c r="H1467" t="s">
        <v>89</v>
      </c>
      <c r="I1467">
        <v>-23.831199999999999</v>
      </c>
      <c r="J1467">
        <v>114.33499999999999</v>
      </c>
      <c r="K1467" t="str">
        <f>HYPERLINK("http://geossdi.dmp.wa.gov.au/NVCLDataServices/mosaic.html?datasetid=a4088c26-873c-488c-a14b-aefc7493b05","GSWA Barrabiddy 1_Core Image")</f>
        <v>GSWA Barrabiddy 1_Core Image</v>
      </c>
    </row>
    <row r="1468" spans="1:11" x14ac:dyDescent="0.25">
      <c r="A1468" t="str">
        <f>HYPERLINK("http://www.corstruth.com.au/WA/Pendock_1_cs.png","Pendock 1_A4")</f>
        <v>Pendock 1_A4</v>
      </c>
      <c r="B1468" t="str">
        <f>HYPERLINK("http://www.corstruth.com.au/WA/PNG2/Pendock_1_cs.png","Pendock 1_0.25m Bins")</f>
        <v>Pendock 1_0.25m Bins</v>
      </c>
      <c r="C1468" t="str">
        <f>HYPERLINK("http://www.corstruth.com.au/WA/CSV/Pendock_1.csv","Pendock 1_CSV File 1m Bins")</f>
        <v>Pendock 1_CSV File 1m Bins</v>
      </c>
      <c r="D1468" t="s">
        <v>1946</v>
      </c>
      <c r="E1468" t="s">
        <v>1</v>
      </c>
      <c r="G1468" t="s">
        <v>86</v>
      </c>
      <c r="H1468" t="s">
        <v>1947</v>
      </c>
      <c r="I1468">
        <v>-23.282599999999999</v>
      </c>
      <c r="J1468">
        <v>113.337</v>
      </c>
      <c r="K1468" t="str">
        <f>HYPERLINK("http://geossdi.dmp.wa.gov.au/NVCLDataServices/mosaic.html?datasetid=c1def225-e3a2-4cfc-b3bb-8c6e396374f","Pendock 1_Core Image")</f>
        <v>Pendock 1_Core Image</v>
      </c>
    </row>
    <row r="1469" spans="1:11" x14ac:dyDescent="0.25">
      <c r="A1469" t="str">
        <f>HYPERLINK("http://www.corstruth.com.au/WA/GSWA_Gneudna_1_cs.png","GSWA Gneudna 1_A4")</f>
        <v>GSWA Gneudna 1_A4</v>
      </c>
      <c r="B1469" t="str">
        <f>HYPERLINK("http://www.corstruth.com.au/WA/PNG2/GSWA_Gneudna_1_cs.png","GSWA Gneudna 1_0.25m Bins")</f>
        <v>GSWA Gneudna 1_0.25m Bins</v>
      </c>
      <c r="C1469" t="str">
        <f>HYPERLINK("http://www.corstruth.com.au/WA/CSV/GSWA_Gneudna_1.csv","GSWA Gneudna 1_CSV File 1m Bins")</f>
        <v>GSWA Gneudna 1_CSV File 1m Bins</v>
      </c>
      <c r="D1469" t="s">
        <v>106</v>
      </c>
      <c r="E1469" t="s">
        <v>1</v>
      </c>
      <c r="G1469" t="s">
        <v>107</v>
      </c>
      <c r="H1469" t="s">
        <v>108</v>
      </c>
      <c r="I1469">
        <v>-23.971499999999999</v>
      </c>
      <c r="J1469">
        <v>115.218</v>
      </c>
      <c r="K1469" t="str">
        <f>HYPERLINK("http://geossdi.dmp.wa.gov.au/NVCLDataServices/mosaic.html?datasetid=849f2959-02e7-4180-a035-a8a01e20968","GSWA Gneudna 1_Core Image")</f>
        <v>GSWA Gneudna 1_Core Image</v>
      </c>
    </row>
    <row r="1470" spans="1:11" x14ac:dyDescent="0.25">
      <c r="A1470" t="str">
        <f>HYPERLINK("http://www.corstruth.com.au/WA/Quail_1_cs.png","Quail 1_A4")</f>
        <v>Quail 1_A4</v>
      </c>
      <c r="B1470" t="str">
        <f>HYPERLINK("http://www.corstruth.com.au/WA/PNG2/Quail_1_cs.png","Quail 1_0.25m Bins")</f>
        <v>Quail 1_0.25m Bins</v>
      </c>
      <c r="C1470" t="str">
        <f>HYPERLINK("http://www.corstruth.com.au/WA/CSV/Quail_1.csv","Quail 1_CSV File 1m Bins")</f>
        <v>Quail 1_CSV File 1m Bins</v>
      </c>
      <c r="D1470" t="s">
        <v>1948</v>
      </c>
      <c r="E1470" t="s">
        <v>1</v>
      </c>
      <c r="G1470" t="s">
        <v>107</v>
      </c>
      <c r="H1470" t="s">
        <v>1949</v>
      </c>
      <c r="I1470">
        <v>-23.9512</v>
      </c>
      <c r="J1470">
        <v>114.502</v>
      </c>
      <c r="K1470" t="str">
        <f>HYPERLINK("http://geossdi.dmp.wa.gov.au/NVCLDataServices/mosaic.html?datasetid=0a13916e-522a-443f-9ae7-82aa92aab0c","Quail 1_Core Image")</f>
        <v>Quail 1_Core Image</v>
      </c>
    </row>
    <row r="1471" spans="1:11" x14ac:dyDescent="0.25">
      <c r="A1471" t="str">
        <f>HYPERLINK("http://www.corstruth.com.au/WA/Coburn_1_cs.png","Coburn 1_A4")</f>
        <v>Coburn 1_A4</v>
      </c>
      <c r="B1471" t="str">
        <f>HYPERLINK("http://www.corstruth.com.au/WA/PNG2/Coburn_1_cs.png","Coburn 1_0.25m Bins")</f>
        <v>Coburn 1_0.25m Bins</v>
      </c>
      <c r="C1471" t="str">
        <f>HYPERLINK("http://www.corstruth.com.au/WA/CSV/Coburn_1.csv","Coburn 1_CSV File 1m Bins")</f>
        <v>Coburn 1_CSV File 1m Bins</v>
      </c>
      <c r="D1471" t="s">
        <v>1950</v>
      </c>
      <c r="E1471" t="s">
        <v>1</v>
      </c>
      <c r="G1471" t="s">
        <v>1951</v>
      </c>
      <c r="H1471" t="s">
        <v>1952</v>
      </c>
      <c r="I1471">
        <v>-26.6996</v>
      </c>
      <c r="J1471">
        <v>114.227</v>
      </c>
      <c r="K1471" t="str">
        <f>HYPERLINK("http://geossdi.dmp.wa.gov.au/NVCLDataServices/mosaic.html?datasetid=5ce60066-4df1-4bbd-b1f3-436fc95a813","Coburn 1_Core Image")</f>
        <v>Coburn 1_Core Image</v>
      </c>
    </row>
    <row r="1472" spans="1:11" x14ac:dyDescent="0.25">
      <c r="A1472" t="str">
        <f>HYPERLINK("http://www.corstruth.com.au/WA/GSWA_Woodleigh_1_cs.png","GSWA Woodleigh 1_A4")</f>
        <v>GSWA Woodleigh 1_A4</v>
      </c>
      <c r="B1472" t="str">
        <f>HYPERLINK("http://www.corstruth.com.au/WA/PNG2/GSWA_Woodleigh_1_cs.png","GSWA Woodleigh 1_0.25m Bins")</f>
        <v>GSWA Woodleigh 1_0.25m Bins</v>
      </c>
      <c r="C1472" t="str">
        <f>HYPERLINK("http://www.corstruth.com.au/WA/CSV/GSWA_Woodleigh_1.csv","GSWA Woodleigh 1_CSV File 1m Bins")</f>
        <v>GSWA Woodleigh 1_CSV File 1m Bins</v>
      </c>
      <c r="D1472" t="s">
        <v>1953</v>
      </c>
      <c r="E1472" t="s">
        <v>1</v>
      </c>
      <c r="G1472" t="s">
        <v>1951</v>
      </c>
      <c r="H1472" t="s">
        <v>1954</v>
      </c>
      <c r="I1472">
        <v>-26.055299999999999</v>
      </c>
      <c r="J1472">
        <v>114.666</v>
      </c>
      <c r="K1472" t="str">
        <f>HYPERLINK("http://geossdi.dmp.wa.gov.au/NVCLDataServices/mosaic.html?datasetid=12b36435-74da-4ad7-971c-305fb246f9a","GSWA Woodleigh 1_Core Image")</f>
        <v>GSWA Woodleigh 1_Core Image</v>
      </c>
    </row>
    <row r="1473" spans="1:11" x14ac:dyDescent="0.25">
      <c r="A1473" t="str">
        <f>HYPERLINK("http://www.corstruth.com.au/WA/Kennedy_Range_1_cs.png","Kennedy Range 1_A4")</f>
        <v>Kennedy Range 1_A4</v>
      </c>
      <c r="B1473" t="str">
        <f>HYPERLINK("http://www.corstruth.com.au/WA/PNG2/Kennedy_Range_1_cs.png","Kennedy Range 1_0.25m Bins")</f>
        <v>Kennedy Range 1_0.25m Bins</v>
      </c>
      <c r="C1473" t="str">
        <f>HYPERLINK("http://www.corstruth.com.au/WA/CSV/Kennedy_Range_1.csv","Kennedy Range 1_CSV File 1m Bins")</f>
        <v>Kennedy Range 1_CSV File 1m Bins</v>
      </c>
      <c r="D1473" t="s">
        <v>1955</v>
      </c>
      <c r="E1473" t="s">
        <v>1</v>
      </c>
      <c r="G1473" t="s">
        <v>1951</v>
      </c>
      <c r="H1473" t="s">
        <v>1956</v>
      </c>
      <c r="I1473">
        <v>-24.497299999999999</v>
      </c>
      <c r="J1473">
        <v>114.992</v>
      </c>
      <c r="K1473" t="str">
        <f>HYPERLINK("http://geossdi.dmp.wa.gov.au/NVCLDataServices/mosaic.html?datasetid=9fb80ec4-a07a-4578-ab4c-e91d6975098","Kennedy Range 1_Core Image")</f>
        <v>Kennedy Range 1_Core Image</v>
      </c>
    </row>
    <row r="1474" spans="1:11" x14ac:dyDescent="0.25">
      <c r="A1474" t="str">
        <f>HYPERLINK("http://www.corstruth.com.au/WA/LYRM01_cs.png","LYRM01_A4")</f>
        <v>LYRM01_A4</v>
      </c>
      <c r="B1474" t="str">
        <f>HYPERLINK("http://www.corstruth.com.au/WA/PNG2/LYRM01_cs.png","LYRM01_0.25m Bins")</f>
        <v>LYRM01_0.25m Bins</v>
      </c>
      <c r="C1474" t="str">
        <f>HYPERLINK("http://www.corstruth.com.au/WA/CSV/LYRM01.csv","LYRM01_CSV File 1m Bins")</f>
        <v>LYRM01_CSV File 1m Bins</v>
      </c>
      <c r="D1474" t="s">
        <v>1957</v>
      </c>
      <c r="E1474" t="s">
        <v>1</v>
      </c>
      <c r="G1474" t="s">
        <v>1951</v>
      </c>
      <c r="H1474" t="s">
        <v>1958</v>
      </c>
      <c r="I1474">
        <v>-23.659800000000001</v>
      </c>
      <c r="J1474">
        <v>114.977</v>
      </c>
      <c r="K1474" t="str">
        <f>HYPERLINK("http://geossdi.dmp.wa.gov.au/NVCLDataServices/mosaic.html?datasetid=57d43421-9076-4971-bc27-b33ffb18da4","LYRM01_Core Image")</f>
        <v>LYRM01_Core Image</v>
      </c>
    </row>
    <row r="1475" spans="1:11" x14ac:dyDescent="0.25">
      <c r="A1475" t="str">
        <f>HYPERLINK("http://www.corstruth.com.au/WA/LYRM02_cs.png","LYRM02_A4")</f>
        <v>LYRM02_A4</v>
      </c>
      <c r="B1475" t="str">
        <f>HYPERLINK("http://www.corstruth.com.au/WA/PNG2/LYRM02_cs.png","LYRM02_0.25m Bins")</f>
        <v>LYRM02_0.25m Bins</v>
      </c>
      <c r="C1475" t="str">
        <f>HYPERLINK("http://www.corstruth.com.au/WA/CSV/LYRM02.csv","LYRM02_CSV File 1m Bins")</f>
        <v>LYRM02_CSV File 1m Bins</v>
      </c>
      <c r="D1475" t="s">
        <v>1959</v>
      </c>
      <c r="E1475" t="s">
        <v>1</v>
      </c>
      <c r="G1475" t="s">
        <v>1951</v>
      </c>
      <c r="H1475" t="s">
        <v>1958</v>
      </c>
      <c r="I1475">
        <v>-23.661999999999999</v>
      </c>
      <c r="J1475">
        <v>114.985</v>
      </c>
      <c r="K1475" t="str">
        <f>HYPERLINK("http://geossdi.dmp.wa.gov.au/NVCLDataServices/mosaic.html?datasetid=b98e7414-e6a5-402d-ba6e-adc4fbc39f0","LYRM02_Core Image")</f>
        <v>LYRM02_Core Image</v>
      </c>
    </row>
    <row r="1476" spans="1:11" x14ac:dyDescent="0.25">
      <c r="A1476" t="str">
        <f>HYPERLINK("http://www.corstruth.com.au/WA/LYRM03_cs.png","LYRM03_A4")</f>
        <v>LYRM03_A4</v>
      </c>
      <c r="B1476" t="str">
        <f>HYPERLINK("http://www.corstruth.com.au/WA/PNG2/LYRM03_cs.png","LYRM03_0.25m Bins")</f>
        <v>LYRM03_0.25m Bins</v>
      </c>
      <c r="C1476" t="str">
        <f>HYPERLINK("http://www.corstruth.com.au/WA/CSV/LYRM03.csv","LYRM03_CSV File 1m Bins")</f>
        <v>LYRM03_CSV File 1m Bins</v>
      </c>
      <c r="D1476" t="s">
        <v>1960</v>
      </c>
      <c r="E1476" t="s">
        <v>1</v>
      </c>
      <c r="G1476" t="s">
        <v>1951</v>
      </c>
      <c r="H1476" t="s">
        <v>1958</v>
      </c>
      <c r="I1476">
        <v>-23.3842</v>
      </c>
      <c r="J1476">
        <v>114.97199999999999</v>
      </c>
      <c r="K1476" t="str">
        <f>HYPERLINK("http://geossdi.dmp.wa.gov.au/NVCLDataServices/mosaic.html?datasetid=82c24ca0-e5ac-4e72-a1bd-ff0a5c59ed4","LYRM03_Core Image")</f>
        <v>LYRM03_Core Image</v>
      </c>
    </row>
    <row r="1477" spans="1:11" x14ac:dyDescent="0.25">
      <c r="A1477" t="str">
        <f>HYPERLINK("http://www.corstruth.com.au/WA/LYRM04_cs.png","LYRM04_A4")</f>
        <v>LYRM04_A4</v>
      </c>
      <c r="B1477" t="str">
        <f>HYPERLINK("http://www.corstruth.com.au/WA/PNG2/LYRM04_cs.png","LYRM04_0.25m Bins")</f>
        <v>LYRM04_0.25m Bins</v>
      </c>
      <c r="C1477" t="str">
        <f>HYPERLINK("http://www.corstruth.com.au/WA/CSV/LYRM04.csv","LYRM04_CSV File 1m Bins")</f>
        <v>LYRM04_CSV File 1m Bins</v>
      </c>
      <c r="D1477" t="s">
        <v>1961</v>
      </c>
      <c r="E1477" t="s">
        <v>1</v>
      </c>
      <c r="G1477" t="s">
        <v>1951</v>
      </c>
      <c r="H1477" t="s">
        <v>1958</v>
      </c>
      <c r="I1477">
        <v>-23.383900000000001</v>
      </c>
      <c r="J1477">
        <v>114.968</v>
      </c>
      <c r="K1477" t="str">
        <f>HYPERLINK("http://geossdi.dmp.wa.gov.au/NVCLDataServices/mosaic.html?datasetid=4dd68187-dc93-4c12-8f78-96f78887b2b","LYRM04_Core Image")</f>
        <v>LYRM04_Core Image</v>
      </c>
    </row>
    <row r="1478" spans="1:11" x14ac:dyDescent="0.25">
      <c r="A1478" t="str">
        <f>HYPERLINK("http://www.corstruth.com.au/WA/LYRM05_cs.png","LYRM05_A4")</f>
        <v>LYRM05_A4</v>
      </c>
      <c r="B1478" t="str">
        <f>HYPERLINK("http://www.corstruth.com.au/WA/PNG2/LYRM05_cs.png","LYRM05_0.25m Bins")</f>
        <v>LYRM05_0.25m Bins</v>
      </c>
      <c r="C1478" t="str">
        <f>HYPERLINK("http://www.corstruth.com.au/WA/CSV/LYRM05.csv","LYRM05_CSV File 1m Bins")</f>
        <v>LYRM05_CSV File 1m Bins</v>
      </c>
      <c r="D1478" t="s">
        <v>1962</v>
      </c>
      <c r="E1478" t="s">
        <v>1</v>
      </c>
      <c r="G1478" t="s">
        <v>1951</v>
      </c>
      <c r="H1478" t="s">
        <v>1958</v>
      </c>
      <c r="I1478">
        <v>-23.326599999999999</v>
      </c>
      <c r="J1478">
        <v>114.925</v>
      </c>
      <c r="K1478" t="str">
        <f>HYPERLINK("http://geossdi.dmp.wa.gov.au/NVCLDataServices/mosaic.html?datasetid=fb790e62-2fa6-4a87-adb2-3f4fa879ca0","LYRM05_Core Image")</f>
        <v>LYRM05_Core Image</v>
      </c>
    </row>
    <row r="1479" spans="1:11" x14ac:dyDescent="0.25">
      <c r="A1479" t="str">
        <f>HYPERLINK("http://www.corstruth.com.au/WA/LYRM06_cs.png","LYRM06_A4")</f>
        <v>LYRM06_A4</v>
      </c>
      <c r="B1479" t="str">
        <f>HYPERLINK("http://www.corstruth.com.au/WA/PNG2/LYRM06_cs.png","LYRM06_0.25m Bins")</f>
        <v>LYRM06_0.25m Bins</v>
      </c>
      <c r="C1479" t="str">
        <f>HYPERLINK("http://www.corstruth.com.au/WA/CSV/LYRM06.csv","LYRM06_CSV File 1m Bins")</f>
        <v>LYRM06_CSV File 1m Bins</v>
      </c>
      <c r="D1479" t="s">
        <v>1963</v>
      </c>
      <c r="E1479" t="s">
        <v>1</v>
      </c>
      <c r="G1479" t="s">
        <v>1951</v>
      </c>
      <c r="H1479" t="s">
        <v>1958</v>
      </c>
      <c r="I1479">
        <v>-23.326599999999999</v>
      </c>
      <c r="J1479">
        <v>114.917</v>
      </c>
      <c r="K1479" t="str">
        <f>HYPERLINK("http://geossdi.dmp.wa.gov.au/NVCLDataServices/mosaic.html?datasetid=e73b30ed-3f50-4c8d-a4e6-a8912dd2c25","LYRM06_Core Image")</f>
        <v>LYRM06_Core Image</v>
      </c>
    </row>
    <row r="1480" spans="1:11" x14ac:dyDescent="0.25">
      <c r="A1480" t="str">
        <f>HYPERLINK("http://www.corstruth.com.au/WA/LYRM07_cs.png","LYRM07_A4")</f>
        <v>LYRM07_A4</v>
      </c>
      <c r="B1480" t="str">
        <f>HYPERLINK("http://www.corstruth.com.au/WA/PNG2/LYRM07_cs.png","LYRM07_0.25m Bins")</f>
        <v>LYRM07_0.25m Bins</v>
      </c>
      <c r="C1480" t="str">
        <f>HYPERLINK("http://www.corstruth.com.au/WA/CSV/LYRM07.csv","LYRM07_CSV File 1m Bins")</f>
        <v>LYRM07_CSV File 1m Bins</v>
      </c>
      <c r="D1480" t="s">
        <v>1964</v>
      </c>
      <c r="E1480" t="s">
        <v>1</v>
      </c>
      <c r="G1480" t="s">
        <v>1951</v>
      </c>
      <c r="H1480" t="s">
        <v>1958</v>
      </c>
      <c r="I1480">
        <v>-23.192599999999999</v>
      </c>
      <c r="J1480">
        <v>114.90900000000001</v>
      </c>
      <c r="K1480" t="str">
        <f>HYPERLINK("http://geossdi.dmp.wa.gov.au/NVCLDataServices/mosaic.html?datasetid=a394a814-7720-4495-bebc-ea271c766b5","LYRM07_Core Image")</f>
        <v>LYRM07_Core Image</v>
      </c>
    </row>
    <row r="1481" spans="1:11" x14ac:dyDescent="0.25">
      <c r="A1481" t="str">
        <f>HYPERLINK("http://www.corstruth.com.au/WA/LYRM08_cs.png","LYRM08_A4")</f>
        <v>LYRM08_A4</v>
      </c>
      <c r="B1481" t="str">
        <f>HYPERLINK("http://www.corstruth.com.au/WA/PNG2/LYRM08_cs.png","LYRM08_0.25m Bins")</f>
        <v>LYRM08_0.25m Bins</v>
      </c>
      <c r="C1481" t="str">
        <f>HYPERLINK("http://www.corstruth.com.au/WA/CSV/LYRM08.csv","LYRM08_CSV File 1m Bins")</f>
        <v>LYRM08_CSV File 1m Bins</v>
      </c>
      <c r="D1481" t="s">
        <v>1965</v>
      </c>
      <c r="E1481" t="s">
        <v>1</v>
      </c>
      <c r="G1481" t="s">
        <v>1951</v>
      </c>
      <c r="H1481" t="s">
        <v>1958</v>
      </c>
      <c r="I1481">
        <v>-23.153300000000002</v>
      </c>
      <c r="J1481">
        <v>114.941</v>
      </c>
      <c r="K1481" t="str">
        <f>HYPERLINK("http://geossdi.dmp.wa.gov.au/NVCLDataServices/mosaic.html?datasetid=7d74b036-bef9-4509-b3c4-129c219a3f0","LYRM08_Core Image")</f>
        <v>LYRM08_Core Image</v>
      </c>
    </row>
    <row r="1482" spans="1:11" x14ac:dyDescent="0.25">
      <c r="A1482" t="str">
        <f>HYPERLINK("http://www.corstruth.com.au/WA/LYRM09_cs.png","LYRM09_A4")</f>
        <v>LYRM09_A4</v>
      </c>
      <c r="B1482" t="str">
        <f>HYPERLINK("http://www.corstruth.com.au/WA/PNG2/LYRM09_cs.png","LYRM09_0.25m Bins")</f>
        <v>LYRM09_0.25m Bins</v>
      </c>
      <c r="C1482" t="str">
        <f>HYPERLINK("http://www.corstruth.com.au/WA/CSV/LYRM09.csv","LYRM09_CSV File 1m Bins")</f>
        <v>LYRM09_CSV File 1m Bins</v>
      </c>
      <c r="D1482" t="s">
        <v>1966</v>
      </c>
      <c r="E1482" t="s">
        <v>1</v>
      </c>
      <c r="G1482" t="s">
        <v>1951</v>
      </c>
      <c r="H1482" t="s">
        <v>1958</v>
      </c>
      <c r="I1482">
        <v>-23.090800000000002</v>
      </c>
      <c r="J1482">
        <v>114.922</v>
      </c>
      <c r="K1482" t="str">
        <f>HYPERLINK("http://geossdi.dmp.wa.gov.au/NVCLDataServices/mosaic.html?datasetid=2493464a-2167-4ddb-875f-6127259022d","LYRM09_Core Image")</f>
        <v>LYRM09_Core Image</v>
      </c>
    </row>
    <row r="1483" spans="1:11" x14ac:dyDescent="0.25">
      <c r="A1483" t="str">
        <f>HYPERLINK("http://www.corstruth.com.au/WA/LYRM10_cs.png","LYRM10_A4")</f>
        <v>LYRM10_A4</v>
      </c>
      <c r="B1483" t="str">
        <f>HYPERLINK("http://www.corstruth.com.au/WA/PNG2/LYRM10_cs.png","LYRM10_0.25m Bins")</f>
        <v>LYRM10_0.25m Bins</v>
      </c>
      <c r="C1483" t="str">
        <f>HYPERLINK("http://www.corstruth.com.au/WA/CSV/LYRM10.csv","LYRM10_CSV File 1m Bins")</f>
        <v>LYRM10_CSV File 1m Bins</v>
      </c>
      <c r="D1483" t="s">
        <v>1967</v>
      </c>
      <c r="E1483" t="s">
        <v>1</v>
      </c>
      <c r="G1483" t="s">
        <v>1951</v>
      </c>
      <c r="H1483" t="s">
        <v>1958</v>
      </c>
      <c r="I1483">
        <v>-23.025300000000001</v>
      </c>
      <c r="J1483">
        <v>114.904</v>
      </c>
      <c r="K1483" t="str">
        <f>HYPERLINK("http://geossdi.dmp.wa.gov.au/NVCLDataServices/mosaic.html?datasetid=640cf873-40f4-478f-9042-66151d64891","LYRM10_Core Image")</f>
        <v>LYRM10_Core Image</v>
      </c>
    </row>
    <row r="1484" spans="1:11" x14ac:dyDescent="0.25">
      <c r="A1484" t="str">
        <f>HYPERLINK("http://www.corstruth.com.au/WA/Wendy_1_cs.png","Wendy 1_A4")</f>
        <v>Wendy 1_A4</v>
      </c>
      <c r="B1484" t="str">
        <f>HYPERLINK("http://www.corstruth.com.au/WA/PNG2/Wendy_1_cs.png","Wendy 1_0.25m Bins")</f>
        <v>Wendy 1_0.25m Bins</v>
      </c>
      <c r="C1484" t="str">
        <f>HYPERLINK("http://www.corstruth.com.au/WA/CSV/Wendy_1.csv","Wendy 1_CSV File 1m Bins")</f>
        <v>Wendy 1_CSV File 1m Bins</v>
      </c>
      <c r="D1484" t="s">
        <v>1968</v>
      </c>
      <c r="E1484" t="s">
        <v>1</v>
      </c>
      <c r="G1484" t="s">
        <v>1951</v>
      </c>
      <c r="H1484" t="s">
        <v>1969</v>
      </c>
      <c r="I1484">
        <v>-28.299099999999999</v>
      </c>
      <c r="J1484">
        <v>115.017</v>
      </c>
      <c r="K1484" t="str">
        <f>HYPERLINK("http://geossdi.dmp.wa.gov.au/NVCLDataServices/mosaic.html?datasetid=2b02f782-d19b-4c96-8c81-4aaf955f75a","Wendy 1_Core Image")</f>
        <v>Wendy 1_Core Image</v>
      </c>
    </row>
    <row r="1485" spans="1:11" x14ac:dyDescent="0.25">
      <c r="A1485" t="str">
        <f>HYPERLINK("http://www.corstruth.com.au/WA/Strawberry_Hill_1_cuttings_cs.png","Strawberry Hill 1_cuttings_A4")</f>
        <v>Strawberry Hill 1_cuttings_A4</v>
      </c>
      <c r="B1485" t="str">
        <f>HYPERLINK("http://www.corstruth.com.au/WA/PNG2/Strawberry_Hill_1_cuttings_cs.png","Strawberry Hill 1_cuttings_0.25m Bins")</f>
        <v>Strawberry Hill 1_cuttings_0.25m Bins</v>
      </c>
      <c r="C1485" t="str">
        <f>HYPERLINK("http://www.corstruth.com.au/WA/CSV/Strawberry_Hill_1_cuttings.csv","Strawberry Hill 1_cuttings_CSV File 1m Bins")</f>
        <v>Strawberry Hill 1_cuttings_CSV File 1m Bins</v>
      </c>
      <c r="D1485" t="s">
        <v>1710</v>
      </c>
      <c r="E1485" t="s">
        <v>1</v>
      </c>
      <c r="H1485" t="s">
        <v>1711</v>
      </c>
      <c r="I1485">
        <v>-29.253499999999999</v>
      </c>
      <c r="J1485">
        <v>115.123</v>
      </c>
      <c r="K1485" t="str">
        <f>HYPERLINK("http://geossdi.dmp.wa.gov.au/NVCLDataServices/mosaic.html?datasetid=ac30cfe3-73ef-4834-9dc6-f4a18f3c03e","Strawberry Hill 1_cuttings_Core Image")</f>
        <v>Strawberry Hill 1_cuttings_Core Image</v>
      </c>
    </row>
    <row r="1486" spans="1:11" x14ac:dyDescent="0.25">
      <c r="A1486" t="str">
        <f>HYPERLINK("http://www.corstruth.com.au/WA/KBD089_cs.png","KBD089_A4")</f>
        <v>KBD089_A4</v>
      </c>
      <c r="B1486" t="str">
        <f>HYPERLINK("http://www.corstruth.com.au/WA/PNG2/KBD089_cs.png","KBD089_0.25m Bins")</f>
        <v>KBD089_0.25m Bins</v>
      </c>
      <c r="C1486" t="str">
        <f>HYPERLINK("http://www.corstruth.com.au/WA/CSV/KBD089.csv","KBD089_CSV File 1m Bins")</f>
        <v>KBD089_CSV File 1m Bins</v>
      </c>
      <c r="D1486" t="s">
        <v>1970</v>
      </c>
      <c r="E1486" t="s">
        <v>1</v>
      </c>
      <c r="G1486" t="s">
        <v>1971</v>
      </c>
      <c r="H1486" t="s">
        <v>1815</v>
      </c>
      <c r="I1486">
        <v>-23.759799999999998</v>
      </c>
      <c r="J1486">
        <v>120.08</v>
      </c>
      <c r="K1486" t="str">
        <f>HYPERLINK("http://geossdi.dmp.wa.gov.au/NVCLDataServices/mosaic.html?datasetid=18f0e7f2-51f0-4297-aec0-472e46640fd","KBD089_Core Image")</f>
        <v>KBD089_Core Image</v>
      </c>
    </row>
    <row r="1487" spans="1:11" x14ac:dyDescent="0.25">
      <c r="A1487" t="str">
        <f>HYPERLINK("http://www.corstruth.com.au/WA/Waitsia_2_cuttings_cs.png","Waitsia 2_cuttings_A4")</f>
        <v>Waitsia 2_cuttings_A4</v>
      </c>
      <c r="B1487" t="str">
        <f>HYPERLINK("http://www.corstruth.com.au/WA/PNG2/Waitsia_2_cuttings_cs.png","Waitsia 2_cuttings_0.25m Bins")</f>
        <v>Waitsia 2_cuttings_0.25m Bins</v>
      </c>
      <c r="C1487" t="str">
        <f>HYPERLINK("http://www.corstruth.com.au/WA/CSV/Waitsia_2_cuttings.csv","Waitsia 2_cuttings_CSV File 1m Bins")</f>
        <v>Waitsia 2_cuttings_CSV File 1m Bins</v>
      </c>
      <c r="D1487" t="s">
        <v>1712</v>
      </c>
      <c r="E1487" t="s">
        <v>1</v>
      </c>
      <c r="H1487" t="s">
        <v>1713</v>
      </c>
      <c r="I1487">
        <v>-29.302</v>
      </c>
      <c r="J1487">
        <v>115.09399999999999</v>
      </c>
      <c r="K1487" t="str">
        <f>HYPERLINK("http://geossdi.dmp.wa.gov.au/NVCLDataServices/mosaic.html?datasetid=e84ea93a-7ef0-4529-a941-aeb15f60b87","Waitsia 2_cuttings_Core Image")</f>
        <v>Waitsia 2_cuttings_Core Image</v>
      </c>
    </row>
    <row r="1488" spans="1:11" x14ac:dyDescent="0.25">
      <c r="A1488" t="str">
        <f>HYPERLINK("http://www.corstruth.com.au/WA/Waitsia_3_cuttings_cs.png","Waitsia 3_cuttings_A4")</f>
        <v>Waitsia 3_cuttings_A4</v>
      </c>
      <c r="B1488" t="str">
        <f>HYPERLINK("http://www.corstruth.com.au/WA/PNG2/Waitsia_3_cuttings_cs.png","Waitsia 3_cuttings_0.25m Bins")</f>
        <v>Waitsia 3_cuttings_0.25m Bins</v>
      </c>
      <c r="C1488" t="str">
        <f>HYPERLINK("http://www.corstruth.com.au/WA/CSV/Waitsia_3_cuttings.csv","Waitsia 3_cuttings_CSV File 1m Bins")</f>
        <v>Waitsia 3_cuttings_CSV File 1m Bins</v>
      </c>
      <c r="D1488" t="s">
        <v>1714</v>
      </c>
      <c r="E1488" t="s">
        <v>1</v>
      </c>
      <c r="H1488" t="s">
        <v>1713</v>
      </c>
      <c r="I1488">
        <v>-29.350899999999999</v>
      </c>
      <c r="J1488">
        <v>115.10299999999999</v>
      </c>
      <c r="K1488" t="str">
        <f>HYPERLINK("http://geossdi.dmp.wa.gov.au/NVCLDataServices/mosaic.html?datasetid=e35426f9-b45e-4cc1-aad2-254f46a83c8","Waitsia 3_cuttings_Core Image")</f>
        <v>Waitsia 3_cuttings_Core Image</v>
      </c>
    </row>
    <row r="1489" spans="1:11" x14ac:dyDescent="0.25">
      <c r="A1489" t="str">
        <f>HYPERLINK("http://www.corstruth.com.au/WA/Waitsia_3_cuttings2_cs.png","Waitsia 3_cuttings2_A4")</f>
        <v>Waitsia 3_cuttings2_A4</v>
      </c>
      <c r="B1489" t="str">
        <f>HYPERLINK("http://www.corstruth.com.au/WA/PNG2/Waitsia_3_cuttings2_cs.png","Waitsia 3_cuttings2_0.25m Bins")</f>
        <v>Waitsia 3_cuttings2_0.25m Bins</v>
      </c>
      <c r="C1489" t="str">
        <f>HYPERLINK("http://www.corstruth.com.au/WA/CSV/Waitsia_3_cuttings2.csv","Waitsia 3_cuttings2_CSV File 1m Bins")</f>
        <v>Waitsia 3_cuttings2_CSV File 1m Bins</v>
      </c>
      <c r="D1489" t="s">
        <v>1714</v>
      </c>
      <c r="E1489" t="s">
        <v>1</v>
      </c>
      <c r="H1489" t="s">
        <v>1713</v>
      </c>
      <c r="I1489">
        <v>-29.350899999999999</v>
      </c>
      <c r="J1489">
        <v>115.10299999999999</v>
      </c>
      <c r="K1489" t="str">
        <f>HYPERLINK("http://geossdi.dmp.wa.gov.au/NVCLDataServices/mosaic.html?datasetid=1005dfb3-3018-497e-91c5-56d7ff9fca7","Waitsia 3_cuttings2_Core Image")</f>
        <v>Waitsia 3_cuttings2_Core Image</v>
      </c>
    </row>
    <row r="1490" spans="1:11" x14ac:dyDescent="0.25">
      <c r="A1490" t="str">
        <f>HYPERLINK("http://www.corstruth.com.au/WA/Waitsia_4_cuttings_cs.png","Waitsia 4_cuttings_A4")</f>
        <v>Waitsia 4_cuttings_A4</v>
      </c>
      <c r="B1490" t="str">
        <f>HYPERLINK("http://www.corstruth.com.au/WA/PNG2/Waitsia_4_cuttings_cs.png","Waitsia 4_cuttings_0.25m Bins")</f>
        <v>Waitsia 4_cuttings_0.25m Bins</v>
      </c>
      <c r="C1490" t="str">
        <f>HYPERLINK("http://www.corstruth.com.au/WA/CSV/Waitsia_4_cuttings.csv","Waitsia 4_cuttings_CSV File 1m Bins")</f>
        <v>Waitsia 4_cuttings_CSV File 1m Bins</v>
      </c>
      <c r="D1490" t="s">
        <v>1972</v>
      </c>
      <c r="E1490" t="s">
        <v>1</v>
      </c>
      <c r="H1490" t="s">
        <v>1713</v>
      </c>
      <c r="I1490">
        <v>-29.321400000000001</v>
      </c>
      <c r="J1490">
        <v>115.108</v>
      </c>
      <c r="K1490" t="str">
        <f>HYPERLINK("http://geossdi.dmp.wa.gov.au/NVCLDataServices/mosaic.html?datasetid=f322bf06-be5c-4d53-96a3-7d61ced8575","Waitsia 4_cuttings_Core Image")</f>
        <v>Waitsia 4_cuttings_Core Image</v>
      </c>
    </row>
    <row r="1491" spans="1:11" x14ac:dyDescent="0.25">
      <c r="A1491" t="str">
        <f>HYPERLINK("http://www.corstruth.com.au/WA/Waukarlycarly_1_cs.png","Waukarlycarly 1_A4")</f>
        <v>Waukarlycarly 1_A4</v>
      </c>
      <c r="B1491" t="str">
        <f>HYPERLINK("http://www.corstruth.com.au/WA/PNG2/Waukarlycarly_1_cs.png","Waukarlycarly 1_0.25m Bins")</f>
        <v>Waukarlycarly 1_0.25m Bins</v>
      </c>
      <c r="C1491" t="str">
        <f>HYPERLINK("http://www.corstruth.com.au/WA/CSV/Waukarlycarly_1.csv","Waukarlycarly 1_CSV File 1m Bins")</f>
        <v>Waukarlycarly 1_CSV File 1m Bins</v>
      </c>
      <c r="D1491" t="s">
        <v>1973</v>
      </c>
      <c r="E1491" t="s">
        <v>1</v>
      </c>
      <c r="H1491" t="s">
        <v>1974</v>
      </c>
      <c r="I1491">
        <v>-21.478200000000001</v>
      </c>
      <c r="J1491">
        <v>121.782</v>
      </c>
    </row>
    <row r="1492" spans="1:11" x14ac:dyDescent="0.25">
      <c r="A1492" t="str">
        <f>HYPERLINK("http://www.corstruth.com.au/WA/Waukarlycarly_1_cuttings_cs.png","Waukarlycarly 1_cuttings_A4")</f>
        <v>Waukarlycarly 1_cuttings_A4</v>
      </c>
      <c r="B1492" t="str">
        <f>HYPERLINK("http://www.corstruth.com.au/WA/PNG2/Waukarlycarly_1_cuttings_cs.png","Waukarlycarly 1_cuttings_0.25m Bins")</f>
        <v>Waukarlycarly 1_cuttings_0.25m Bins</v>
      </c>
      <c r="C1492" t="str">
        <f>HYPERLINK("http://www.corstruth.com.au/WA/CSV/Waukarlycarly_1_cuttings.csv","Waukarlycarly 1_cuttings_CSV File 1m Bins")</f>
        <v>Waukarlycarly 1_cuttings_CSV File 1m Bins</v>
      </c>
      <c r="D1492" t="s">
        <v>1973</v>
      </c>
      <c r="E1492" t="s">
        <v>1</v>
      </c>
      <c r="H1492" t="s">
        <v>1974</v>
      </c>
      <c r="I1492">
        <v>-21.478200000000001</v>
      </c>
      <c r="J1492">
        <v>121.782</v>
      </c>
    </row>
    <row r="1493" spans="1:11" x14ac:dyDescent="0.25">
      <c r="A1493" t="str">
        <f>HYPERLINK("http://www.corstruth.com.au/WA/Wayvanerry_1_cuttings_cs.png","Wayvanerry 1_cuttings_A4")</f>
        <v>Wayvanerry 1_cuttings_A4</v>
      </c>
      <c r="B1493" t="str">
        <f>HYPERLINK("http://www.corstruth.com.au/WA/PNG2/Wayvanerry_1_cuttings_cs.png","Wayvanerry 1_cuttings_0.25m Bins")</f>
        <v>Wayvanerry 1_cuttings_0.25m Bins</v>
      </c>
      <c r="C1493" t="str">
        <f>HYPERLINK("http://www.corstruth.com.au/WA/CSV/Wayvanerry_1_cuttings.csv","Wayvanerry 1_cuttings_CSV File 1m Bins")</f>
        <v>Wayvanerry 1_cuttings_CSV File 1m Bins</v>
      </c>
      <c r="D1493" t="s">
        <v>1975</v>
      </c>
      <c r="E1493" t="s">
        <v>1</v>
      </c>
      <c r="H1493" t="s">
        <v>1976</v>
      </c>
      <c r="I1493">
        <v>-29.146000000000001</v>
      </c>
      <c r="J1493">
        <v>115.297</v>
      </c>
      <c r="K1493" t="str">
        <f>HYPERLINK("http://geossdi.dmp.wa.gov.au/NVCLDataServices/mosaic.html?datasetid=09763a4a-34fb-4ff4-bddd-004e31af442","Wayvanerry 1_cuttings_Core Image")</f>
        <v>Wayvanerry 1_cuttings_Core Image</v>
      </c>
    </row>
    <row r="1494" spans="1:11" x14ac:dyDescent="0.25">
      <c r="A1494" t="str">
        <f>HYPERLINK("http://www.corstruth.com.au/WA/West_Erregulla_1_cuttings_cs.png","West Erregulla 1_cuttings_A4")</f>
        <v>West Erregulla 1_cuttings_A4</v>
      </c>
      <c r="B1494" t="str">
        <f>HYPERLINK("http://www.corstruth.com.au/WA/PNG2/West_Erregulla_1_cuttings_cs.png","West Erregulla 1_cuttings_0.25m Bins")</f>
        <v>West Erregulla 1_cuttings_0.25m Bins</v>
      </c>
      <c r="C1494" t="str">
        <f>HYPERLINK("http://www.corstruth.com.au/WA/CSV/West_Erregulla_1_cuttings.csv","West Erregulla 1_cuttings_CSV File 1m Bins")</f>
        <v>West Erregulla 1_cuttings_CSV File 1m Bins</v>
      </c>
      <c r="D1494" t="s">
        <v>1717</v>
      </c>
      <c r="E1494" t="s">
        <v>1</v>
      </c>
      <c r="H1494" t="s">
        <v>1718</v>
      </c>
      <c r="I1494">
        <v>-29.425799999999999</v>
      </c>
      <c r="J1494">
        <v>115.31</v>
      </c>
      <c r="K1494" t="str">
        <f>HYPERLINK("http://geossdi.dmp.wa.gov.au/NVCLDataServices/mosaic.html?datasetid=141fef87-7a1f-4384-bcdf-db0cb0579b8","West Erregulla 1_cuttings_Core Image")</f>
        <v>West Erregulla 1_cuttings_Core Image</v>
      </c>
    </row>
    <row r="1495" spans="1:11" x14ac:dyDescent="0.25">
      <c r="A1495" t="str">
        <f>HYPERLINK("http://www.corstruth.com.au/WA/TSD0007_cs.png","TSD0007_A4")</f>
        <v>TSD0007_A4</v>
      </c>
      <c r="B1495" t="str">
        <f>HYPERLINK("http://www.corstruth.com.au/WA/PNG2/TSD0007_cs.png","TSD0007_0.25m Bins")</f>
        <v>TSD0007_0.25m Bins</v>
      </c>
      <c r="C1495" t="str">
        <f>HYPERLINK("http://www.corstruth.com.au/WA/CSV/TSD0007.csv","TSD0007_CSV File 1m Bins")</f>
        <v>TSD0007_CSV File 1m Bins</v>
      </c>
      <c r="D1495" t="s">
        <v>1977</v>
      </c>
      <c r="E1495" t="s">
        <v>1</v>
      </c>
      <c r="G1495" t="s">
        <v>1978</v>
      </c>
      <c r="H1495" t="s">
        <v>1979</v>
      </c>
      <c r="I1495">
        <v>-19.702300000000001</v>
      </c>
      <c r="J1495">
        <v>128.29300000000001</v>
      </c>
    </row>
    <row r="1496" spans="1:11" x14ac:dyDescent="0.25">
      <c r="A1496" t="str">
        <f>HYPERLINK("http://www.corstruth.com.au/WA/CYDD0178_cs.png","CYDD0178_A4")</f>
        <v>CYDD0178_A4</v>
      </c>
      <c r="B1496" t="str">
        <f>HYPERLINK("http://www.corstruth.com.au/WA/PNG2/CYDD0178_cs.png","CYDD0178_0.25m Bins")</f>
        <v>CYDD0178_0.25m Bins</v>
      </c>
      <c r="C1496" t="str">
        <f>HYPERLINK("http://www.corstruth.com.au/WA/CSV/CYDD0178.csv","CYDD0178_CSV File 1m Bins")</f>
        <v>CYDD0178_CSV File 1m Bins</v>
      </c>
      <c r="D1496" t="s">
        <v>1980</v>
      </c>
      <c r="E1496" t="s">
        <v>1</v>
      </c>
      <c r="G1496" t="s">
        <v>1978</v>
      </c>
      <c r="H1496" t="s">
        <v>1981</v>
      </c>
      <c r="I1496">
        <v>-19.8992</v>
      </c>
      <c r="J1496">
        <v>128.82900000000001</v>
      </c>
      <c r="K1496" t="str">
        <f>HYPERLINK("http://geossdi.dmp.wa.gov.au/NVCLDataServices/mosaic.html?datasetid=277f8bc6-3b3a-47cf-9fc2-78a4026bd60","CYDD0178_Core Image")</f>
        <v>CYDD0178_Core Image</v>
      </c>
    </row>
    <row r="1497" spans="1:11" x14ac:dyDescent="0.25">
      <c r="A1497" t="str">
        <f>HYPERLINK("http://www.corstruth.com.au/WA/CYDD0220_cs.png","CYDD0220_A4")</f>
        <v>CYDD0220_A4</v>
      </c>
      <c r="B1497" t="str">
        <f>HYPERLINK("http://www.corstruth.com.au/WA/PNG2/CYDD0220_cs.png","CYDD0220_0.25m Bins")</f>
        <v>CYDD0220_0.25m Bins</v>
      </c>
      <c r="C1497" t="str">
        <f>HYPERLINK("http://www.corstruth.com.au/WA/CSV/CYDD0220.csv","CYDD0220_CSV File 1m Bins")</f>
        <v>CYDD0220_CSV File 1m Bins</v>
      </c>
      <c r="D1497" t="s">
        <v>1982</v>
      </c>
      <c r="E1497" t="s">
        <v>1</v>
      </c>
      <c r="G1497" t="s">
        <v>1978</v>
      </c>
      <c r="H1497" t="s">
        <v>1978</v>
      </c>
      <c r="I1497">
        <v>-19.898800000000001</v>
      </c>
      <c r="J1497">
        <v>128.83600000000001</v>
      </c>
      <c r="K1497" t="str">
        <f>HYPERLINK("http://geossdi.dmp.wa.gov.au/NVCLDataServices/mosaic.html?datasetid=05644d5a-a086-4452-890e-842f46a8980","CYDD0220_Core Image")</f>
        <v>CYDD0220_Core Image</v>
      </c>
    </row>
    <row r="1498" spans="1:11" x14ac:dyDescent="0.25">
      <c r="A1498" t="str">
        <f>HYPERLINK("http://www.corstruth.com.au/WA/Wicherina_1_cuttings_cs.png","Wicherina 1_cuttings_A4")</f>
        <v>Wicherina 1_cuttings_A4</v>
      </c>
      <c r="B1498" t="str">
        <f>HYPERLINK("http://www.corstruth.com.au/WA/PNG2/Wicherina_1_cuttings_cs.png","Wicherina 1_cuttings_0.25m Bins")</f>
        <v>Wicherina 1_cuttings_0.25m Bins</v>
      </c>
      <c r="C1498" t="str">
        <f>HYPERLINK("http://www.corstruth.com.au/WA/CSV/Wicherina_1_cuttings.csv","Wicherina 1_cuttings_CSV File 1m Bins")</f>
        <v>Wicherina 1_cuttings_CSV File 1m Bins</v>
      </c>
      <c r="D1498" t="s">
        <v>1721</v>
      </c>
      <c r="E1498" t="s">
        <v>1</v>
      </c>
      <c r="H1498" t="s">
        <v>1722</v>
      </c>
      <c r="I1498">
        <v>-28.831299999999999</v>
      </c>
      <c r="J1498">
        <v>115.242</v>
      </c>
      <c r="K1498" t="str">
        <f>HYPERLINK("http://geossdi.dmp.wa.gov.au/NVCLDataServices/mosaic.html?datasetid=02544bab-bcb5-444d-b438-bc08b86ff78","Wicherina 1_cuttings_Core Image")</f>
        <v>Wicherina 1_cuttings_Core Image</v>
      </c>
    </row>
    <row r="1499" spans="1:11" x14ac:dyDescent="0.25">
      <c r="A1499" t="str">
        <f>HYPERLINK("http://www.corstruth.com.au/WA/Xanadu_1_cuttings_cs.png","Xanadu 1_cuttings_A4")</f>
        <v>Xanadu 1_cuttings_A4</v>
      </c>
      <c r="B1499" t="str">
        <f>HYPERLINK("http://www.corstruth.com.au/WA/PNG2/Xanadu_1_cuttings_cs.png","Xanadu 1_cuttings_0.25m Bins")</f>
        <v>Xanadu 1_cuttings_0.25m Bins</v>
      </c>
      <c r="C1499" t="str">
        <f>HYPERLINK("http://www.corstruth.com.au/WA/CSV/Xanadu_1_cuttings.csv","Xanadu 1_cuttings_CSV File 1m Bins")</f>
        <v>Xanadu 1_cuttings_CSV File 1m Bins</v>
      </c>
      <c r="D1499" t="s">
        <v>1983</v>
      </c>
      <c r="E1499" t="s">
        <v>1</v>
      </c>
      <c r="H1499" t="s">
        <v>1984</v>
      </c>
      <c r="I1499">
        <v>-29.5581</v>
      </c>
      <c r="J1499">
        <v>114.97799999999999</v>
      </c>
      <c r="K1499" t="str">
        <f>HYPERLINK("http://geossdi.dmp.wa.gov.au/NVCLDataServices/mosaic.html?datasetid=71b48dd2-fce0-4f9e-ab8a-a5ee3ac965a","Xanadu 1_cuttings_Core Image")</f>
        <v>Xanadu 1_cuttings_Core Image</v>
      </c>
    </row>
    <row r="1500" spans="1:11" x14ac:dyDescent="0.25">
      <c r="A1500" t="str">
        <f>HYPERLINK("http://www.corstruth.com.au/WA/Xyris_South_1_cuttings_cs.png","Xyris South 1_cuttings_A4")</f>
        <v>Xyris South 1_cuttings_A4</v>
      </c>
      <c r="B1500" t="str">
        <f>HYPERLINK("http://www.corstruth.com.au/WA/PNG2/Xyris_South_1_cuttings_cs.png","Xyris South 1_cuttings_0.25m Bins")</f>
        <v>Xyris South 1_cuttings_0.25m Bins</v>
      </c>
      <c r="C1500" t="str">
        <f>HYPERLINK("http://www.corstruth.com.au/WA/CSV/Xyris_South_1_cuttings.csv","Xyris South 1_cuttings_CSV File 1m Bins")</f>
        <v>Xyris South 1_cuttings_CSV File 1m Bins</v>
      </c>
      <c r="D1500" t="s">
        <v>1985</v>
      </c>
      <c r="E1500" t="s">
        <v>1</v>
      </c>
      <c r="H1500" t="s">
        <v>1986</v>
      </c>
      <c r="I1500">
        <v>-29.305599999999998</v>
      </c>
      <c r="J1500">
        <v>115.09099999999999</v>
      </c>
      <c r="K1500" t="str">
        <f>HYPERLINK("http://geossdi.dmp.wa.gov.au/NVCLDataServices/mosaic.html?datasetid=2ea4db30-b9a7-4a0a-93da-f8d1276b481","Xyris South 1_cuttings_Core Image")</f>
        <v>Xyris South 1_cuttings_Core Image</v>
      </c>
    </row>
    <row r="1501" spans="1:11" x14ac:dyDescent="0.25">
      <c r="A1501" t="str">
        <f>HYPERLINK("http://www.corstruth.com.au/WA/Yardarino_1_cuttings_cs.png","Yardarino 1_cuttings_A4")</f>
        <v>Yardarino 1_cuttings_A4</v>
      </c>
      <c r="B1501" t="str">
        <f>HYPERLINK("http://www.corstruth.com.au/WA/PNG2/Yardarino_1_cuttings_cs.png","Yardarino 1_cuttings_0.25m Bins")</f>
        <v>Yardarino 1_cuttings_0.25m Bins</v>
      </c>
      <c r="C1501" t="str">
        <f>HYPERLINK("http://www.corstruth.com.au/WA/CSV/Yardarino_1_cuttings.csv","Yardarino 1_cuttings_CSV File 1m Bins")</f>
        <v>Yardarino 1_cuttings_CSV File 1m Bins</v>
      </c>
      <c r="D1501" t="s">
        <v>1774</v>
      </c>
      <c r="E1501" t="s">
        <v>1</v>
      </c>
      <c r="H1501" t="s">
        <v>1775</v>
      </c>
      <c r="I1501">
        <v>-29.220800000000001</v>
      </c>
      <c r="J1501">
        <v>115.056</v>
      </c>
      <c r="K1501" t="str">
        <f>HYPERLINK("http://geossdi.dmp.wa.gov.au/NVCLDataServices/mosaic.html?datasetid=6e159015-f3af-4fe8-9248-333d6487695","Yardarino 1_cuttings_Core Image")</f>
        <v>Yardarino 1_cuttings_Core Image</v>
      </c>
    </row>
    <row r="1502" spans="1:11" x14ac:dyDescent="0.25">
      <c r="A1502" t="str">
        <f>HYPERLINK("http://www.corstruth.com.au/WA/LND001_cs.png","LND001_A4")</f>
        <v>LND001_A4</v>
      </c>
      <c r="B1502" t="str">
        <f>HYPERLINK("http://www.corstruth.com.au/WA/PNG2/LND001_cs.png","LND001_0.25m Bins")</f>
        <v>LND001_0.25m Bins</v>
      </c>
      <c r="C1502" t="str">
        <f>HYPERLINK("http://www.corstruth.com.au/WA/CSV/LND001.csv","LND001_CSV File 1m Bins")</f>
        <v>LND001_CSV File 1m Bins</v>
      </c>
      <c r="D1502" t="s">
        <v>1987</v>
      </c>
      <c r="E1502" t="s">
        <v>1</v>
      </c>
      <c r="G1502" t="s">
        <v>1988</v>
      </c>
      <c r="H1502" t="s">
        <v>1989</v>
      </c>
      <c r="I1502">
        <v>-25.357900000000001</v>
      </c>
      <c r="J1502">
        <v>119.86199999999999</v>
      </c>
      <c r="K1502" t="str">
        <f>HYPERLINK("http://geossdi.dmp.wa.gov.au/NVCLDataServices/mosaic.html?datasetid=896ff98d-8480-4c2f-a82f-9436923dbd9","LND001_Core Image")</f>
        <v>LND001_Core Image</v>
      </c>
    </row>
    <row r="1503" spans="1:11" x14ac:dyDescent="0.25">
      <c r="A1503" t="str">
        <f>HYPERLINK("http://www.corstruth.com.au/WA/LND002_cs.png","LND002_A4")</f>
        <v>LND002_A4</v>
      </c>
      <c r="B1503" t="str">
        <f>HYPERLINK("http://www.corstruth.com.au/WA/PNG2/LND002_cs.png","LND002_0.25m Bins")</f>
        <v>LND002_0.25m Bins</v>
      </c>
      <c r="C1503" t="str">
        <f>HYPERLINK("http://www.corstruth.com.au/WA/CSV/LND002.csv","LND002_CSV File 1m Bins")</f>
        <v>LND002_CSV File 1m Bins</v>
      </c>
      <c r="D1503" t="s">
        <v>1990</v>
      </c>
      <c r="E1503" t="s">
        <v>1</v>
      </c>
      <c r="G1503" t="s">
        <v>1988</v>
      </c>
      <c r="H1503" t="s">
        <v>1989</v>
      </c>
      <c r="I1503">
        <v>-25.358499999999999</v>
      </c>
      <c r="J1503">
        <v>119.863</v>
      </c>
      <c r="K1503" t="str">
        <f>HYPERLINK("http://geossdi.dmp.wa.gov.au/NVCLDataServices/mosaic.html?datasetid=401bcaa7-8217-4a9c-825d-af3ef8a54f0","LND002_Core Image")</f>
        <v>LND002_Core Image</v>
      </c>
    </row>
    <row r="1504" spans="1:11" x14ac:dyDescent="0.25">
      <c r="A1504" t="str">
        <f>HYPERLINK("http://www.corstruth.com.au/WA/THD001_cs.png","THD001_A4")</f>
        <v>THD001_A4</v>
      </c>
      <c r="B1504" t="str">
        <f>HYPERLINK("http://www.corstruth.com.au/WA/PNG2/THD001_cs.png","THD001_0.25m Bins")</f>
        <v>THD001_0.25m Bins</v>
      </c>
      <c r="C1504" t="str">
        <f>HYPERLINK("http://www.corstruth.com.au/WA/CSV/THD001.csv","THD001_CSV File 1m Bins")</f>
        <v>THD001_CSV File 1m Bins</v>
      </c>
      <c r="D1504" t="s">
        <v>1991</v>
      </c>
      <c r="E1504" t="s">
        <v>1</v>
      </c>
      <c r="G1504" t="s">
        <v>1988</v>
      </c>
      <c r="H1504" t="s">
        <v>1992</v>
      </c>
      <c r="I1504">
        <v>-25.403700000000001</v>
      </c>
      <c r="J1504">
        <v>119.727</v>
      </c>
      <c r="K1504" t="str">
        <f>HYPERLINK("http://geossdi.dmp.wa.gov.au/NVCLDataServices/mosaic.html?datasetid=6b96f838-9bbb-4702-9130-d28edcc1584","THD001_Core Image")</f>
        <v>THD001_Core Image</v>
      </c>
    </row>
    <row r="1505" spans="1:11" x14ac:dyDescent="0.25">
      <c r="A1505" t="str">
        <f>HYPERLINK("http://www.corstruth.com.au/WA/THD001_wedge_cs.png","THD001_wedge_A4")</f>
        <v>THD001_wedge_A4</v>
      </c>
      <c r="B1505" t="str">
        <f>HYPERLINK("http://www.corstruth.com.au/WA/PNG2/THD001_wedge_cs.png","THD001_wedge_0.25m Bins")</f>
        <v>THD001_wedge_0.25m Bins</v>
      </c>
      <c r="C1505" t="str">
        <f>HYPERLINK("http://www.corstruth.com.au/WA/CSV/THD001_wedge.csv","THD001_wedge_CSV File 1m Bins")</f>
        <v>THD001_wedge_CSV File 1m Bins</v>
      </c>
      <c r="D1505" t="s">
        <v>1993</v>
      </c>
      <c r="E1505" t="s">
        <v>1</v>
      </c>
      <c r="G1505" t="s">
        <v>1988</v>
      </c>
      <c r="H1505" t="s">
        <v>1992</v>
      </c>
      <c r="I1505">
        <v>-25.403700000000001</v>
      </c>
      <c r="J1505">
        <v>119.727</v>
      </c>
      <c r="K1505" t="str">
        <f>HYPERLINK("http://geossdi.dmp.wa.gov.au/NVCLDataServices/mosaic.html?datasetid=30019840-301d-4850-b6f9-9aced89c8fa","THD001_wedge_Core Image")</f>
        <v>THD001_wedge_Core Image</v>
      </c>
    </row>
    <row r="1506" spans="1:11" x14ac:dyDescent="0.25">
      <c r="A1506" t="str">
        <f>HYPERLINK("http://www.corstruth.com.au/WA/EMSD1847_cs.png","EMSD1847_A4")</f>
        <v>EMSD1847_A4</v>
      </c>
      <c r="B1506" t="str">
        <f>HYPERLINK("http://www.corstruth.com.au/WA/PNG2/EMSD1847_cs.png","EMSD1847_0.25m Bins")</f>
        <v>EMSD1847_0.25m Bins</v>
      </c>
      <c r="C1506" t="str">
        <f>HYPERLINK("http://www.corstruth.com.au/WA/CSV/EMSD1847.csv","EMSD1847_CSV File 1m Bins")</f>
        <v>EMSD1847_CSV File 1m Bins</v>
      </c>
      <c r="D1506" t="s">
        <v>1994</v>
      </c>
      <c r="E1506" t="s">
        <v>1</v>
      </c>
      <c r="G1506" t="s">
        <v>1995</v>
      </c>
      <c r="H1506" t="s">
        <v>624</v>
      </c>
      <c r="I1506">
        <v>-28.013300000000001</v>
      </c>
      <c r="J1506">
        <v>120.489</v>
      </c>
    </row>
    <row r="1507" spans="1:11" x14ac:dyDescent="0.25">
      <c r="A1507" t="str">
        <f>HYPERLINK("http://www.corstruth.com.au/WA/19EISD005_cs.png","19EISD005_A4")</f>
        <v>19EISD005_A4</v>
      </c>
      <c r="B1507" t="str">
        <f>HYPERLINK("http://www.corstruth.com.au/WA/PNG2/19EISD005_cs.png","19EISD005_0.25m Bins")</f>
        <v>19EISD005_0.25m Bins</v>
      </c>
      <c r="C1507" t="str">
        <f>HYPERLINK("http://www.corstruth.com.au/WA/CSV/19EISD005.csv","19EISD005_CSV File 1m Bins")</f>
        <v>19EISD005_CSV File 1m Bins</v>
      </c>
      <c r="D1507" t="s">
        <v>1996</v>
      </c>
      <c r="E1507" t="s">
        <v>1</v>
      </c>
      <c r="G1507" t="s">
        <v>1995</v>
      </c>
      <c r="H1507" t="s">
        <v>842</v>
      </c>
      <c r="I1507">
        <v>-30.988199999999999</v>
      </c>
      <c r="J1507">
        <v>121.929</v>
      </c>
      <c r="K1507" t="str">
        <f>HYPERLINK("http://geossdi.dmp.wa.gov.au/NVCLDataServices/mosaic.html?datasetid=ca9ffc6c-6225-49ce-8f95-40cb921b09c","19EISD005_Core Image")</f>
        <v>19EISD005_Core Image</v>
      </c>
    </row>
    <row r="1508" spans="1:11" x14ac:dyDescent="0.25">
      <c r="A1508" t="str">
        <f>HYPERLINK("http://www.corstruth.com.au/WA/ABND198_cs.png","ABND198_A4")</f>
        <v>ABND198_A4</v>
      </c>
      <c r="B1508" t="str">
        <f>HYPERLINK("http://www.corstruth.com.au/WA/PNG2/ABND198_cs.png","ABND198_0.25m Bins")</f>
        <v>ABND198_0.25m Bins</v>
      </c>
      <c r="C1508" t="str">
        <f>HYPERLINK("http://www.corstruth.com.au/WA/CSV/ABND198.csv","ABND198_CSV File 1m Bins")</f>
        <v>ABND198_CSV File 1m Bins</v>
      </c>
      <c r="D1508" t="s">
        <v>1997</v>
      </c>
      <c r="E1508" t="s">
        <v>1</v>
      </c>
      <c r="G1508" t="s">
        <v>110</v>
      </c>
      <c r="H1508" t="s">
        <v>1998</v>
      </c>
      <c r="I1508">
        <v>-26.583500000000001</v>
      </c>
      <c r="J1508">
        <v>118.39100000000001</v>
      </c>
      <c r="K1508" t="str">
        <f>HYPERLINK("http://geossdi.dmp.wa.gov.au/NVCLDataServices/mosaic.html?datasetid=5956c1fd-e31b-4632-a4d4-d607c7ca5ac","ABND198_Core Image")</f>
        <v>ABND198_Core Image</v>
      </c>
    </row>
    <row r="1509" spans="1:11" x14ac:dyDescent="0.25">
      <c r="A1509" t="str">
        <f>HYPERLINK("http://www.corstruth.com.au/WA/ABND199_cs.png","ABND199_A4")</f>
        <v>ABND199_A4</v>
      </c>
      <c r="B1509" t="str">
        <f>HYPERLINK("http://www.corstruth.com.au/WA/PNG2/ABND199_cs.png","ABND199_0.25m Bins")</f>
        <v>ABND199_0.25m Bins</v>
      </c>
      <c r="C1509" t="str">
        <f>HYPERLINK("http://www.corstruth.com.au/WA/CSV/ABND199.csv","ABND199_CSV File 1m Bins")</f>
        <v>ABND199_CSV File 1m Bins</v>
      </c>
      <c r="D1509" t="s">
        <v>1999</v>
      </c>
      <c r="E1509" t="s">
        <v>1</v>
      </c>
      <c r="G1509" t="s">
        <v>110</v>
      </c>
      <c r="H1509" t="s">
        <v>1998</v>
      </c>
      <c r="I1509">
        <v>-26.531600000000001</v>
      </c>
      <c r="J1509">
        <v>118.42400000000001</v>
      </c>
      <c r="K1509" t="str">
        <f>HYPERLINK("http://geossdi.dmp.wa.gov.au/NVCLDataServices/mosaic.html?datasetid=d36781d6-68f2-47ff-95e9-ca5ba000b12","ABND199_Core Image")</f>
        <v>ABND199_Core Image</v>
      </c>
    </row>
    <row r="1510" spans="1:11" x14ac:dyDescent="0.25">
      <c r="A1510" t="str">
        <f>HYPERLINK("http://www.corstruth.com.au/WA/WBUG0124_cs.png","WBUG0124_A4")</f>
        <v>WBUG0124_A4</v>
      </c>
      <c r="B1510" t="str">
        <f>HYPERLINK("http://www.corstruth.com.au/WA/PNG2/WBUG0124_cs.png","WBUG0124_0.25m Bins")</f>
        <v>WBUG0124_0.25m Bins</v>
      </c>
      <c r="C1510" t="str">
        <f>HYPERLINK("http://www.corstruth.com.au/WA/CSV/WBUG0124.csv","WBUG0124_CSV File 1m Bins")</f>
        <v>WBUG0124_CSV File 1m Bins</v>
      </c>
      <c r="D1510" t="s">
        <v>2000</v>
      </c>
      <c r="E1510" t="s">
        <v>1</v>
      </c>
      <c r="G1510" t="s">
        <v>110</v>
      </c>
      <c r="H1510" t="s">
        <v>2001</v>
      </c>
      <c r="I1510">
        <v>-26.2273</v>
      </c>
      <c r="J1510">
        <v>118.678</v>
      </c>
      <c r="K1510" t="str">
        <f>HYPERLINK("http://geossdi.dmp.wa.gov.au/NVCLDataServices/mosaic.html?datasetid=3cbdc8d3-095a-4cae-aece-75ba8115e1f","WBUG0124_Core Image")</f>
        <v>WBUG0124_Core Image</v>
      </c>
    </row>
    <row r="1511" spans="1:11" x14ac:dyDescent="0.25">
      <c r="A1511" t="str">
        <f>HYPERLINK("http://www.corstruth.com.au/WA/AHDD0010_cs.png","AHDD0010_A4")</f>
        <v>AHDD0010_A4</v>
      </c>
      <c r="B1511" t="str">
        <f>HYPERLINK("http://www.corstruth.com.au/WA/PNG2/AHDD0010_cs.png","AHDD0010_0.25m Bins")</f>
        <v>AHDD0010_0.25m Bins</v>
      </c>
      <c r="C1511" t="str">
        <f>HYPERLINK("http://www.corstruth.com.au/WA/CSV/AHDD0010.csv","AHDD0010_CSV File 1m Bins")</f>
        <v>AHDD0010_CSV File 1m Bins</v>
      </c>
      <c r="D1511" t="s">
        <v>2002</v>
      </c>
      <c r="E1511" t="s">
        <v>1</v>
      </c>
      <c r="G1511" t="s">
        <v>110</v>
      </c>
      <c r="H1511" t="s">
        <v>2003</v>
      </c>
      <c r="I1511">
        <v>-29.1524</v>
      </c>
      <c r="J1511">
        <v>115.67700000000001</v>
      </c>
      <c r="K1511" t="str">
        <f>HYPERLINK("http://geossdi.dmp.wa.gov.au/NVCLDataServices/mosaic.html?datasetid=0ef52a3a-a345-4d80-8609-9e65c583a7a","AHDD0010_Core Image")</f>
        <v>AHDD0010_Core Image</v>
      </c>
    </row>
    <row r="1512" spans="1:11" x14ac:dyDescent="0.25">
      <c r="A1512" t="str">
        <f>HYPERLINK("http://www.corstruth.com.au/WA/AHDD0011_cs.png","AHDD0011_A4")</f>
        <v>AHDD0011_A4</v>
      </c>
      <c r="B1512" t="str">
        <f>HYPERLINK("http://www.corstruth.com.au/WA/PNG2/AHDD0011_cs.png","AHDD0011_0.25m Bins")</f>
        <v>AHDD0011_0.25m Bins</v>
      </c>
      <c r="C1512" t="str">
        <f>HYPERLINK("http://www.corstruth.com.au/WA/CSV/AHDD0011.csv","AHDD0011_CSV File 1m Bins")</f>
        <v>AHDD0011_CSV File 1m Bins</v>
      </c>
      <c r="D1512" t="s">
        <v>2004</v>
      </c>
      <c r="E1512" t="s">
        <v>1</v>
      </c>
      <c r="G1512" t="s">
        <v>110</v>
      </c>
      <c r="H1512" t="s">
        <v>2003</v>
      </c>
      <c r="I1512">
        <v>-29.155799999999999</v>
      </c>
      <c r="J1512">
        <v>115.679</v>
      </c>
      <c r="K1512" t="str">
        <f>HYPERLINK("http://geossdi.dmp.wa.gov.au/NVCLDataServices/mosaic.html?datasetid=f565cd15-0d76-44fe-83d9-bf8a0296228","AHDD0011_Core Image")</f>
        <v>AHDD0011_Core Image</v>
      </c>
    </row>
    <row r="1513" spans="1:11" x14ac:dyDescent="0.25">
      <c r="A1513" t="str">
        <f>HYPERLINK("http://www.corstruth.com.au/WA/ATD101_cs.png","ATD101_A4")</f>
        <v>ATD101_A4</v>
      </c>
      <c r="B1513" t="str">
        <f>HYPERLINK("http://www.corstruth.com.au/WA/PNG2/ATD101_cs.png","ATD101_0.25m Bins")</f>
        <v>ATD101_0.25m Bins</v>
      </c>
      <c r="C1513" t="str">
        <f>HYPERLINK("http://www.corstruth.com.au/WA/CSV/ATD101.csv","ATD101_CSV File 1m Bins")</f>
        <v>ATD101_CSV File 1m Bins</v>
      </c>
      <c r="D1513" t="s">
        <v>2005</v>
      </c>
      <c r="E1513" t="s">
        <v>1</v>
      </c>
      <c r="G1513" t="s">
        <v>110</v>
      </c>
      <c r="H1513" t="s">
        <v>2006</v>
      </c>
      <c r="I1513">
        <v>-27.137499999999999</v>
      </c>
      <c r="J1513">
        <v>118.515</v>
      </c>
      <c r="K1513" t="str">
        <f>HYPERLINK("http://geossdi.dmp.wa.gov.au/NVCLDataServices/mosaic.html?datasetid=6f1b72e2-b87a-42d8-bafd-5ccf5e5e7c9","ATD101_Core Image")</f>
        <v>ATD101_Core Image</v>
      </c>
    </row>
    <row r="1514" spans="1:11" x14ac:dyDescent="0.25">
      <c r="A1514" t="str">
        <f>HYPERLINK("http://www.corstruth.com.au/WA/BCDD0003_cs.png","BCDD0003_A4")</f>
        <v>BCDD0003_A4</v>
      </c>
      <c r="B1514" t="str">
        <f>HYPERLINK("http://www.corstruth.com.au/WA/PNG2/BCDD0003_cs.png","BCDD0003_0.25m Bins")</f>
        <v>BCDD0003_0.25m Bins</v>
      </c>
      <c r="C1514" t="str">
        <f>HYPERLINK("http://www.corstruth.com.au/WA/CSV/BCDD0003.csv","BCDD0003_CSV File 1m Bins")</f>
        <v>BCDD0003_CSV File 1m Bins</v>
      </c>
      <c r="D1514" t="s">
        <v>2007</v>
      </c>
      <c r="E1514" t="s">
        <v>1</v>
      </c>
      <c r="G1514" t="s">
        <v>110</v>
      </c>
      <c r="H1514" t="s">
        <v>118</v>
      </c>
      <c r="I1514">
        <v>-31.040500000000002</v>
      </c>
      <c r="J1514">
        <v>117.91800000000001</v>
      </c>
      <c r="K1514" t="str">
        <f>HYPERLINK("http://geossdi.dmp.wa.gov.au/NVCLDataServices/mosaic.html?datasetid=23c6c946-ab67-4e51-b163-88d988ae479","BCDD0003_Core Image")</f>
        <v>BCDD0003_Core Image</v>
      </c>
    </row>
    <row r="1515" spans="1:11" x14ac:dyDescent="0.25">
      <c r="A1515" t="str">
        <f>HYPERLINK("http://www.corstruth.com.au/WA/KLDD010_cs.png","KLDD010_A4")</f>
        <v>KLDD010_A4</v>
      </c>
      <c r="B1515" t="str">
        <f>HYPERLINK("http://www.corstruth.com.au/WA/PNG2/KLDD010_cs.png","KLDD010_0.25m Bins")</f>
        <v>KLDD010_0.25m Bins</v>
      </c>
      <c r="C1515" t="str">
        <f>HYPERLINK("http://www.corstruth.com.au/WA/CSV/KLDD010.csv","KLDD010_CSV File 1m Bins")</f>
        <v>KLDD010_CSV File 1m Bins</v>
      </c>
      <c r="D1515" t="s">
        <v>2008</v>
      </c>
      <c r="E1515" t="s">
        <v>1</v>
      </c>
      <c r="G1515" t="s">
        <v>110</v>
      </c>
      <c r="H1515" t="s">
        <v>2009</v>
      </c>
      <c r="I1515">
        <v>-28.6798</v>
      </c>
      <c r="J1515">
        <v>117.754</v>
      </c>
      <c r="K1515" t="str">
        <f>HYPERLINK("http://geossdi.dmp.wa.gov.au/NVCLDataServices/mosaic.html?datasetid=c8c9f5d3-3ec2-4bb1-b057-916e25df82e","KLDD010_Core Image")</f>
        <v>KLDD010_Core Image</v>
      </c>
    </row>
    <row r="1516" spans="1:11" x14ac:dyDescent="0.25">
      <c r="A1516" t="str">
        <f>HYPERLINK("http://www.corstruth.com.au/WA/KLDD011_cs.png","KLDD011_A4")</f>
        <v>KLDD011_A4</v>
      </c>
      <c r="B1516" t="str">
        <f>HYPERLINK("http://www.corstruth.com.au/WA/PNG2/KLDD011_cs.png","KLDD011_0.25m Bins")</f>
        <v>KLDD011_0.25m Bins</v>
      </c>
      <c r="C1516" t="str">
        <f>HYPERLINK("http://www.corstruth.com.au/WA/CSV/KLDD011.csv","KLDD011_CSV File 1m Bins")</f>
        <v>KLDD011_CSV File 1m Bins</v>
      </c>
      <c r="D1516" t="s">
        <v>2010</v>
      </c>
      <c r="E1516" t="s">
        <v>1</v>
      </c>
      <c r="G1516" t="s">
        <v>110</v>
      </c>
      <c r="H1516" t="s">
        <v>2009</v>
      </c>
      <c r="I1516">
        <v>-28.679400000000001</v>
      </c>
      <c r="J1516">
        <v>117.756</v>
      </c>
      <c r="K1516" t="str">
        <f>HYPERLINK("http://geossdi.dmp.wa.gov.au/NVCLDataServices/mosaic.html?datasetid=b4f56de5-835f-4233-915a-2c9ab741c5f","KLDD011_Core Image")</f>
        <v>KLDD011_Core Image</v>
      </c>
    </row>
    <row r="1517" spans="1:11" x14ac:dyDescent="0.25">
      <c r="A1517" t="str">
        <f>HYPERLINK("http://www.corstruth.com.au/WA/GWRCD001_cs.png","GWRCD001_A4")</f>
        <v>GWRCD001_A4</v>
      </c>
      <c r="B1517" t="str">
        <f>HYPERLINK("http://www.corstruth.com.au/WA/PNG2/GWRCD001_cs.png","GWRCD001_0.25m Bins")</f>
        <v>GWRCD001_0.25m Bins</v>
      </c>
      <c r="C1517" t="str">
        <f>HYPERLINK("http://www.corstruth.com.au/WA/CSV/GWRCD001.csv","GWRCD001_CSV File 1m Bins")</f>
        <v>GWRCD001_CSV File 1m Bins</v>
      </c>
      <c r="D1517" t="s">
        <v>2011</v>
      </c>
      <c r="E1517" t="s">
        <v>1</v>
      </c>
      <c r="G1517" t="s">
        <v>110</v>
      </c>
      <c r="H1517" t="s">
        <v>2012</v>
      </c>
      <c r="I1517">
        <v>-28.695</v>
      </c>
      <c r="J1517">
        <v>116.408</v>
      </c>
      <c r="K1517" t="str">
        <f>HYPERLINK("http://geossdi.dmp.wa.gov.au/NVCLDataServices/mosaic.html?datasetid=fac1d0aa-4d1f-43fc-a3f1-84467072a5c","GWRCD001_Core Image")</f>
        <v>GWRCD001_Core Image</v>
      </c>
    </row>
    <row r="1518" spans="1:11" x14ac:dyDescent="0.25">
      <c r="A1518" t="str">
        <f>HYPERLINK("http://www.corstruth.com.au/WA/JLS14DD001_cs.png","JLS14DD001_A4")</f>
        <v>JLS14DD001_A4</v>
      </c>
      <c r="B1518" t="str">
        <f>HYPERLINK("http://www.corstruth.com.au/WA/PNG2/JLS14DD001_cs.png","JLS14DD001_0.25m Bins")</f>
        <v>JLS14DD001_0.25m Bins</v>
      </c>
      <c r="C1518" t="str">
        <f>HYPERLINK("http://www.corstruth.com.au/WA/CSV/JLS14DD001.csv","JLS14DD001_CSV File 1m Bins")</f>
        <v>JLS14DD001_CSV File 1m Bins</v>
      </c>
      <c r="D1518" t="s">
        <v>2013</v>
      </c>
      <c r="E1518" t="s">
        <v>1</v>
      </c>
      <c r="G1518" t="s">
        <v>110</v>
      </c>
      <c r="H1518" t="s">
        <v>2014</v>
      </c>
      <c r="I1518">
        <v>-26.331099999999999</v>
      </c>
      <c r="J1518">
        <v>117.74</v>
      </c>
      <c r="K1518" t="str">
        <f>HYPERLINK("http://geossdi.dmp.wa.gov.au/NVCLDataServices/mosaic.html?datasetid=04c8e766-6dfd-4adf-aca9-9627341343f","JLS14DD001_Core Image")</f>
        <v>JLS14DD001_Core Image</v>
      </c>
    </row>
    <row r="1519" spans="1:11" x14ac:dyDescent="0.25">
      <c r="A1519" t="str">
        <f>HYPERLINK("http://www.corstruth.com.au/WA/JLS14DD002_cs.png","JLS14DD002_A4")</f>
        <v>JLS14DD002_A4</v>
      </c>
      <c r="B1519" t="str">
        <f>HYPERLINK("http://www.corstruth.com.au/WA/PNG2/JLS14DD002_cs.png","JLS14DD002_0.25m Bins")</f>
        <v>JLS14DD002_0.25m Bins</v>
      </c>
      <c r="C1519" t="str">
        <f>HYPERLINK("http://www.corstruth.com.au/WA/CSV/JLS14DD002.csv","JLS14DD002_CSV File 1m Bins")</f>
        <v>JLS14DD002_CSV File 1m Bins</v>
      </c>
      <c r="D1519" t="s">
        <v>2015</v>
      </c>
      <c r="E1519" t="s">
        <v>1</v>
      </c>
      <c r="G1519" t="s">
        <v>110</v>
      </c>
      <c r="H1519" t="s">
        <v>2014</v>
      </c>
      <c r="I1519">
        <v>-26.328800000000001</v>
      </c>
      <c r="J1519">
        <v>117.73399999999999</v>
      </c>
      <c r="K1519" t="str">
        <f>HYPERLINK("http://geossdi.dmp.wa.gov.au/NVCLDataServices/mosaic.html?datasetid=c19dc5dd-e449-46a4-a57e-09f939e174d","JLS14DD002_Core Image")</f>
        <v>JLS14DD002_Core Image</v>
      </c>
    </row>
    <row r="1520" spans="1:11" x14ac:dyDescent="0.25">
      <c r="A1520" t="str">
        <f>HYPERLINK("http://www.corstruth.com.au/WA/JLS14DD003_cs.png","JLS14DD003_A4")</f>
        <v>JLS14DD003_A4</v>
      </c>
      <c r="B1520" t="str">
        <f>HYPERLINK("http://www.corstruth.com.au/WA/PNG2/JLS14DD003_cs.png","JLS14DD003_0.25m Bins")</f>
        <v>JLS14DD003_0.25m Bins</v>
      </c>
      <c r="C1520" t="str">
        <f>HYPERLINK("http://www.corstruth.com.au/WA/CSV/JLS14DD003.csv","JLS14DD003_CSV File 1m Bins")</f>
        <v>JLS14DD003_CSV File 1m Bins</v>
      </c>
      <c r="D1520" t="s">
        <v>2016</v>
      </c>
      <c r="E1520" t="s">
        <v>1</v>
      </c>
      <c r="G1520" t="s">
        <v>110</v>
      </c>
      <c r="H1520" t="s">
        <v>2014</v>
      </c>
      <c r="I1520">
        <v>-26.3294</v>
      </c>
      <c r="J1520">
        <v>117.733</v>
      </c>
      <c r="K1520" t="str">
        <f>HYPERLINK("http://geossdi.dmp.wa.gov.au/NVCLDataServices/mosaic.html?datasetid=cc6aef20-c3bf-4720-9dff-8a828a9b3db","JLS14DD003_Core Image")</f>
        <v>JLS14DD003_Core Image</v>
      </c>
    </row>
    <row r="1521" spans="1:11" x14ac:dyDescent="0.25">
      <c r="A1521" t="str">
        <f>HYPERLINK("http://www.corstruth.com.au/WA/DGDH004_cs.png","DGDH004_A4")</f>
        <v>DGDH004_A4</v>
      </c>
      <c r="B1521" t="str">
        <f>HYPERLINK("http://www.corstruth.com.au/WA/PNG2/DGDH004_cs.png","DGDH004_0.25m Bins")</f>
        <v>DGDH004_0.25m Bins</v>
      </c>
      <c r="C1521" t="str">
        <f>HYPERLINK("http://www.corstruth.com.au/WA/CSV/DGDH004.csv","DGDH004_CSV File 1m Bins")</f>
        <v>DGDH004_CSV File 1m Bins</v>
      </c>
      <c r="D1521" t="s">
        <v>2017</v>
      </c>
      <c r="E1521" t="s">
        <v>1</v>
      </c>
      <c r="G1521" t="s">
        <v>110</v>
      </c>
      <c r="H1521" t="s">
        <v>2018</v>
      </c>
      <c r="I1521">
        <v>-27.844899999999999</v>
      </c>
      <c r="J1521">
        <v>117.26300000000001</v>
      </c>
      <c r="K1521" t="str">
        <f>HYPERLINK("http://geossdi.dmp.wa.gov.au/NVCLDataServices/mosaic.html?datasetid=695eb83b-e113-4703-819c-7c962fd35da","DGDH004_Core Image")</f>
        <v>DGDH004_Core Image</v>
      </c>
    </row>
    <row r="1522" spans="1:11" x14ac:dyDescent="0.25">
      <c r="A1522" t="str">
        <f>HYPERLINK("http://www.corstruth.com.au/WA/DGDH009_cs.png","DGDH009_A4")</f>
        <v>DGDH009_A4</v>
      </c>
      <c r="B1522" t="str">
        <f>HYPERLINK("http://www.corstruth.com.au/WA/PNG2/DGDH009_cs.png","DGDH009_0.25m Bins")</f>
        <v>DGDH009_0.25m Bins</v>
      </c>
      <c r="C1522" t="str">
        <f>HYPERLINK("http://www.corstruth.com.au/WA/CSV/DGDH009.csv","DGDH009_CSV File 1m Bins")</f>
        <v>DGDH009_CSV File 1m Bins</v>
      </c>
      <c r="D1522" t="s">
        <v>2019</v>
      </c>
      <c r="E1522" t="s">
        <v>1</v>
      </c>
      <c r="G1522" t="s">
        <v>110</v>
      </c>
      <c r="H1522" t="s">
        <v>2018</v>
      </c>
      <c r="I1522">
        <v>-27.843299999999999</v>
      </c>
      <c r="J1522">
        <v>117.264</v>
      </c>
      <c r="K1522" t="str">
        <f>HYPERLINK("http://geossdi.dmp.wa.gov.au/NVCLDataServices/mosaic.html?datasetid=80b94ed8-38b7-47a7-b8cd-2c5dc53282c","DGDH009_Core Image")</f>
        <v>DGDH009_Core Image</v>
      </c>
    </row>
    <row r="1523" spans="1:11" x14ac:dyDescent="0.25">
      <c r="A1523" t="str">
        <f>HYPERLINK("http://www.corstruth.com.au/WA/BN011_cs.png","BN011_A4")</f>
        <v>BN011_A4</v>
      </c>
      <c r="B1523" t="str">
        <f>HYPERLINK("http://www.corstruth.com.au/WA/PNG2/BN011_cs.png","BN011_0.25m Bins")</f>
        <v>BN011_0.25m Bins</v>
      </c>
      <c r="C1523" t="str">
        <f>HYPERLINK("http://www.corstruth.com.au/WA/CSV/BN011.csv","BN011_CSV File 1m Bins")</f>
        <v>BN011_CSV File 1m Bins</v>
      </c>
      <c r="D1523" t="s">
        <v>2020</v>
      </c>
      <c r="E1523" t="s">
        <v>1</v>
      </c>
      <c r="G1523" t="s">
        <v>110</v>
      </c>
      <c r="H1523" t="s">
        <v>2021</v>
      </c>
      <c r="I1523">
        <v>-26.4877</v>
      </c>
      <c r="J1523">
        <v>118.785</v>
      </c>
      <c r="K1523" t="str">
        <f>HYPERLINK("http://geossdi.dmp.wa.gov.au/NVCLDataServices/mosaic.html?datasetid=ba1f7748-9bd1-45f7-9087-ff9c16eb2bc","BN011_Core Image")</f>
        <v>BN011_Core Image</v>
      </c>
    </row>
    <row r="1524" spans="1:11" x14ac:dyDescent="0.25">
      <c r="A1524" t="str">
        <f>HYPERLINK("http://www.corstruth.com.au/WA/BN012_cs.png","BN012_A4")</f>
        <v>BN012_A4</v>
      </c>
      <c r="B1524" t="str">
        <f>HYPERLINK("http://www.corstruth.com.au/WA/PNG2/BN012_cs.png","BN012_0.25m Bins")</f>
        <v>BN012_0.25m Bins</v>
      </c>
      <c r="C1524" t="str">
        <f>HYPERLINK("http://www.corstruth.com.au/WA/CSV/BN012.csv","BN012_CSV File 1m Bins")</f>
        <v>BN012_CSV File 1m Bins</v>
      </c>
      <c r="D1524" t="s">
        <v>2022</v>
      </c>
      <c r="E1524" t="s">
        <v>1</v>
      </c>
      <c r="G1524" t="s">
        <v>110</v>
      </c>
      <c r="H1524" t="s">
        <v>2021</v>
      </c>
      <c r="I1524">
        <v>-26.486999999999998</v>
      </c>
      <c r="J1524">
        <v>118.785</v>
      </c>
      <c r="K1524" t="str">
        <f>HYPERLINK("http://geossdi.dmp.wa.gov.au/NVCLDataServices/mosaic.html?datasetid=daf1b7d0-f153-4a80-8197-75d9e5d437f","BN012_Core Image")</f>
        <v>BN012_Core Image</v>
      </c>
    </row>
    <row r="1525" spans="1:11" x14ac:dyDescent="0.25">
      <c r="A1525" t="str">
        <f>HYPERLINK("http://www.corstruth.com.au/WA/FE001_cs.png","FE001_A4")</f>
        <v>FE001_A4</v>
      </c>
      <c r="B1525" t="str">
        <f>HYPERLINK("http://www.corstruth.com.au/WA/PNG2/FE001_cs.png","FE001_0.25m Bins")</f>
        <v>FE001_0.25m Bins</v>
      </c>
      <c r="C1525" t="str">
        <f>HYPERLINK("http://www.corstruth.com.au/WA/CSV/FE001.csv","FE001_CSV File 1m Bins")</f>
        <v>FE001_CSV File 1m Bins</v>
      </c>
      <c r="D1525" t="s">
        <v>2023</v>
      </c>
      <c r="E1525" t="s">
        <v>1</v>
      </c>
      <c r="G1525" t="s">
        <v>110</v>
      </c>
      <c r="H1525" t="s">
        <v>2024</v>
      </c>
      <c r="I1525">
        <v>-26.454999999999998</v>
      </c>
      <c r="J1525">
        <v>118.81</v>
      </c>
      <c r="K1525" t="str">
        <f>HYPERLINK("http://geossdi.dmp.wa.gov.au/NVCLDataServices/mosaic.html?datasetid=5dbe2d2c-db02-4fac-b4e1-1cccf2d16cb","FE001_Core Image")</f>
        <v>FE001_Core Image</v>
      </c>
    </row>
    <row r="1526" spans="1:11" x14ac:dyDescent="0.25">
      <c r="A1526" t="str">
        <f>HYPERLINK("http://www.corstruth.com.au/WA/FE003_cs.png","FE003_A4")</f>
        <v>FE003_A4</v>
      </c>
      <c r="B1526" t="str">
        <f>HYPERLINK("http://www.corstruth.com.au/WA/PNG2/FE003_cs.png","FE003_0.25m Bins")</f>
        <v>FE003_0.25m Bins</v>
      </c>
      <c r="C1526" t="str">
        <f>HYPERLINK("http://www.corstruth.com.au/WA/CSV/FE003.csv","FE003_CSV File 1m Bins")</f>
        <v>FE003_CSV File 1m Bins</v>
      </c>
      <c r="D1526" t="s">
        <v>2025</v>
      </c>
      <c r="E1526" t="s">
        <v>1</v>
      </c>
      <c r="G1526" t="s">
        <v>110</v>
      </c>
      <c r="H1526" t="s">
        <v>2024</v>
      </c>
      <c r="I1526">
        <v>-26.451899999999998</v>
      </c>
      <c r="J1526">
        <v>118.809</v>
      </c>
      <c r="K1526" t="str">
        <f>HYPERLINK("http://geossdi.dmp.wa.gov.au/NVCLDataServices/mosaic.html?datasetid=ebb8b508-0a2b-497e-ae27-948966f0269","FE003_Core Image")</f>
        <v>FE003_Core Image</v>
      </c>
    </row>
    <row r="1527" spans="1:11" x14ac:dyDescent="0.25">
      <c r="A1527" t="str">
        <f>HYPERLINK("http://www.corstruth.com.au/WA/CUDD001_cs.png","CUDD001_A4")</f>
        <v>CUDD001_A4</v>
      </c>
      <c r="B1527" t="str">
        <f>HYPERLINK("http://www.corstruth.com.au/WA/PNG2/CUDD001_cs.png","CUDD001_0.25m Bins")</f>
        <v>CUDD001_0.25m Bins</v>
      </c>
      <c r="C1527" t="str">
        <f>HYPERLINK("http://www.corstruth.com.au/WA/CSV/CUDD001.csv","CUDD001_CSV File 1m Bins")</f>
        <v>CUDD001_CSV File 1m Bins</v>
      </c>
      <c r="D1527" t="s">
        <v>2026</v>
      </c>
      <c r="E1527" t="s">
        <v>1</v>
      </c>
      <c r="G1527" t="s">
        <v>110</v>
      </c>
      <c r="H1527" t="s">
        <v>2027</v>
      </c>
      <c r="I1527">
        <v>-28.776299999999999</v>
      </c>
      <c r="J1527">
        <v>116.944</v>
      </c>
      <c r="K1527" t="str">
        <f>HYPERLINK("http://geossdi.dmp.wa.gov.au/NVCLDataServices/mosaic.html?datasetid=01b84c1c-d58f-410a-bd41-4eabfe28f25","CUDD001_Core Image")</f>
        <v>CUDD001_Core Image</v>
      </c>
    </row>
    <row r="1528" spans="1:11" x14ac:dyDescent="0.25">
      <c r="A1528" t="str">
        <f>HYPERLINK("http://www.corstruth.com.au/WA/GG274_cs.png","GG274_A4")</f>
        <v>GG274_A4</v>
      </c>
      <c r="B1528" t="str">
        <f>HYPERLINK("http://www.corstruth.com.au/WA/PNG2/GG274_cs.png","GG274_0.25m Bins")</f>
        <v>GG274_0.25m Bins</v>
      </c>
      <c r="C1528" t="str">
        <f>HYPERLINK("http://www.corstruth.com.au/WA/CSV/GG274.csv","GG274_CSV File 1m Bins")</f>
        <v>GG274_CSV File 1m Bins</v>
      </c>
      <c r="D1528" t="s">
        <v>2028</v>
      </c>
      <c r="E1528" t="s">
        <v>1</v>
      </c>
      <c r="G1528" t="s">
        <v>110</v>
      </c>
      <c r="H1528" t="s">
        <v>2027</v>
      </c>
      <c r="I1528">
        <v>-28.762899999999998</v>
      </c>
      <c r="J1528">
        <v>116.943</v>
      </c>
      <c r="K1528" t="str">
        <f>HYPERLINK("http://geossdi.dmp.wa.gov.au/NVCLDataServices/mosaic.html?datasetid=5f0f8e03-06db-4fbb-9b08-4bb0c643b4d","GG274_Core Image")</f>
        <v>GG274_Core Image</v>
      </c>
    </row>
    <row r="1529" spans="1:11" x14ac:dyDescent="0.25">
      <c r="A1529" t="str">
        <f>HYPERLINK("http://www.corstruth.com.au/WA/GG276D1_cs.png","GG276D1_A4")</f>
        <v>GG276D1_A4</v>
      </c>
      <c r="B1529" t="str">
        <f>HYPERLINK("http://www.corstruth.com.au/WA/PNG2/GG276D1_cs.png","GG276D1_0.25m Bins")</f>
        <v>GG276D1_0.25m Bins</v>
      </c>
      <c r="C1529" t="str">
        <f>HYPERLINK("http://www.corstruth.com.au/WA/CSV/GG276D1.csv","GG276D1_CSV File 1m Bins")</f>
        <v>GG276D1_CSV File 1m Bins</v>
      </c>
      <c r="D1529" t="s">
        <v>2029</v>
      </c>
      <c r="E1529" t="s">
        <v>1</v>
      </c>
      <c r="G1529" t="s">
        <v>110</v>
      </c>
      <c r="H1529" t="s">
        <v>2027</v>
      </c>
      <c r="I1529">
        <v>-28.760200000000001</v>
      </c>
      <c r="J1529">
        <v>116.94199999999999</v>
      </c>
      <c r="K1529" t="str">
        <f>HYPERLINK("http://geossdi.dmp.wa.gov.au/NVCLDataServices/mosaic.html?datasetid=e90be068-a263-4886-8365-be24db829c2","GG276D1_Core Image")</f>
        <v>GG276D1_Core Image</v>
      </c>
    </row>
    <row r="1530" spans="1:11" x14ac:dyDescent="0.25">
      <c r="A1530" t="str">
        <f>HYPERLINK("http://www.corstruth.com.au/WA/RHDD034_cs.png","RHDD034_A4")</f>
        <v>RHDD034_A4</v>
      </c>
      <c r="B1530" t="str">
        <f>HYPERLINK("http://www.corstruth.com.au/WA/PNG2/RHDD034_cs.png","RHDD034_0.25m Bins")</f>
        <v>RHDD034_0.25m Bins</v>
      </c>
      <c r="C1530" t="str">
        <f>HYPERLINK("http://www.corstruth.com.au/WA/CSV/RHDD034.csv","RHDD034_CSV File 1m Bins")</f>
        <v>RHDD034_CSV File 1m Bins</v>
      </c>
      <c r="D1530" t="s">
        <v>2030</v>
      </c>
      <c r="E1530" t="s">
        <v>1</v>
      </c>
      <c r="G1530" t="s">
        <v>110</v>
      </c>
      <c r="H1530" t="s">
        <v>2027</v>
      </c>
      <c r="I1530">
        <v>-28.756</v>
      </c>
      <c r="J1530">
        <v>116.94799999999999</v>
      </c>
      <c r="K1530" t="str">
        <f>HYPERLINK("http://geossdi.dmp.wa.gov.au/NVCLDataServices/mosaic.html?datasetid=22d7858d-74e9-4fd2-a3ea-da23678c8c5","RHDD034_Core Image")</f>
        <v>RHDD034_Core Image</v>
      </c>
    </row>
    <row r="1531" spans="1:11" x14ac:dyDescent="0.25">
      <c r="A1531" t="str">
        <f>HYPERLINK("http://www.corstruth.com.au/WA/SC098D1_cs.png","SC098D1_A4")</f>
        <v>SC098D1_A4</v>
      </c>
      <c r="B1531" t="str">
        <f>HYPERLINK("http://www.corstruth.com.au/WA/PNG2/SC098D1_cs.png","SC098D1_0.25m Bins")</f>
        <v>SC098D1_0.25m Bins</v>
      </c>
      <c r="C1531" t="str">
        <f>HYPERLINK("http://www.corstruth.com.au/WA/CSV/SC098D1.csv","SC098D1_CSV File 1m Bins")</f>
        <v>SC098D1_CSV File 1m Bins</v>
      </c>
      <c r="D1531" t="s">
        <v>2031</v>
      </c>
      <c r="E1531" t="s">
        <v>1</v>
      </c>
      <c r="G1531" t="s">
        <v>110</v>
      </c>
      <c r="H1531" t="s">
        <v>2027</v>
      </c>
      <c r="I1531">
        <v>-28.7471</v>
      </c>
      <c r="J1531">
        <v>116.93600000000001</v>
      </c>
      <c r="K1531" t="str">
        <f>HYPERLINK("http://geossdi.dmp.wa.gov.au/NVCLDataServices/mosaic.html?datasetid=0fba8cfa-de33-4c84-baab-14f7a484a88","SC098D1_Core Image")</f>
        <v>SC098D1_Core Image</v>
      </c>
    </row>
    <row r="1532" spans="1:11" x14ac:dyDescent="0.25">
      <c r="A1532" t="str">
        <f>HYPERLINK("http://www.corstruth.com.au/WA/SC107_cs.png","SC107_A4")</f>
        <v>SC107_A4</v>
      </c>
      <c r="B1532" t="str">
        <f>HYPERLINK("http://www.corstruth.com.au/WA/PNG2/SC107_cs.png","SC107_0.25m Bins")</f>
        <v>SC107_0.25m Bins</v>
      </c>
      <c r="C1532" t="str">
        <f>HYPERLINK("http://www.corstruth.com.au/WA/CSV/SC107.csv","SC107_CSV File 1m Bins")</f>
        <v>SC107_CSV File 1m Bins</v>
      </c>
      <c r="D1532" t="s">
        <v>2032</v>
      </c>
      <c r="E1532" t="s">
        <v>1</v>
      </c>
      <c r="G1532" t="s">
        <v>110</v>
      </c>
      <c r="H1532" t="s">
        <v>2027</v>
      </c>
      <c r="I1532">
        <v>-28.741900000000001</v>
      </c>
      <c r="J1532">
        <v>116.932</v>
      </c>
      <c r="K1532" t="str">
        <f>HYPERLINK("http://geossdi.dmp.wa.gov.au/NVCLDataServices/mosaic.html?datasetid=38ee1598-e6f1-4bac-8c3c-64174743fb5","SC107_Core Image")</f>
        <v>SC107_Core Image</v>
      </c>
    </row>
    <row r="1533" spans="1:11" x14ac:dyDescent="0.25">
      <c r="A1533" t="str">
        <f>HYPERLINK("http://www.corstruth.com.au/WA/GWXP0186_cs.png","GWXP0186_A4")</f>
        <v>GWXP0186_A4</v>
      </c>
      <c r="B1533" t="str">
        <f>HYPERLINK("http://www.corstruth.com.au/WA/PNG2/GWXP0186_cs.png","GWXP0186_0.25m Bins")</f>
        <v>GWXP0186_0.25m Bins</v>
      </c>
      <c r="C1533" t="str">
        <f>HYPERLINK("http://www.corstruth.com.au/WA/CSV/GWXP0186.csv","GWXP0186_CSV File 1m Bins")</f>
        <v>GWXP0186_CSV File 1m Bins</v>
      </c>
      <c r="D1533" t="s">
        <v>2033</v>
      </c>
      <c r="E1533" t="s">
        <v>1</v>
      </c>
      <c r="G1533" t="s">
        <v>110</v>
      </c>
      <c r="H1533" t="s">
        <v>2034</v>
      </c>
      <c r="I1533">
        <v>-26.385899999999999</v>
      </c>
      <c r="J1533">
        <v>120.596</v>
      </c>
      <c r="K1533" t="str">
        <f>HYPERLINK("http://geossdi.dmp.wa.gov.au/NVCLDataServices/mosaic.html?datasetid=bbf0b396-6f78-47ae-a9c0-f903311fe39","GWXP0186_Core Image")</f>
        <v>GWXP0186_Core Image</v>
      </c>
    </row>
    <row r="1534" spans="1:11" x14ac:dyDescent="0.25">
      <c r="A1534" t="str">
        <f>HYPERLINK("http://www.corstruth.com.au/WA/WSXP1735_cs.png","WSXP1735_A4")</f>
        <v>WSXP1735_A4</v>
      </c>
      <c r="B1534" t="str">
        <f>HYPERLINK("http://www.corstruth.com.au/WA/PNG2/WSXP1735_cs.png","WSXP1735_0.25m Bins")</f>
        <v>WSXP1735_0.25m Bins</v>
      </c>
      <c r="C1534" t="str">
        <f>HYPERLINK("http://www.corstruth.com.au/WA/CSV/WSXP1735.csv","WSXP1735_CSV File 1m Bins")</f>
        <v>WSXP1735_CSV File 1m Bins</v>
      </c>
      <c r="D1534" t="s">
        <v>2035</v>
      </c>
      <c r="E1534" t="s">
        <v>1</v>
      </c>
      <c r="G1534" t="s">
        <v>110</v>
      </c>
      <c r="H1534" t="s">
        <v>2034</v>
      </c>
      <c r="I1534">
        <v>-26.372399999999999</v>
      </c>
      <c r="J1534">
        <v>120.593</v>
      </c>
      <c r="K1534" t="str">
        <f>HYPERLINK("http://geossdi.dmp.wa.gov.au/NVCLDataServices/mosaic.html?datasetid=f3802150-5870-4d28-8f42-2d13c4942dd","WSXP1735_Core Image")</f>
        <v>WSXP1735_Core Image</v>
      </c>
    </row>
    <row r="1535" spans="1:11" x14ac:dyDescent="0.25">
      <c r="A1535" t="str">
        <f>HYPERLINK("http://www.corstruth.com.au/WA/WSXP1786_[Tray_1-134]_cs.png","WSXP1786 [Tray 1-134]_A4")</f>
        <v>WSXP1786 [Tray 1-134]_A4</v>
      </c>
      <c r="B1535" t="str">
        <f>HYPERLINK("http://www.corstruth.com.au/WA/PNG2/WSXP1786_[Tray_1-134]_cs.png","WSXP1786 [Tray 1-134]_0.25m Bins")</f>
        <v>WSXP1786 [Tray 1-134]_0.25m Bins</v>
      </c>
      <c r="C1535" t="str">
        <f>HYPERLINK("http://www.corstruth.com.au/WA/CSV/WSXP1786_[Tray_1-134].csv","WSXP1786 [Tray 1-134]_CSV File 1m Bins")</f>
        <v>WSXP1786 [Tray 1-134]_CSV File 1m Bins</v>
      </c>
      <c r="D1535" t="s">
        <v>2036</v>
      </c>
      <c r="E1535" t="s">
        <v>1</v>
      </c>
      <c r="G1535" t="s">
        <v>110</v>
      </c>
      <c r="H1535" t="s">
        <v>2034</v>
      </c>
      <c r="I1535">
        <v>-26.376100000000001</v>
      </c>
      <c r="J1535">
        <v>120.596</v>
      </c>
      <c r="K1535" t="str">
        <f>HYPERLINK("http://geossdi.dmp.wa.gov.au/NVCLDataServices/mosaic.html?datasetid=dcd48ea4-c391-4842-8270-2f65560146c","WSXP1786 [Tray 1-134]_Core Image")</f>
        <v>WSXP1786 [Tray 1-134]_Core Image</v>
      </c>
    </row>
    <row r="1536" spans="1:11" x14ac:dyDescent="0.25">
      <c r="A1536" t="str">
        <f>HYPERLINK("http://www.corstruth.com.au/WA/WSXP1786_[wedge_Tray_135-242]_cs.png","WSXP1786 [wedge Tray 135-242]_A4")</f>
        <v>WSXP1786 [wedge Tray 135-242]_A4</v>
      </c>
      <c r="B1536" t="str">
        <f>HYPERLINK("http://www.corstruth.com.au/WA/PNG2/WSXP1786_[wedge_Tray_135-242]_cs.png","WSXP1786 [wedge Tray 135-242]_0.25m Bins")</f>
        <v>WSXP1786 [wedge Tray 135-242]_0.25m Bins</v>
      </c>
      <c r="C1536" t="str">
        <f>HYPERLINK("http://www.corstruth.com.au/WA/CSV/WSXP1786_[wedge_Tray_135-242].csv","WSXP1786 [wedge Tray 135-242]_CSV File 1m Bins")</f>
        <v>WSXP1786 [wedge Tray 135-242]_CSV File 1m Bins</v>
      </c>
      <c r="D1536" t="s">
        <v>2036</v>
      </c>
      <c r="E1536" t="s">
        <v>1</v>
      </c>
      <c r="G1536" t="s">
        <v>110</v>
      </c>
      <c r="H1536" t="s">
        <v>2034</v>
      </c>
      <c r="I1536">
        <v>-26.376100000000001</v>
      </c>
      <c r="J1536">
        <v>120.596</v>
      </c>
    </row>
    <row r="1537" spans="1:11" x14ac:dyDescent="0.25">
      <c r="A1537" t="str">
        <f>HYPERLINK("http://www.corstruth.com.au/WA/BSDD018_cs.png","BSDD018_A4")</f>
        <v>BSDD018_A4</v>
      </c>
      <c r="B1537" t="str">
        <f>HYPERLINK("http://www.corstruth.com.au/WA/PNG2/BSDD018_cs.png","BSDD018_0.25m Bins")</f>
        <v>BSDD018_0.25m Bins</v>
      </c>
      <c r="C1537" t="str">
        <f>HYPERLINK("http://www.corstruth.com.au/WA/CSV/BSDD018.csv","BSDD018_CSV File 1m Bins")</f>
        <v>BSDD018_CSV File 1m Bins</v>
      </c>
      <c r="D1537" t="s">
        <v>2037</v>
      </c>
      <c r="E1537" t="s">
        <v>1</v>
      </c>
      <c r="G1537" t="s">
        <v>110</v>
      </c>
      <c r="H1537" t="s">
        <v>142</v>
      </c>
      <c r="I1537">
        <v>-33.544800000000002</v>
      </c>
      <c r="J1537">
        <v>117.91200000000001</v>
      </c>
      <c r="K1537" t="str">
        <f>HYPERLINK("http://geossdi.dmp.wa.gov.au/NVCLDataServices/mosaic.html?datasetid=c0d76f57-f542-44a3-86bf-94578239b84","BSDD018_Core Image")</f>
        <v>BSDD018_Core Image</v>
      </c>
    </row>
    <row r="1538" spans="1:11" x14ac:dyDescent="0.25">
      <c r="A1538" t="str">
        <f>HYPERLINK("http://www.corstruth.com.au/WA/MND001_cs.png","MND001_A4")</f>
        <v>MND001_A4</v>
      </c>
      <c r="B1538" t="str">
        <f>HYPERLINK("http://www.corstruth.com.au/WA/PNG2/MND001_cs.png","MND001_0.25m Bins")</f>
        <v>MND001_0.25m Bins</v>
      </c>
      <c r="C1538" t="str">
        <f>HYPERLINK("http://www.corstruth.com.au/WA/CSV/MND001.csv","MND001_CSV File 1m Bins")</f>
        <v>MND001_CSV File 1m Bins</v>
      </c>
      <c r="D1538" t="s">
        <v>2038</v>
      </c>
      <c r="E1538" t="s">
        <v>1</v>
      </c>
      <c r="G1538" t="s">
        <v>110</v>
      </c>
      <c r="H1538" t="s">
        <v>2039</v>
      </c>
      <c r="I1538">
        <v>-28.745200000000001</v>
      </c>
      <c r="J1538">
        <v>118.673</v>
      </c>
      <c r="K1538" t="str">
        <f>HYPERLINK("http://geossdi.dmp.wa.gov.au/NVCLDataServices/mosaic.html?datasetid=afc7671e-04c8-42bb-8a4c-1445bb9eba1","MND001_Core Image")</f>
        <v>MND001_Core Image</v>
      </c>
    </row>
    <row r="1539" spans="1:11" x14ac:dyDescent="0.25">
      <c r="A1539" t="str">
        <f>HYPERLINK("http://www.corstruth.com.au/WA/MND032_cs.png","MND032_A4")</f>
        <v>MND032_A4</v>
      </c>
      <c r="B1539" t="str">
        <f>HYPERLINK("http://www.corstruth.com.au/WA/PNG2/MND032_cs.png","MND032_0.25m Bins")</f>
        <v>MND032_0.25m Bins</v>
      </c>
      <c r="C1539" t="str">
        <f>HYPERLINK("http://www.corstruth.com.au/WA/CSV/MND032.csv","MND032_CSV File 1m Bins")</f>
        <v>MND032_CSV File 1m Bins</v>
      </c>
      <c r="D1539" t="s">
        <v>2040</v>
      </c>
      <c r="E1539" t="s">
        <v>1</v>
      </c>
      <c r="G1539" t="s">
        <v>110</v>
      </c>
      <c r="H1539" t="s">
        <v>2039</v>
      </c>
      <c r="I1539">
        <v>-28.7437</v>
      </c>
      <c r="J1539">
        <v>118.67400000000001</v>
      </c>
      <c r="K1539" t="str">
        <f>HYPERLINK("http://geossdi.dmp.wa.gov.au/NVCLDataServices/mosaic.html?datasetid=c7d46651-20a9-4f02-a2e3-463d207337f","MND032_Core Image")</f>
        <v>MND032_Core Image</v>
      </c>
    </row>
    <row r="1540" spans="1:11" x14ac:dyDescent="0.25">
      <c r="A1540" t="str">
        <f>HYPERLINK("http://www.corstruth.com.au/WA/MND036_cs.png","MND036_A4")</f>
        <v>MND036_A4</v>
      </c>
      <c r="B1540" t="str">
        <f>HYPERLINK("http://www.corstruth.com.au/WA/PNG2/MND036_cs.png","MND036_0.25m Bins")</f>
        <v>MND036_0.25m Bins</v>
      </c>
      <c r="C1540" t="str">
        <f>HYPERLINK("http://www.corstruth.com.au/WA/CSV/MND036.csv","MND036_CSV File 1m Bins")</f>
        <v>MND036_CSV File 1m Bins</v>
      </c>
      <c r="D1540" t="s">
        <v>2041</v>
      </c>
      <c r="E1540" t="s">
        <v>1</v>
      </c>
      <c r="G1540" t="s">
        <v>110</v>
      </c>
      <c r="H1540" t="s">
        <v>2039</v>
      </c>
      <c r="I1540">
        <v>-28.7437</v>
      </c>
      <c r="J1540">
        <v>118.67400000000001</v>
      </c>
      <c r="K1540" t="str">
        <f>HYPERLINK("http://geossdi.dmp.wa.gov.au/NVCLDataServices/mosaic.html?datasetid=94d4fcbe-ce51-4554-806e-beb1180dc91","MND036_Core Image")</f>
        <v>MND036_Core Image</v>
      </c>
    </row>
    <row r="1541" spans="1:11" x14ac:dyDescent="0.25">
      <c r="A1541" t="str">
        <f>HYPERLINK("http://www.corstruth.com.au/WA/MND037_cs.png","MND037_A4")</f>
        <v>MND037_A4</v>
      </c>
      <c r="B1541" t="str">
        <f>HYPERLINK("http://www.corstruth.com.au/WA/PNG2/MND037_cs.png","MND037_0.25m Bins")</f>
        <v>MND037_0.25m Bins</v>
      </c>
      <c r="C1541" t="str">
        <f>HYPERLINK("http://www.corstruth.com.au/WA/CSV/MND037.csv","MND037_CSV File 1m Bins")</f>
        <v>MND037_CSV File 1m Bins</v>
      </c>
      <c r="D1541" t="s">
        <v>2042</v>
      </c>
      <c r="E1541" t="s">
        <v>1</v>
      </c>
      <c r="G1541" t="s">
        <v>110</v>
      </c>
      <c r="H1541" t="s">
        <v>2039</v>
      </c>
      <c r="I1541">
        <v>-28.743500000000001</v>
      </c>
      <c r="J1541">
        <v>118.67400000000001</v>
      </c>
      <c r="K1541" t="str">
        <f>HYPERLINK("http://geossdi.dmp.wa.gov.au/NVCLDataServices/mosaic.html?datasetid=246573a8-fda4-4fb7-9723-635c02bc53d","MND037_Core Image")</f>
        <v>MND037_Core Image</v>
      </c>
    </row>
    <row r="1542" spans="1:11" x14ac:dyDescent="0.25">
      <c r="A1542" t="str">
        <f>HYPERLINK("http://www.corstruth.com.au/WA/MND040_cs.png","MND040_A4")</f>
        <v>MND040_A4</v>
      </c>
      <c r="B1542" t="str">
        <f>HYPERLINK("http://www.corstruth.com.au/WA/PNG2/MND040_cs.png","MND040_0.25m Bins")</f>
        <v>MND040_0.25m Bins</v>
      </c>
      <c r="C1542" t="str">
        <f>HYPERLINK("http://www.corstruth.com.au/WA/CSV/MND040.csv","MND040_CSV File 1m Bins")</f>
        <v>MND040_CSV File 1m Bins</v>
      </c>
      <c r="D1542" t="s">
        <v>2043</v>
      </c>
      <c r="E1542" t="s">
        <v>1</v>
      </c>
      <c r="G1542" t="s">
        <v>110</v>
      </c>
      <c r="H1542" t="s">
        <v>2039</v>
      </c>
      <c r="I1542">
        <v>-28.743400000000001</v>
      </c>
      <c r="J1542">
        <v>118.67400000000001</v>
      </c>
      <c r="K1542" t="str">
        <f>HYPERLINK("http://geossdi.dmp.wa.gov.au/NVCLDataServices/mosaic.html?datasetid=0ad2f979-89de-41ee-a34e-f1787b82a10","MND040_Core Image")</f>
        <v>MND040_Core Image</v>
      </c>
    </row>
    <row r="1543" spans="1:11" x14ac:dyDescent="0.25">
      <c r="A1543" t="str">
        <f>HYPERLINK("http://www.corstruth.com.au/WA/MSD0056_cs.png","MSD0056_A4")</f>
        <v>MSD0056_A4</v>
      </c>
      <c r="B1543" t="str">
        <f>HYPERLINK("http://www.corstruth.com.au/WA/PNG2/MSD0056_cs.png","MSD0056_0.25m Bins")</f>
        <v>MSD0056_0.25m Bins</v>
      </c>
      <c r="C1543" t="str">
        <f>HYPERLINK("http://www.corstruth.com.au/WA/CSV/MSD0056.csv","MSD0056_CSV File 1m Bins")</f>
        <v>MSD0056_CSV File 1m Bins</v>
      </c>
      <c r="D1543" t="s">
        <v>2044</v>
      </c>
      <c r="E1543" t="s">
        <v>1</v>
      </c>
      <c r="G1543" t="s">
        <v>110</v>
      </c>
      <c r="H1543" t="s">
        <v>2045</v>
      </c>
      <c r="I1543">
        <v>-28.0533</v>
      </c>
      <c r="J1543">
        <v>117.82</v>
      </c>
      <c r="K1543" t="str">
        <f>HYPERLINK("http://geossdi.dmp.wa.gov.au/NVCLDataServices/mosaic.html?datasetid=19eb91e3-668b-4c61-b4d7-86f04f317d0","MSD0056_Core Image")</f>
        <v>MSD0056_Core Image</v>
      </c>
    </row>
    <row r="1544" spans="1:11" x14ac:dyDescent="0.25">
      <c r="A1544" t="str">
        <f>HYPERLINK("http://www.corstruth.com.au/WA/MSD0056A_cs.png","MSD0056A_A4")</f>
        <v>MSD0056A_A4</v>
      </c>
      <c r="B1544" t="str">
        <f>HYPERLINK("http://www.corstruth.com.au/WA/PNG2/MSD0056A_cs.png","MSD0056A_0.25m Bins")</f>
        <v>MSD0056A_0.25m Bins</v>
      </c>
      <c r="C1544" t="str">
        <f>HYPERLINK("http://www.corstruth.com.au/WA/CSV/MSD0056A.csv","MSD0056A_CSV File 1m Bins")</f>
        <v>MSD0056A_CSV File 1m Bins</v>
      </c>
      <c r="D1544" t="s">
        <v>2044</v>
      </c>
      <c r="E1544" t="s">
        <v>1</v>
      </c>
      <c r="G1544" t="s">
        <v>110</v>
      </c>
      <c r="H1544" t="s">
        <v>2045</v>
      </c>
      <c r="I1544">
        <v>-28.0533</v>
      </c>
      <c r="J1544">
        <v>117.82</v>
      </c>
      <c r="K1544" t="str">
        <f>HYPERLINK("http://geossdi.dmp.wa.gov.au/NVCLDataServices/mosaic.html?datasetid=a4e6aa13-277c-4475-934b-3b486805a39","MSD0056A_Core Image")</f>
        <v>MSD0056A_Core Image</v>
      </c>
    </row>
    <row r="1545" spans="1:11" x14ac:dyDescent="0.25">
      <c r="A1545" t="str">
        <f>HYPERLINK("http://www.corstruth.com.au/WA/MMD011_cs.png","MMD011_A4")</f>
        <v>MMD011_A4</v>
      </c>
      <c r="B1545" t="str">
        <f>HYPERLINK("http://www.corstruth.com.au/WA/PNG2/MMD011_cs.png","MMD011_0.25m Bins")</f>
        <v>MMD011_0.25m Bins</v>
      </c>
      <c r="C1545" t="str">
        <f>HYPERLINK("http://www.corstruth.com.au/WA/CSV/MMD011.csv","MMD011_CSV File 1m Bins")</f>
        <v>MMD011_CSV File 1m Bins</v>
      </c>
      <c r="D1545" t="s">
        <v>59</v>
      </c>
      <c r="E1545" t="s">
        <v>1</v>
      </c>
      <c r="G1545" t="s">
        <v>110</v>
      </c>
      <c r="H1545" t="s">
        <v>2046</v>
      </c>
      <c r="I1545">
        <v>-29.168099999999999</v>
      </c>
      <c r="J1545">
        <v>116.96599999999999</v>
      </c>
      <c r="K1545" t="str">
        <f>HYPERLINK("http://geossdi.dmp.wa.gov.au/NVCLDataServices/mosaic.html?datasetid=8cd2a11e-feb1-4911-b874-4e3ebbe4473","MMD011_Core Image")</f>
        <v>MMD011_Core Image</v>
      </c>
    </row>
    <row r="1546" spans="1:11" x14ac:dyDescent="0.25">
      <c r="A1546" t="str">
        <f>HYPERLINK("http://www.corstruth.com.au/WA/MMD012_cs.png","MMD012_A4")</f>
        <v>MMD012_A4</v>
      </c>
      <c r="B1546" t="str">
        <f>HYPERLINK("http://www.corstruth.com.au/WA/PNG2/MMD012_cs.png","MMD012_0.25m Bins")</f>
        <v>MMD012_0.25m Bins</v>
      </c>
      <c r="C1546" t="str">
        <f>HYPERLINK("http://www.corstruth.com.au/WA/CSV/MMD012.csv","MMD012_CSV File 1m Bins")</f>
        <v>MMD012_CSV File 1m Bins</v>
      </c>
      <c r="D1546" t="s">
        <v>59</v>
      </c>
      <c r="E1546" t="s">
        <v>1</v>
      </c>
      <c r="G1546" t="s">
        <v>110</v>
      </c>
      <c r="H1546" t="s">
        <v>2046</v>
      </c>
      <c r="I1546">
        <v>-29.1721</v>
      </c>
      <c r="J1546">
        <v>116.964</v>
      </c>
      <c r="K1546" t="str">
        <f>HYPERLINK("http://geossdi.dmp.wa.gov.au/NVCLDataServices/mosaic.html?datasetid=feed003c-8a12-40b7-b1a0-192be39e3b9","MMD012_Core Image")</f>
        <v>MMD012_Core Image</v>
      </c>
    </row>
    <row r="1547" spans="1:11" x14ac:dyDescent="0.25">
      <c r="A1547" t="str">
        <f>HYPERLINK("http://www.corstruth.com.au/WA/MMD013_cs.png","MMD013_A4")</f>
        <v>MMD013_A4</v>
      </c>
      <c r="B1547" t="str">
        <f>HYPERLINK("http://www.corstruth.com.au/WA/PNG2/MMD013_cs.png","MMD013_0.25m Bins")</f>
        <v>MMD013_0.25m Bins</v>
      </c>
      <c r="C1547" t="str">
        <f>HYPERLINK("http://www.corstruth.com.au/WA/CSV/MMD013.csv","MMD013_CSV File 1m Bins")</f>
        <v>MMD013_CSV File 1m Bins</v>
      </c>
      <c r="D1547" t="s">
        <v>59</v>
      </c>
      <c r="E1547" t="s">
        <v>1</v>
      </c>
      <c r="G1547" t="s">
        <v>110</v>
      </c>
      <c r="H1547" t="s">
        <v>2046</v>
      </c>
      <c r="I1547">
        <v>-29.1723</v>
      </c>
      <c r="J1547">
        <v>116.962</v>
      </c>
      <c r="K1547" t="str">
        <f>HYPERLINK("http://geossdi.dmp.wa.gov.au/NVCLDataServices/mosaic.html?datasetid=60a9c05d-7c35-41a0-9396-8975bc1b580","MMD013_Core Image")</f>
        <v>MMD013_Core Image</v>
      </c>
    </row>
    <row r="1548" spans="1:11" x14ac:dyDescent="0.25">
      <c r="A1548" t="str">
        <f>HYPERLINK("http://www.corstruth.com.au/WA/MMD014_cs.png","MMD014_A4")</f>
        <v>MMD014_A4</v>
      </c>
      <c r="B1548" t="str">
        <f>HYPERLINK("http://www.corstruth.com.au/WA/PNG2/MMD014_cs.png","MMD014_0.25m Bins")</f>
        <v>MMD014_0.25m Bins</v>
      </c>
      <c r="C1548" t="str">
        <f>HYPERLINK("http://www.corstruth.com.au/WA/CSV/MMD014.csv","MMD014_CSV File 1m Bins")</f>
        <v>MMD014_CSV File 1m Bins</v>
      </c>
      <c r="D1548" t="s">
        <v>59</v>
      </c>
      <c r="E1548" t="s">
        <v>1</v>
      </c>
      <c r="G1548" t="s">
        <v>110</v>
      </c>
      <c r="H1548" t="s">
        <v>2046</v>
      </c>
      <c r="I1548">
        <v>-29.174700000000001</v>
      </c>
      <c r="J1548">
        <v>116.96</v>
      </c>
      <c r="K1548" t="str">
        <f>HYPERLINK("http://geossdi.dmp.wa.gov.au/NVCLDataServices/mosaic.html?datasetid=79a47df1-50a4-4f35-8e23-404c332ad2d","MMD014_Core Image")</f>
        <v>MMD014_Core Image</v>
      </c>
    </row>
    <row r="1549" spans="1:11" x14ac:dyDescent="0.25">
      <c r="A1549" t="str">
        <f>HYPERLINK("http://www.corstruth.com.au/WA/NDD15001_cs.png","NDD15001_A4")</f>
        <v>NDD15001_A4</v>
      </c>
      <c r="B1549" t="str">
        <f>HYPERLINK("http://www.corstruth.com.au/WA/PNG2/NDD15001_cs.png","NDD15001_0.25m Bins")</f>
        <v>NDD15001_0.25m Bins</v>
      </c>
      <c r="C1549" t="str">
        <f>HYPERLINK("http://www.corstruth.com.au/WA/CSV/NDD15001.csv","NDD15001_CSV File 1m Bins")</f>
        <v>NDD15001_CSV File 1m Bins</v>
      </c>
      <c r="D1549" t="s">
        <v>2047</v>
      </c>
      <c r="E1549" t="s">
        <v>1</v>
      </c>
      <c r="G1549" t="s">
        <v>110</v>
      </c>
      <c r="H1549" t="s">
        <v>2048</v>
      </c>
      <c r="I1549">
        <v>-27.161899999999999</v>
      </c>
      <c r="J1549">
        <v>118.96</v>
      </c>
      <c r="K1549" t="str">
        <f>HYPERLINK("http://geossdi.dmp.wa.gov.au/NVCLDataServices/mosaic.html?datasetid=19d1d11a-732f-4a2a-ab5c-d3f89edf1d3","NDD15001_Core Image")</f>
        <v>NDD15001_Core Image</v>
      </c>
    </row>
    <row r="1550" spans="1:11" x14ac:dyDescent="0.25">
      <c r="A1550" t="str">
        <f>HYPERLINK("http://www.corstruth.com.au/WA/NDD15002_cs.png","NDD15002_A4")</f>
        <v>NDD15002_A4</v>
      </c>
      <c r="B1550" t="str">
        <f>HYPERLINK("http://www.corstruth.com.au/WA/PNG2/NDD15002_cs.png","NDD15002_0.25m Bins")</f>
        <v>NDD15002_0.25m Bins</v>
      </c>
      <c r="C1550" t="str">
        <f>HYPERLINK("http://www.corstruth.com.au/WA/CSV/NDD15002.csv","NDD15002_CSV File 1m Bins")</f>
        <v>NDD15002_CSV File 1m Bins</v>
      </c>
      <c r="D1550" t="s">
        <v>2049</v>
      </c>
      <c r="E1550" t="s">
        <v>1</v>
      </c>
      <c r="G1550" t="s">
        <v>110</v>
      </c>
      <c r="H1550" t="s">
        <v>2048</v>
      </c>
      <c r="I1550">
        <v>-27.161200000000001</v>
      </c>
      <c r="J1550">
        <v>118.96</v>
      </c>
      <c r="K1550" t="str">
        <f>HYPERLINK("http://geossdi.dmp.wa.gov.au/NVCLDataServices/mosaic.html?datasetid=a1db6b70-65dc-4dfd-8237-b63df3636f1","NDD15002_Core Image")</f>
        <v>NDD15002_Core Image</v>
      </c>
    </row>
    <row r="1551" spans="1:11" x14ac:dyDescent="0.25">
      <c r="A1551" t="str">
        <f>HYPERLINK("http://www.corstruth.com.au/WA/JLN14DD001_cs.png","JLN14DD001_A4")</f>
        <v>JLN14DD001_A4</v>
      </c>
      <c r="B1551" t="str">
        <f>HYPERLINK("http://www.corstruth.com.au/WA/PNG2/JLN14DD001_cs.png","JLN14DD001_0.25m Bins")</f>
        <v>JLN14DD001_0.25m Bins</v>
      </c>
      <c r="C1551" t="str">
        <f>HYPERLINK("http://www.corstruth.com.au/WA/CSV/JLN14DD001.csv","JLN14DD001_CSV File 1m Bins")</f>
        <v>JLN14DD001_CSV File 1m Bins</v>
      </c>
      <c r="D1551" t="s">
        <v>2050</v>
      </c>
      <c r="E1551" t="s">
        <v>1</v>
      </c>
      <c r="G1551" t="s">
        <v>110</v>
      </c>
      <c r="H1551" t="s">
        <v>2051</v>
      </c>
      <c r="I1551">
        <v>-26.327400000000001</v>
      </c>
      <c r="J1551">
        <v>117.741</v>
      </c>
      <c r="K1551" t="str">
        <f>HYPERLINK("http://geossdi.dmp.wa.gov.au/NVCLDataServices/mosaic.html?datasetid=4f483d9b-a101-4f97-a4ee-c1dc7c521a6","JLN14DD001_Core Image")</f>
        <v>JLN14DD001_Core Image</v>
      </c>
    </row>
    <row r="1552" spans="1:11" x14ac:dyDescent="0.25">
      <c r="A1552" t="str">
        <f>HYPERLINK("http://www.corstruth.com.au/WA/09ATD015_cs.png","09ATD015_A4")</f>
        <v>09ATD015_A4</v>
      </c>
      <c r="D1552" t="s">
        <v>59</v>
      </c>
      <c r="E1552" t="s">
        <v>1</v>
      </c>
      <c r="G1552" t="s">
        <v>110</v>
      </c>
      <c r="H1552" t="s">
        <v>2052</v>
      </c>
      <c r="I1552">
        <v>-27.1389</v>
      </c>
      <c r="J1552">
        <v>118.514</v>
      </c>
      <c r="K1552" t="str">
        <f>HYPERLINK("http://geossdi.dmp.wa.gov.au/NVCLDataServices/mosaic.html?datasetid=2faa992a-508f-4446-ad7d-095fa2739d1","09ATD015_Core Image")</f>
        <v>09ATD015_Core Image</v>
      </c>
    </row>
    <row r="1553" spans="1:11" x14ac:dyDescent="0.25">
      <c r="A1553" t="str">
        <f>HYPERLINK("http://www.corstruth.com.au/WA/09ATD019_cs.png","09ATD019_A4")</f>
        <v>09ATD019_A4</v>
      </c>
      <c r="D1553" t="s">
        <v>59</v>
      </c>
      <c r="E1553" t="s">
        <v>1</v>
      </c>
      <c r="G1553" t="s">
        <v>110</v>
      </c>
      <c r="H1553" t="s">
        <v>2052</v>
      </c>
      <c r="I1553">
        <v>-27.139299999999999</v>
      </c>
      <c r="J1553">
        <v>118.514</v>
      </c>
      <c r="K1553" t="str">
        <f>HYPERLINK("http://geossdi.dmp.wa.gov.au/NVCLDataServices/mosaic.html?datasetid=df915067-0e08-4c9b-abb5-763b9c98c61","09ATD019_Core Image")</f>
        <v>09ATD019_Core Image</v>
      </c>
    </row>
    <row r="1554" spans="1:11" x14ac:dyDescent="0.25">
      <c r="A1554" t="str">
        <f>HYPERLINK("http://www.corstruth.com.au/WA/09ATRCD025_cs.png","09ATRCD025_A4")</f>
        <v>09ATRCD025_A4</v>
      </c>
      <c r="D1554" t="s">
        <v>59</v>
      </c>
      <c r="E1554" t="s">
        <v>1</v>
      </c>
      <c r="G1554" t="s">
        <v>110</v>
      </c>
      <c r="H1554" t="s">
        <v>2052</v>
      </c>
      <c r="I1554">
        <v>-27.138999999999999</v>
      </c>
      <c r="J1554">
        <v>118.514</v>
      </c>
    </row>
    <row r="1555" spans="1:11" x14ac:dyDescent="0.25">
      <c r="A1555" t="str">
        <f>HYPERLINK("http://www.corstruth.com.au/WA/09RTD001_cs.png","09RTD001_A4")</f>
        <v>09RTD001_A4</v>
      </c>
      <c r="D1555" t="s">
        <v>59</v>
      </c>
      <c r="E1555" t="s">
        <v>1</v>
      </c>
      <c r="G1555" t="s">
        <v>110</v>
      </c>
      <c r="H1555" t="s">
        <v>2052</v>
      </c>
      <c r="I1555">
        <v>-27.137599999999999</v>
      </c>
      <c r="J1555">
        <v>118.514</v>
      </c>
      <c r="K1555" t="str">
        <f>HYPERLINK("http://geossdi.dmp.wa.gov.au/NVCLDataServices/mosaic.html?datasetid=bd6ab909-9937-474f-a32b-fd06f5ad0cf","09RTD001_Core Image")</f>
        <v>09RTD001_Core Image</v>
      </c>
    </row>
    <row r="1556" spans="1:11" x14ac:dyDescent="0.25">
      <c r="A1556" t="str">
        <f>HYPERLINK("http://www.corstruth.com.au/WA/09DKRCD001A_cs.png","09DKRCD001A_A4")</f>
        <v>09DKRCD001A_A4</v>
      </c>
      <c r="B1556" t="str">
        <f>HYPERLINK("http://www.corstruth.com.au/WA/PNG2/09DKRCD001A_cs.png","09DKRCD001A_0.25m Bins")</f>
        <v>09DKRCD001A_0.25m Bins</v>
      </c>
      <c r="C1556" t="str">
        <f>HYPERLINK("http://www.corstruth.com.au/WA/CSV/09DKRCD001A.csv","09DKRCD001A_CSV File 1m Bins")</f>
        <v>09DKRCD001A_CSV File 1m Bins</v>
      </c>
      <c r="D1556" t="s">
        <v>2053</v>
      </c>
      <c r="E1556" t="s">
        <v>1</v>
      </c>
      <c r="G1556" t="s">
        <v>110</v>
      </c>
      <c r="H1556" t="s">
        <v>2054</v>
      </c>
      <c r="I1556">
        <v>-27.104299999999999</v>
      </c>
      <c r="J1556">
        <v>118.57</v>
      </c>
      <c r="K1556" t="str">
        <f>HYPERLINK("http://geossdi.dmp.wa.gov.au/NVCLDataServices/mosaic.html?datasetid=420d80f7-7e03-4a1f-b01a-0c15ae3d71e","09DKRCD001A_Core Image")</f>
        <v>09DKRCD001A_Core Image</v>
      </c>
    </row>
    <row r="1557" spans="1:11" x14ac:dyDescent="0.25">
      <c r="A1557" t="str">
        <f>HYPERLINK("http://www.corstruth.com.au/WA/09DKRCD002_cs.png","09DKRCD002_A4")</f>
        <v>09DKRCD002_A4</v>
      </c>
      <c r="B1557" t="str">
        <f>HYPERLINK("http://www.corstruth.com.au/WA/PNG2/09DKRCD002_cs.png","09DKRCD002_0.25m Bins")</f>
        <v>09DKRCD002_0.25m Bins</v>
      </c>
      <c r="C1557" t="str">
        <f>HYPERLINK("http://www.corstruth.com.au/WA/CSV/09DKRCD002.csv","09DKRCD002_CSV File 1m Bins")</f>
        <v>09DKRCD002_CSV File 1m Bins</v>
      </c>
      <c r="D1557" t="s">
        <v>2055</v>
      </c>
      <c r="E1557" t="s">
        <v>1</v>
      </c>
      <c r="G1557" t="s">
        <v>110</v>
      </c>
      <c r="H1557" t="s">
        <v>2054</v>
      </c>
      <c r="I1557">
        <v>-27.106100000000001</v>
      </c>
      <c r="J1557">
        <v>118.569</v>
      </c>
      <c r="K1557" t="str">
        <f>HYPERLINK("http://geossdi.dmp.wa.gov.au/NVCLDataServices/mosaic.html?datasetid=203edc3e-331d-4d38-beef-0a80c36b0be","09DKRCD002_Core Image")</f>
        <v>09DKRCD002_Core Image</v>
      </c>
    </row>
    <row r="1558" spans="1:11" x14ac:dyDescent="0.25">
      <c r="A1558" t="str">
        <f>HYPERLINK("http://www.corstruth.com.au/WA/09FKRCD001_cs.png","09FKRCD001_A4")</f>
        <v>09FKRCD001_A4</v>
      </c>
      <c r="B1558" t="str">
        <f>HYPERLINK("http://www.corstruth.com.au/WA/PNG2/09FKRCD001_cs.png","09FKRCD001_0.25m Bins")</f>
        <v>09FKRCD001_0.25m Bins</v>
      </c>
      <c r="C1558" t="str">
        <f>HYPERLINK("http://www.corstruth.com.au/WA/CSV/09FKRCD001.csv","09FKRCD001_CSV File 1m Bins")</f>
        <v>09FKRCD001_CSV File 1m Bins</v>
      </c>
      <c r="D1558" t="s">
        <v>2056</v>
      </c>
      <c r="E1558" t="s">
        <v>1</v>
      </c>
      <c r="G1558" t="s">
        <v>110</v>
      </c>
      <c r="H1558" t="s">
        <v>2057</v>
      </c>
      <c r="I1558">
        <v>-27.113600000000002</v>
      </c>
      <c r="J1558">
        <v>118.563</v>
      </c>
      <c r="K1558" t="str">
        <f>HYPERLINK("http://geossdi.dmp.wa.gov.au/NVCLDataServices/mosaic.html?datasetid=9c33a004-2244-403c-a3d2-8c2629ab640","09FKRCD001_Core Image")</f>
        <v>09FKRCD001_Core Image</v>
      </c>
    </row>
    <row r="1559" spans="1:11" x14ac:dyDescent="0.25">
      <c r="A1559" t="str">
        <f>HYPERLINK("http://www.corstruth.com.au/WA/09HBRCD001_cs.png","09HBRCD001_A4")</f>
        <v>09HBRCD001_A4</v>
      </c>
      <c r="B1559" t="str">
        <f>HYPERLINK("http://www.corstruth.com.au/WA/PNG2/09HBRCD001_cs.png","09HBRCD001_0.25m Bins")</f>
        <v>09HBRCD001_0.25m Bins</v>
      </c>
      <c r="C1559" t="str">
        <f>HYPERLINK("http://www.corstruth.com.au/WA/CSV/09HBRCD001.csv","09HBRCD001_CSV File 1m Bins")</f>
        <v>09HBRCD001_CSV File 1m Bins</v>
      </c>
      <c r="D1559" t="s">
        <v>2058</v>
      </c>
      <c r="E1559" t="s">
        <v>1</v>
      </c>
      <c r="G1559" t="s">
        <v>110</v>
      </c>
      <c r="H1559" t="s">
        <v>2059</v>
      </c>
      <c r="I1559">
        <v>-27.1266</v>
      </c>
      <c r="J1559">
        <v>118.51900000000001</v>
      </c>
      <c r="K1559" t="str">
        <f>HYPERLINK("http://geossdi.dmp.wa.gov.au/NVCLDataServices/mosaic.html?datasetid=0f63c045-3e9d-461c-a0b4-b9c9fe5f51c","09HBRCD001_Core Image")</f>
        <v>09HBRCD001_Core Image</v>
      </c>
    </row>
    <row r="1560" spans="1:11" x14ac:dyDescent="0.25">
      <c r="A1560" t="str">
        <f>HYPERLINK("http://www.corstruth.com.au/WA/10TJD001_cs.png","10TJD001_A4")</f>
        <v>10TJD001_A4</v>
      </c>
      <c r="B1560" t="str">
        <f>HYPERLINK("http://www.corstruth.com.au/WA/PNG2/10TJD001_cs.png","10TJD001_0.25m Bins")</f>
        <v>10TJD001_0.25m Bins</v>
      </c>
      <c r="C1560" t="str">
        <f>HYPERLINK("http://www.corstruth.com.au/WA/CSV/10TJD001.csv","10TJD001_CSV File 1m Bins")</f>
        <v>10TJD001_CSV File 1m Bins</v>
      </c>
      <c r="D1560" t="s">
        <v>2060</v>
      </c>
      <c r="E1560" t="s">
        <v>1</v>
      </c>
      <c r="G1560" t="s">
        <v>110</v>
      </c>
      <c r="H1560" t="s">
        <v>2061</v>
      </c>
      <c r="I1560">
        <v>-27.0564</v>
      </c>
      <c r="J1560">
        <v>118.649</v>
      </c>
      <c r="K1560" t="str">
        <f>HYPERLINK("http://geossdi.dmp.wa.gov.au/NVCLDataServices/mosaic.html?datasetid=497dd3a6-1952-4872-a3a1-3dbf52b5388","10TJD001_Core Image")</f>
        <v>10TJD001_Core Image</v>
      </c>
    </row>
    <row r="1561" spans="1:11" x14ac:dyDescent="0.25">
      <c r="A1561" t="str">
        <f>HYPERLINK("http://www.corstruth.com.au/WA/SYMD0013_cs.png","SYMD0013_A4")</f>
        <v>SYMD0013_A4</v>
      </c>
      <c r="B1561" t="str">
        <f>HYPERLINK("http://www.corstruth.com.au/WA/PNG2/SYMD0013_cs.png","SYMD0013_0.25m Bins")</f>
        <v>SYMD0013_0.25m Bins</v>
      </c>
      <c r="C1561" t="str">
        <f>HYPERLINK("http://www.corstruth.com.au/WA/CSV/SYMD0013.csv","SYMD0013_CSV File 1m Bins")</f>
        <v>SYMD0013_CSV File 1m Bins</v>
      </c>
      <c r="D1561" t="s">
        <v>2062</v>
      </c>
      <c r="E1561" t="s">
        <v>1</v>
      </c>
      <c r="G1561" t="s">
        <v>110</v>
      </c>
      <c r="H1561" t="s">
        <v>2063</v>
      </c>
      <c r="I1561">
        <v>-28.635300000000001</v>
      </c>
      <c r="J1561">
        <v>118.791</v>
      </c>
      <c r="K1561" t="str">
        <f>HYPERLINK("http://geossdi.dmp.wa.gov.au/NVCLDataServices/mosaic.html?datasetid=b1ef9e66-724a-4261-8faf-cc94b0e315f","SYMD0013_Core Image")</f>
        <v>SYMD0013_Core Image</v>
      </c>
    </row>
    <row r="1562" spans="1:11" x14ac:dyDescent="0.25">
      <c r="A1562" t="str">
        <f>HYPERLINK("http://www.corstruth.com.au/WA/SYMD0014_cs.png","SYMD0014_A4")</f>
        <v>SYMD0014_A4</v>
      </c>
      <c r="B1562" t="str">
        <f>HYPERLINK("http://www.corstruth.com.au/WA/PNG2/SYMD0014_cs.png","SYMD0014_0.25m Bins")</f>
        <v>SYMD0014_0.25m Bins</v>
      </c>
      <c r="C1562" t="str">
        <f>HYPERLINK("http://www.corstruth.com.au/WA/CSV/SYMD0014.csv","SYMD0014_CSV File 1m Bins")</f>
        <v>SYMD0014_CSV File 1m Bins</v>
      </c>
      <c r="D1562" t="s">
        <v>2064</v>
      </c>
      <c r="E1562" t="s">
        <v>1</v>
      </c>
      <c r="G1562" t="s">
        <v>110</v>
      </c>
      <c r="H1562" t="s">
        <v>2063</v>
      </c>
      <c r="I1562">
        <v>-28.634399999999999</v>
      </c>
      <c r="J1562">
        <v>118.795</v>
      </c>
      <c r="K1562" t="str">
        <f>HYPERLINK("http://geossdi.dmp.wa.gov.au/NVCLDataServices/mosaic.html?datasetid=e0d4fce1-d083-4ced-97e2-0fd0a46ccfe","SYMD0014_Core Image")</f>
        <v>SYMD0014_Core Image</v>
      </c>
    </row>
    <row r="1563" spans="1:11" x14ac:dyDescent="0.25">
      <c r="A1563" t="str">
        <f>HYPERLINK("http://www.corstruth.com.au/WA/GXDD0010_cs.png","GXDD0010_A4")</f>
        <v>GXDD0010_A4</v>
      </c>
      <c r="B1563" t="str">
        <f>HYPERLINK("http://www.corstruth.com.au/WA/PNG2/GXDD0010_cs.png","GXDD0010_0.25m Bins")</f>
        <v>GXDD0010_0.25m Bins</v>
      </c>
      <c r="C1563" t="str">
        <f>HYPERLINK("http://www.corstruth.com.au/WA/CSV/GXDD0010.csv","GXDD0010_CSV File 1m Bins")</f>
        <v>GXDD0010_CSV File 1m Bins</v>
      </c>
      <c r="D1563" t="s">
        <v>2065</v>
      </c>
      <c r="E1563" t="s">
        <v>1</v>
      </c>
      <c r="G1563" t="s">
        <v>110</v>
      </c>
      <c r="H1563" t="s">
        <v>2066</v>
      </c>
      <c r="I1563">
        <v>-28.0397</v>
      </c>
      <c r="J1563">
        <v>117.8</v>
      </c>
      <c r="K1563" t="str">
        <f>HYPERLINK("http://geossdi.dmp.wa.gov.au/NVCLDataServices/mosaic.html?datasetid=349c203b-4385-45a7-a111-f61399269ef","GXDD0010_Core Image")</f>
        <v>GXDD0010_Core Image</v>
      </c>
    </row>
    <row r="1564" spans="1:11" x14ac:dyDescent="0.25">
      <c r="A1564" t="str">
        <f>HYPERLINK("http://www.corstruth.com.au/WA/GXDD0012_cs.png","GXDD0012_A4")</f>
        <v>GXDD0012_A4</v>
      </c>
      <c r="B1564" t="str">
        <f>HYPERLINK("http://www.corstruth.com.au/WA/PNG2/GXDD0012_cs.png","GXDD0012_0.25m Bins")</f>
        <v>GXDD0012_0.25m Bins</v>
      </c>
      <c r="C1564" t="str">
        <f>HYPERLINK("http://www.corstruth.com.au/WA/CSV/GXDD0012.csv","GXDD0012_CSV File 1m Bins")</f>
        <v>GXDD0012_CSV File 1m Bins</v>
      </c>
      <c r="D1564" t="s">
        <v>2067</v>
      </c>
      <c r="E1564" t="s">
        <v>1</v>
      </c>
      <c r="G1564" t="s">
        <v>110</v>
      </c>
      <c r="H1564" t="s">
        <v>2066</v>
      </c>
      <c r="I1564">
        <v>-28.040299999999998</v>
      </c>
      <c r="J1564">
        <v>117.8</v>
      </c>
      <c r="K1564" t="str">
        <f>HYPERLINK("http://geossdi.dmp.wa.gov.au/NVCLDataServices/mosaic.html?datasetid=a2c75118-6257-4e17-ad0b-5c5f019aa8c","GXDD0012_Core Image")</f>
        <v>GXDD0012_Core Image</v>
      </c>
    </row>
    <row r="1565" spans="1:11" x14ac:dyDescent="0.25">
      <c r="A1565" t="str">
        <f>HYPERLINK("http://www.corstruth.com.au/WA/UEC05_cs.png","UEC05_A4")</f>
        <v>UEC05_A4</v>
      </c>
      <c r="B1565" t="str">
        <f>HYPERLINK("http://www.corstruth.com.au/WA/PNG2/UEC05_cs.png","UEC05_0.25m Bins")</f>
        <v>UEC05_0.25m Bins</v>
      </c>
      <c r="C1565" t="str">
        <f>HYPERLINK("http://www.corstruth.com.au/WA/CSV/UEC05.csv","UEC05_CSV File 1m Bins")</f>
        <v>UEC05_CSV File 1m Bins</v>
      </c>
      <c r="D1565" t="s">
        <v>2068</v>
      </c>
      <c r="E1565" t="s">
        <v>1</v>
      </c>
      <c r="G1565" t="s">
        <v>110</v>
      </c>
      <c r="H1565" t="s">
        <v>2069</v>
      </c>
      <c r="I1565">
        <v>-26.990300000000001</v>
      </c>
      <c r="J1565">
        <v>117.617</v>
      </c>
      <c r="K1565" t="str">
        <f>HYPERLINK("http://geossdi.dmp.wa.gov.au/NVCLDataServices/mosaic.html?datasetid=3307ba4f-cfef-4138-8c3c-3a8b392c255","UEC05_Core Image")</f>
        <v>UEC05_Core Image</v>
      </c>
    </row>
    <row r="1566" spans="1:11" x14ac:dyDescent="0.25">
      <c r="A1566" t="str">
        <f>HYPERLINK("http://www.corstruth.com.au/WA/UEC06_cs.png","UEC06_A4")</f>
        <v>UEC06_A4</v>
      </c>
      <c r="B1566" t="str">
        <f>HYPERLINK("http://www.corstruth.com.au/WA/PNG2/UEC06_cs.png","UEC06_0.25m Bins")</f>
        <v>UEC06_0.25m Bins</v>
      </c>
      <c r="C1566" t="str">
        <f>HYPERLINK("http://www.corstruth.com.au/WA/CSV/UEC06.csv","UEC06_CSV File 1m Bins")</f>
        <v>UEC06_CSV File 1m Bins</v>
      </c>
      <c r="D1566" t="s">
        <v>2070</v>
      </c>
      <c r="E1566" t="s">
        <v>1</v>
      </c>
      <c r="G1566" t="s">
        <v>110</v>
      </c>
      <c r="H1566" t="s">
        <v>2069</v>
      </c>
      <c r="I1566">
        <v>-26.999400000000001</v>
      </c>
      <c r="J1566">
        <v>117.621</v>
      </c>
      <c r="K1566" t="str">
        <f>HYPERLINK("http://geossdi.dmp.wa.gov.au/NVCLDataServices/mosaic.html?datasetid=cd9f6cfd-34cc-485b-b89d-68a5a716b40","UEC06_Core Image")</f>
        <v>UEC06_Core Image</v>
      </c>
    </row>
    <row r="1567" spans="1:11" x14ac:dyDescent="0.25">
      <c r="A1567" t="str">
        <f>HYPERLINK("http://www.corstruth.com.au/WA/UEC07_cs.png","UEC07_A4")</f>
        <v>UEC07_A4</v>
      </c>
      <c r="B1567" t="str">
        <f>HYPERLINK("http://www.corstruth.com.au/WA/PNG2/UEC07_cs.png","UEC07_0.25m Bins")</f>
        <v>UEC07_0.25m Bins</v>
      </c>
      <c r="C1567" t="str">
        <f>HYPERLINK("http://www.corstruth.com.au/WA/CSV/UEC07.csv","UEC07_CSV File 1m Bins")</f>
        <v>UEC07_CSV File 1m Bins</v>
      </c>
      <c r="D1567" t="s">
        <v>2071</v>
      </c>
      <c r="E1567" t="s">
        <v>1</v>
      </c>
      <c r="G1567" t="s">
        <v>110</v>
      </c>
      <c r="H1567" t="s">
        <v>2069</v>
      </c>
      <c r="I1567">
        <v>-27.01</v>
      </c>
      <c r="J1567">
        <v>117.577</v>
      </c>
      <c r="K1567" t="str">
        <f>HYPERLINK("http://geossdi.dmp.wa.gov.au/NVCLDataServices/mosaic.html?datasetid=e0232aef-6bed-4bc9-90c0-6f2d3bcc6d1","UEC07_Core Image")</f>
        <v>UEC07_Core Image</v>
      </c>
    </row>
    <row r="1568" spans="1:11" x14ac:dyDescent="0.25">
      <c r="A1568" t="str">
        <f>HYPERLINK("http://www.corstruth.com.au/WA/UEC08_cs.png","UEC08_A4")</f>
        <v>UEC08_A4</v>
      </c>
      <c r="B1568" t="str">
        <f>HYPERLINK("http://www.corstruth.com.au/WA/PNG2/UEC08_cs.png","UEC08_0.25m Bins")</f>
        <v>UEC08_0.25m Bins</v>
      </c>
      <c r="C1568" t="str">
        <f>HYPERLINK("http://www.corstruth.com.au/WA/CSV/UEC08.csv","UEC08_CSV File 1m Bins")</f>
        <v>UEC08_CSV File 1m Bins</v>
      </c>
      <c r="D1568" t="s">
        <v>2072</v>
      </c>
      <c r="E1568" t="s">
        <v>1</v>
      </c>
      <c r="G1568" t="s">
        <v>110</v>
      </c>
      <c r="H1568" t="s">
        <v>2069</v>
      </c>
      <c r="I1568">
        <v>-27.0059</v>
      </c>
      <c r="J1568">
        <v>117.59099999999999</v>
      </c>
      <c r="K1568" t="str">
        <f>HYPERLINK("http://geossdi.dmp.wa.gov.au/NVCLDataServices/mosaic.html?datasetid=e4fe37df-4d5a-4b68-bc45-def11e6dc57","UEC08_Core Image")</f>
        <v>UEC08_Core Image</v>
      </c>
    </row>
    <row r="1569" spans="1:11" x14ac:dyDescent="0.25">
      <c r="A1569" t="str">
        <f>HYPERLINK("http://www.corstruth.com.au/WA/UEC09_cs.png","UEC09_A4")</f>
        <v>UEC09_A4</v>
      </c>
      <c r="B1569" t="str">
        <f>HYPERLINK("http://www.corstruth.com.au/WA/PNG2/UEC09_cs.png","UEC09_0.25m Bins")</f>
        <v>UEC09_0.25m Bins</v>
      </c>
      <c r="C1569" t="str">
        <f>HYPERLINK("http://www.corstruth.com.au/WA/CSV/UEC09.csv","UEC09_CSV File 1m Bins")</f>
        <v>UEC09_CSV File 1m Bins</v>
      </c>
      <c r="D1569" t="s">
        <v>2073</v>
      </c>
      <c r="E1569" t="s">
        <v>1</v>
      </c>
      <c r="G1569" t="s">
        <v>110</v>
      </c>
      <c r="H1569" t="s">
        <v>2069</v>
      </c>
      <c r="I1569">
        <v>-27.0032</v>
      </c>
      <c r="J1569">
        <v>117.60299999999999</v>
      </c>
      <c r="K1569" t="str">
        <f>HYPERLINK("http://geossdi.dmp.wa.gov.au/NVCLDataServices/mosaic.html?datasetid=dcf8a196-20e3-4942-a757-d688ba2ae49","UEC09_Core Image")</f>
        <v>UEC09_Core Image</v>
      </c>
    </row>
    <row r="1570" spans="1:11" x14ac:dyDescent="0.25">
      <c r="A1570" t="str">
        <f>HYPERLINK("http://www.corstruth.com.au/WA/95WGD002_cs.png","95WGD002_A4")</f>
        <v>95WGD002_A4</v>
      </c>
      <c r="B1570" t="str">
        <f>HYPERLINK("http://www.corstruth.com.au/WA/PNG2/95WGD002_cs.png","95WGD002_0.25m Bins")</f>
        <v>95WGD002_0.25m Bins</v>
      </c>
      <c r="C1570" t="str">
        <f>HYPERLINK("http://www.corstruth.com.au/WA/CSV/95WGD002.csv","95WGD002_CSV File 1m Bins")</f>
        <v>95WGD002_CSV File 1m Bins</v>
      </c>
      <c r="D1570" t="s">
        <v>2074</v>
      </c>
      <c r="E1570" t="s">
        <v>1</v>
      </c>
      <c r="G1570" t="s">
        <v>110</v>
      </c>
      <c r="H1570" t="s">
        <v>2075</v>
      </c>
      <c r="I1570">
        <v>-26.970199999999998</v>
      </c>
      <c r="J1570">
        <v>117.554</v>
      </c>
      <c r="K1570" t="str">
        <f>HYPERLINK("http://geossdi.dmp.wa.gov.au/NVCLDataServices/mosaic.html?datasetid=996584fd-b5fd-4a34-b07c-4f519a91c09","95WGD002_Core Image")</f>
        <v>95WGD002_Core Image</v>
      </c>
    </row>
    <row r="1571" spans="1:11" x14ac:dyDescent="0.25">
      <c r="A1571" t="str">
        <f>HYPERLINK("http://www.corstruth.com.au/WA/95WGD004_cs.png","95WGD004_A4")</f>
        <v>95WGD004_A4</v>
      </c>
      <c r="B1571" t="str">
        <f>HYPERLINK("http://www.corstruth.com.au/WA/PNG2/95WGD004_cs.png","95WGD004_0.25m Bins")</f>
        <v>95WGD004_0.25m Bins</v>
      </c>
      <c r="C1571" t="str">
        <f>HYPERLINK("http://www.corstruth.com.au/WA/CSV/95WGD004.csv","95WGD004_CSV File 1m Bins")</f>
        <v>95WGD004_CSV File 1m Bins</v>
      </c>
      <c r="D1571" t="s">
        <v>2076</v>
      </c>
      <c r="E1571" t="s">
        <v>1</v>
      </c>
      <c r="G1571" t="s">
        <v>110</v>
      </c>
      <c r="H1571" t="s">
        <v>2075</v>
      </c>
      <c r="I1571">
        <v>-26.9681</v>
      </c>
      <c r="J1571">
        <v>117.56100000000001</v>
      </c>
      <c r="K1571" t="str">
        <f>HYPERLINK("http://geossdi.dmp.wa.gov.au/NVCLDataServices/mosaic.html?datasetid=1826d0d0-e06f-4207-837c-7ca690a922d","95WGD004_Core Image")</f>
        <v>95WGD004_Core Image</v>
      </c>
    </row>
    <row r="1572" spans="1:11" x14ac:dyDescent="0.25">
      <c r="A1572" t="str">
        <f>HYPERLINK("http://www.corstruth.com.au/WA/95WGD006_cs.png","95WGD006_A4")</f>
        <v>95WGD006_A4</v>
      </c>
      <c r="B1572" t="str">
        <f>HYPERLINK("http://www.corstruth.com.au/WA/PNG2/95WGD006_cs.png","95WGD006_0.25m Bins")</f>
        <v>95WGD006_0.25m Bins</v>
      </c>
      <c r="C1572" t="str">
        <f>HYPERLINK("http://www.corstruth.com.au/WA/CSV/95WGD006.csv","95WGD006_CSV File 1m Bins")</f>
        <v>95WGD006_CSV File 1m Bins</v>
      </c>
      <c r="D1572" t="s">
        <v>2077</v>
      </c>
      <c r="E1572" t="s">
        <v>1</v>
      </c>
      <c r="G1572" t="s">
        <v>110</v>
      </c>
      <c r="H1572" t="s">
        <v>2075</v>
      </c>
      <c r="I1572">
        <v>-26.970300000000002</v>
      </c>
      <c r="J1572">
        <v>117.55200000000001</v>
      </c>
      <c r="K1572" t="str">
        <f>HYPERLINK("http://geossdi.dmp.wa.gov.au/NVCLDataServices/mosaic.html?datasetid=9f273656-c265-4afe-9700-5c7d09d4fa1","95WGD006_Core Image")</f>
        <v>95WGD006_Core Image</v>
      </c>
    </row>
    <row r="1573" spans="1:11" x14ac:dyDescent="0.25">
      <c r="A1573" t="str">
        <f>HYPERLINK("http://www.corstruth.com.au/WA/96GVD1001_cs.png","96GVD1001_A4")</f>
        <v>96GVD1001_A4</v>
      </c>
      <c r="B1573" t="str">
        <f>HYPERLINK("http://www.corstruth.com.au/WA/PNG2/96GVD1001_cs.png","96GVD1001_0.25m Bins")</f>
        <v>96GVD1001_0.25m Bins</v>
      </c>
      <c r="C1573" t="str">
        <f>HYPERLINK("http://www.corstruth.com.au/WA/CSV/96GVD1001.csv","96GVD1001_CSV File 1m Bins")</f>
        <v>96GVD1001_CSV File 1m Bins</v>
      </c>
      <c r="D1573" t="s">
        <v>2078</v>
      </c>
      <c r="E1573" t="s">
        <v>1</v>
      </c>
      <c r="G1573" t="s">
        <v>110</v>
      </c>
      <c r="H1573" t="s">
        <v>2075</v>
      </c>
      <c r="I1573">
        <v>-26.965699999999998</v>
      </c>
      <c r="J1573">
        <v>117.57</v>
      </c>
      <c r="K1573" t="str">
        <f>HYPERLINK("http://geossdi.dmp.wa.gov.au/NVCLDataServices/mosaic.html?datasetid=23cc05c3-d1d3-4e20-90c1-de33e835e54","96GVD1001_Core Image")</f>
        <v>96GVD1001_Core Image</v>
      </c>
    </row>
    <row r="1574" spans="1:11" x14ac:dyDescent="0.25">
      <c r="A1574" t="str">
        <f>HYPERLINK("http://www.corstruth.com.au/WA/WRRD0583_cs.png","WRRD0583_A4")</f>
        <v>WRRD0583_A4</v>
      </c>
      <c r="B1574" t="str">
        <f>HYPERLINK("http://www.corstruth.com.au/WA/PNG2/WRRD0583_cs.png","WRRD0583_0.25m Bins")</f>
        <v>WRRD0583_0.25m Bins</v>
      </c>
      <c r="C1574" t="str">
        <f>HYPERLINK("http://www.corstruth.com.au/WA/CSV/WRRD0583.csv","WRRD0583_CSV File 1m Bins")</f>
        <v>WRRD0583_CSV File 1m Bins</v>
      </c>
      <c r="D1574" t="s">
        <v>59</v>
      </c>
      <c r="E1574" t="s">
        <v>1</v>
      </c>
      <c r="G1574" t="s">
        <v>110</v>
      </c>
      <c r="H1574" t="s">
        <v>2075</v>
      </c>
      <c r="I1574">
        <v>-26.8842</v>
      </c>
      <c r="J1574">
        <v>117.807</v>
      </c>
      <c r="K1574" t="str">
        <f>HYPERLINK("http://geossdi.dmp.wa.gov.au/NVCLDataServices/mosaic.html?datasetid=f900b678-4c15-4cb4-adc1-aec3435a808","WRRD0583_Core Image")</f>
        <v>WRRD0583_Core Image</v>
      </c>
    </row>
    <row r="1575" spans="1:11" x14ac:dyDescent="0.25">
      <c r="A1575" t="str">
        <f>HYPERLINK("http://www.corstruth.com.au/WA/MNDD0001_cs.png","MNDD0001_A4")</f>
        <v>MNDD0001_A4</v>
      </c>
      <c r="B1575" t="str">
        <f>HYPERLINK("http://www.corstruth.com.au/WA/PNG2/MNDD0001_cs.png","MNDD0001_0.25m Bins")</f>
        <v>MNDD0001_0.25m Bins</v>
      </c>
      <c r="C1575" t="str">
        <f>HYPERLINK("http://www.corstruth.com.au/WA/CSV/MNDD0001.csv","MNDD0001_CSV File 1m Bins")</f>
        <v>MNDD0001_CSV File 1m Bins</v>
      </c>
      <c r="D1575" t="s">
        <v>2079</v>
      </c>
      <c r="E1575" t="s">
        <v>1</v>
      </c>
      <c r="G1575" t="s">
        <v>110</v>
      </c>
      <c r="H1575" t="s">
        <v>2080</v>
      </c>
      <c r="I1575">
        <v>-28.3904</v>
      </c>
      <c r="J1575">
        <v>118.358</v>
      </c>
      <c r="K1575" t="str">
        <f>HYPERLINK("http://geossdi.dmp.wa.gov.au/NVCLDataServices/mosaic.html?datasetid=2849a60d-e465-4f1a-8ef6-25b9167a19a","MNDD0001_Core Image")</f>
        <v>MNDD0001_Core Image</v>
      </c>
    </row>
    <row r="1576" spans="1:11" x14ac:dyDescent="0.25">
      <c r="A1576" t="str">
        <f>HYPERLINK("http://www.corstruth.com.au/WA/MNDD0002_cs.png","MNDD0002_A4")</f>
        <v>MNDD0002_A4</v>
      </c>
      <c r="B1576" t="str">
        <f>HYPERLINK("http://www.corstruth.com.au/WA/PNG2/MNDD0002_cs.png","MNDD0002_0.25m Bins")</f>
        <v>MNDD0002_0.25m Bins</v>
      </c>
      <c r="C1576" t="str">
        <f>HYPERLINK("http://www.corstruth.com.au/WA/CSV/MNDD0002.csv","MNDD0002_CSV File 1m Bins")</f>
        <v>MNDD0002_CSV File 1m Bins</v>
      </c>
      <c r="D1576" t="s">
        <v>2081</v>
      </c>
      <c r="E1576" t="s">
        <v>1</v>
      </c>
      <c r="G1576" t="s">
        <v>110</v>
      </c>
      <c r="H1576" t="s">
        <v>2080</v>
      </c>
      <c r="I1576">
        <v>-28.334099999999999</v>
      </c>
      <c r="J1576">
        <v>118.38500000000001</v>
      </c>
      <c r="K1576" t="str">
        <f>HYPERLINK("http://geossdi.dmp.wa.gov.au/NVCLDataServices/mosaic.html?datasetid=6eeede46-d2b2-4f41-a78b-e62371f6012","MNDD0002_Core Image")</f>
        <v>MNDD0002_Core Image</v>
      </c>
    </row>
    <row r="1577" spans="1:11" x14ac:dyDescent="0.25">
      <c r="A1577" t="str">
        <f>HYPERLINK("http://www.corstruth.com.au/WA/MNDD0003_cs.png","MNDD0003_A4")</f>
        <v>MNDD0003_A4</v>
      </c>
      <c r="B1577" t="str">
        <f>HYPERLINK("http://www.corstruth.com.au/WA/PNG2/MNDD0003_cs.png","MNDD0003_0.25m Bins")</f>
        <v>MNDD0003_0.25m Bins</v>
      </c>
      <c r="C1577" t="str">
        <f>HYPERLINK("http://www.corstruth.com.au/WA/CSV/MNDD0003.csv","MNDD0003_CSV File 1m Bins")</f>
        <v>MNDD0003_CSV File 1m Bins</v>
      </c>
      <c r="D1577" t="s">
        <v>2082</v>
      </c>
      <c r="E1577" t="s">
        <v>1</v>
      </c>
      <c r="G1577" t="s">
        <v>110</v>
      </c>
      <c r="H1577" t="s">
        <v>2080</v>
      </c>
      <c r="I1577">
        <v>-28.3992</v>
      </c>
      <c r="J1577">
        <v>118.366</v>
      </c>
      <c r="K1577" t="str">
        <f>HYPERLINK("http://geossdi.dmp.wa.gov.au/NVCLDataServices/mosaic.html?datasetid=a96d3f1c-7273-46d8-90c3-290f3ffa78c","MNDD0003_Core Image")</f>
        <v>MNDD0003_Core Image</v>
      </c>
    </row>
    <row r="1578" spans="1:11" x14ac:dyDescent="0.25">
      <c r="A1578" t="str">
        <f>HYPERLINK("http://www.corstruth.com.au/WA/MNDD0004_cs.png","MNDD0004_A4")</f>
        <v>MNDD0004_A4</v>
      </c>
      <c r="B1578" t="str">
        <f>HYPERLINK("http://www.corstruth.com.au/WA/PNG2/MNDD0004_cs.png","MNDD0004_0.25m Bins")</f>
        <v>MNDD0004_0.25m Bins</v>
      </c>
      <c r="C1578" t="str">
        <f>HYPERLINK("http://www.corstruth.com.au/WA/CSV/MNDD0004.csv","MNDD0004_CSV File 1m Bins")</f>
        <v>MNDD0004_CSV File 1m Bins</v>
      </c>
      <c r="D1578" t="s">
        <v>2083</v>
      </c>
      <c r="E1578" t="s">
        <v>1</v>
      </c>
      <c r="G1578" t="s">
        <v>110</v>
      </c>
      <c r="H1578" t="s">
        <v>2080</v>
      </c>
      <c r="I1578">
        <v>-28.356000000000002</v>
      </c>
      <c r="J1578">
        <v>118.402</v>
      </c>
      <c r="K1578" t="str">
        <f>HYPERLINK("http://geossdi.dmp.wa.gov.au/NVCLDataServices/mosaic.html?datasetid=356519c1-51c7-4e3c-8a7d-b4568626b59","MNDD0004_Core Image")</f>
        <v>MNDD0004_Core Image</v>
      </c>
    </row>
    <row r="1579" spans="1:11" x14ac:dyDescent="0.25">
      <c r="A1579" t="str">
        <f>HYPERLINK("http://www.corstruth.com.au/WA/10CHD006_cs.png","10CHD006_A4")</f>
        <v>10CHD006_A4</v>
      </c>
      <c r="B1579" t="str">
        <f>HYPERLINK("http://www.corstruth.com.au/WA/PNG2/10CHD006_cs.png","10CHD006_0.25m Bins")</f>
        <v>10CHD006_0.25m Bins</v>
      </c>
      <c r="C1579" t="str">
        <f>HYPERLINK("http://www.corstruth.com.au/WA/CSV/10CHD006.csv","10CHD006_CSV File 1m Bins")</f>
        <v>10CHD006_CSV File 1m Bins</v>
      </c>
      <c r="D1579" t="s">
        <v>2084</v>
      </c>
      <c r="E1579" t="s">
        <v>1</v>
      </c>
      <c r="G1579" t="s">
        <v>110</v>
      </c>
      <c r="H1579" t="s">
        <v>2085</v>
      </c>
      <c r="I1579">
        <v>-26.971699999999998</v>
      </c>
      <c r="J1579">
        <v>118.69199999999999</v>
      </c>
      <c r="K1579" t="str">
        <f>HYPERLINK("http://geossdi.dmp.wa.gov.au/NVCLDataServices/mosaic.html?datasetid=dd4b7dc6-ded8-4cf2-99cd-c5654fe15b2","10CHD006_Core Image")</f>
        <v>10CHD006_Core Image</v>
      </c>
    </row>
    <row r="1580" spans="1:11" x14ac:dyDescent="0.25">
      <c r="A1580" t="str">
        <f>HYPERLINK("http://www.corstruth.com.au/WA/10CHRCD005_cs.png","10CHRCD005_A4")</f>
        <v>10CHRCD005_A4</v>
      </c>
      <c r="B1580" t="str">
        <f>HYPERLINK("http://www.corstruth.com.au/WA/PNG2/10CHRCD005_cs.png","10CHRCD005_0.25m Bins")</f>
        <v>10CHRCD005_0.25m Bins</v>
      </c>
      <c r="C1580" t="str">
        <f>HYPERLINK("http://www.corstruth.com.au/WA/CSV/10CHRCD005.csv","10CHRCD005_CSV File 1m Bins")</f>
        <v>10CHRCD005_CSV File 1m Bins</v>
      </c>
      <c r="D1580" t="s">
        <v>2086</v>
      </c>
      <c r="E1580" t="s">
        <v>1</v>
      </c>
      <c r="G1580" t="s">
        <v>110</v>
      </c>
      <c r="H1580" t="s">
        <v>2085</v>
      </c>
      <c r="I1580">
        <v>-26.971699999999998</v>
      </c>
      <c r="J1580">
        <v>118.696</v>
      </c>
      <c r="K1580" t="str">
        <f>HYPERLINK("http://geossdi.dmp.wa.gov.au/NVCLDataServices/mosaic.html?datasetid=d680763b-3133-4951-9bbc-21db27fa9fc","10CHRCD005_Core Image")</f>
        <v>10CHRCD005_Core Image</v>
      </c>
    </row>
    <row r="1581" spans="1:11" x14ac:dyDescent="0.25">
      <c r="A1581" t="str">
        <f>HYPERLINK("http://www.corstruth.com.au/WA/10LAD009_cs.png","10LAD009_A4")</f>
        <v>10LAD009_A4</v>
      </c>
      <c r="B1581" t="str">
        <f>HYPERLINK("http://www.corstruth.com.au/WA/PNG2/10LAD009_cs.png","10LAD009_0.25m Bins")</f>
        <v>10LAD009_0.25m Bins</v>
      </c>
      <c r="C1581" t="str">
        <f>HYPERLINK("http://www.corstruth.com.au/WA/CSV/10LAD009.csv","10LAD009_CSV File 1m Bins")</f>
        <v>10LAD009_CSV File 1m Bins</v>
      </c>
      <c r="D1581" t="s">
        <v>2087</v>
      </c>
      <c r="E1581" t="s">
        <v>1</v>
      </c>
      <c r="G1581" t="s">
        <v>110</v>
      </c>
      <c r="H1581" t="s">
        <v>2088</v>
      </c>
      <c r="I1581">
        <v>-26.96</v>
      </c>
      <c r="J1581">
        <v>118.68</v>
      </c>
      <c r="K1581" t="str">
        <f>HYPERLINK("http://geossdi.dmp.wa.gov.au/NVCLDataServices/mosaic.html?datasetid=c73693ee-c308-47b7-8925-268225d24d5","10LAD009_Core Image")</f>
        <v>10LAD009_Core Image</v>
      </c>
    </row>
    <row r="1582" spans="1:11" x14ac:dyDescent="0.25">
      <c r="A1582" t="str">
        <f>HYPERLINK("http://www.corstruth.com.au/WA/YGDD002_cs.png","YGDD002_A4")</f>
        <v>YGDD002_A4</v>
      </c>
      <c r="D1582" t="s">
        <v>59</v>
      </c>
      <c r="E1582" t="s">
        <v>1</v>
      </c>
      <c r="G1582" t="s">
        <v>110</v>
      </c>
      <c r="H1582" t="s">
        <v>2089</v>
      </c>
      <c r="I1582">
        <v>-28.4344</v>
      </c>
      <c r="J1582">
        <v>116.735</v>
      </c>
      <c r="K1582" t="str">
        <f>HYPERLINK("http://geossdi.dmp.wa.gov.au/NVCLDataServices/mosaic.html?datasetid=b15ebe30-6533-4f16-9cb7-1dd6207c734","YGDD002_Core Image")</f>
        <v>YGDD002_Core Image</v>
      </c>
    </row>
    <row r="1583" spans="1:11" x14ac:dyDescent="0.25">
      <c r="A1583" t="str">
        <f>HYPERLINK("http://www.corstruth.com.au/WA/YD09-03_cs.png","YD09-03_A4")</f>
        <v>YD09-03_A4</v>
      </c>
      <c r="B1583" t="str">
        <f>HYPERLINK("http://www.corstruth.com.au/WA/PNG2/YD09-03_cs.png","YD09-03_0.25m Bins")</f>
        <v>YD09-03_0.25m Bins</v>
      </c>
      <c r="C1583" t="str">
        <f>HYPERLINK("http://www.corstruth.com.au/WA/CSV/YD09-03.csv","YD09-03_CSV File 1m Bins")</f>
        <v>YD09-03_CSV File 1m Bins</v>
      </c>
      <c r="D1583" t="s">
        <v>2090</v>
      </c>
      <c r="E1583" t="s">
        <v>1</v>
      </c>
      <c r="G1583" t="s">
        <v>110</v>
      </c>
      <c r="H1583" t="s">
        <v>2091</v>
      </c>
      <c r="I1583">
        <v>-28.579699999999999</v>
      </c>
      <c r="J1583">
        <v>118.90300000000001</v>
      </c>
      <c r="K1583" t="str">
        <f>HYPERLINK("http://geossdi.dmp.wa.gov.au/NVCLDataServices/mosaic.html?datasetid=10565d41-bdbe-4253-9d25-acc47b2116d","YD09-03_Core Image")</f>
        <v>YD09-03_Core Image</v>
      </c>
    </row>
    <row r="1584" spans="1:11" x14ac:dyDescent="0.25">
      <c r="A1584" t="str">
        <f>HYPERLINK("http://www.corstruth.com.au/WA/YD10-01_cs.png","YD10-01_A4")</f>
        <v>YD10-01_A4</v>
      </c>
      <c r="B1584" t="str">
        <f>HYPERLINK("http://www.corstruth.com.au/WA/PNG2/YD10-01_cs.png","YD10-01_0.25m Bins")</f>
        <v>YD10-01_0.25m Bins</v>
      </c>
      <c r="C1584" t="str">
        <f>HYPERLINK("http://www.corstruth.com.au/WA/CSV/YD10-01.csv","YD10-01_CSV File 1m Bins")</f>
        <v>YD10-01_CSV File 1m Bins</v>
      </c>
      <c r="D1584" t="s">
        <v>2092</v>
      </c>
      <c r="E1584" t="s">
        <v>1</v>
      </c>
      <c r="G1584" t="s">
        <v>110</v>
      </c>
      <c r="H1584" t="s">
        <v>2091</v>
      </c>
      <c r="I1584">
        <v>-28.5791</v>
      </c>
      <c r="J1584">
        <v>118.92</v>
      </c>
      <c r="K1584" t="str">
        <f>HYPERLINK("http://geossdi.dmp.wa.gov.au/NVCLDataServices/mosaic.html?datasetid=2a782522-7d1e-4e48-9ce5-bd585853c05","YD10-01_Core Image")</f>
        <v>YD10-01_Core Image</v>
      </c>
    </row>
    <row r="1585" spans="1:11" x14ac:dyDescent="0.25">
      <c r="A1585" t="str">
        <f>HYPERLINK("http://www.corstruth.com.au/WA/YRC08-17D_cs.png","YRC08-17D_A4")</f>
        <v>YRC08-17D_A4</v>
      </c>
      <c r="B1585" t="str">
        <f>HYPERLINK("http://www.corstruth.com.au/WA/PNG2/YRC08-17D_cs.png","YRC08-17D_0.25m Bins")</f>
        <v>YRC08-17D_0.25m Bins</v>
      </c>
      <c r="C1585" t="str">
        <f>HYPERLINK("http://www.corstruth.com.au/WA/CSV/YRC08-17D.csv","YRC08-17D_CSV File 1m Bins")</f>
        <v>YRC08-17D_CSV File 1m Bins</v>
      </c>
      <c r="D1585" t="s">
        <v>2093</v>
      </c>
      <c r="E1585" t="s">
        <v>1</v>
      </c>
      <c r="G1585" t="s">
        <v>110</v>
      </c>
      <c r="H1585" t="s">
        <v>2091</v>
      </c>
      <c r="I1585">
        <v>-28.586400000000001</v>
      </c>
      <c r="J1585">
        <v>118.908</v>
      </c>
      <c r="K1585" t="str">
        <f>HYPERLINK("http://geossdi.dmp.wa.gov.au/NVCLDataServices/mosaic.html?datasetid=a3751821-2535-4cf3-9f93-ddd3c801071","YRC08-17D_Core Image")</f>
        <v>YRC08-17D_Core Image</v>
      </c>
    </row>
    <row r="1586" spans="1:11" x14ac:dyDescent="0.25">
      <c r="A1586" t="str">
        <f>HYPERLINK("http://www.corstruth.com.au/WA/YRC09-01D_cs.png","YRC09-01D_A4")</f>
        <v>YRC09-01D_A4</v>
      </c>
      <c r="B1586" t="str">
        <f>HYPERLINK("http://www.corstruth.com.au/WA/PNG2/YRC09-01D_cs.png","YRC09-01D_0.25m Bins")</f>
        <v>YRC09-01D_0.25m Bins</v>
      </c>
      <c r="C1586" t="str">
        <f>HYPERLINK("http://www.corstruth.com.au/WA/CSV/YRC09-01D.csv","YRC09-01D_CSV File 1m Bins")</f>
        <v>YRC09-01D_CSV File 1m Bins</v>
      </c>
      <c r="D1586" t="s">
        <v>2094</v>
      </c>
      <c r="E1586" t="s">
        <v>1</v>
      </c>
      <c r="G1586" t="s">
        <v>110</v>
      </c>
      <c r="H1586" t="s">
        <v>2091</v>
      </c>
      <c r="I1586">
        <v>-28.586400000000001</v>
      </c>
      <c r="J1586">
        <v>118.908</v>
      </c>
      <c r="K1586" t="str">
        <f>HYPERLINK("http://geossdi.dmp.wa.gov.au/NVCLDataServices/mosaic.html?datasetid=cfa2cdee-9fe0-4d52-bb5f-4daba443ea4","YRC09-01D_Core Image")</f>
        <v>YRC09-01D_Core Image</v>
      </c>
    </row>
    <row r="1587" spans="1:11" x14ac:dyDescent="0.25">
      <c r="A1587" t="str">
        <f>HYPERLINK("http://www.corstruth.com.au/WA/YRC10-13_cs.png","YRC10-13_A4")</f>
        <v>YRC10-13_A4</v>
      </c>
      <c r="B1587" t="str">
        <f>HYPERLINK("http://www.corstruth.com.au/WA/PNG2/YRC10-13_cs.png","YRC10-13_0.25m Bins")</f>
        <v>YRC10-13_0.25m Bins</v>
      </c>
      <c r="C1587" t="str">
        <f>HYPERLINK("http://www.corstruth.com.au/WA/CSV/YRC10-13.csv","YRC10-13_CSV File 1m Bins")</f>
        <v>YRC10-13_CSV File 1m Bins</v>
      </c>
      <c r="D1587" t="s">
        <v>2095</v>
      </c>
      <c r="E1587" t="s">
        <v>1</v>
      </c>
      <c r="G1587" t="s">
        <v>110</v>
      </c>
      <c r="H1587" t="s">
        <v>2091</v>
      </c>
      <c r="I1587">
        <v>-28.581600000000002</v>
      </c>
      <c r="J1587">
        <v>118.902</v>
      </c>
      <c r="K1587" t="str">
        <f>HYPERLINK("http://geossdi.dmp.wa.gov.au/NVCLDataServices/mosaic.html?datasetid=bbc806a8-cfb7-4136-bb04-5bc3d51ee02","YRC10-13_Core Image")</f>
        <v>YRC10-13_Core Image</v>
      </c>
    </row>
    <row r="1588" spans="1:11" x14ac:dyDescent="0.25">
      <c r="A1588" t="str">
        <f>HYPERLINK("http://www.corstruth.com.au/WA/LGDD_052_cs.png","LGDD_052_A4")</f>
        <v>LGDD_052_A4</v>
      </c>
      <c r="B1588" t="str">
        <f>HYPERLINK("http://www.corstruth.com.au/WA/PNG2/LGDD_052_cs.png","LGDD_052_0.25m Bins")</f>
        <v>LGDD_052_0.25m Bins</v>
      </c>
      <c r="C1588" t="str">
        <f>HYPERLINK("http://www.corstruth.com.au/WA/CSV/LGDD_052.csv","LGDD_052_CSV File 1m Bins")</f>
        <v>LGDD_052_CSV File 1m Bins</v>
      </c>
      <c r="D1588" t="s">
        <v>2096</v>
      </c>
      <c r="E1588" t="s">
        <v>1</v>
      </c>
      <c r="G1588" t="s">
        <v>167</v>
      </c>
      <c r="H1588" t="s">
        <v>2097</v>
      </c>
      <c r="I1588">
        <v>-30.025300000000001</v>
      </c>
      <c r="J1588">
        <v>119.98699999999999</v>
      </c>
      <c r="K1588" t="str">
        <f>HYPERLINK("http://geossdi.dmp.wa.gov.au/NVCLDataServices/mosaic.html?datasetid=c937a823-61c9-4acf-ac9b-3cb97e9c2a2","LGDD_052_Core Image")</f>
        <v>LGDD_052_Core Image</v>
      </c>
    </row>
    <row r="1589" spans="1:11" x14ac:dyDescent="0.25">
      <c r="A1589" t="str">
        <f>HYPERLINK("http://www.corstruth.com.au/WA/LGDD_054_cs.png","LGDD_054_A4")</f>
        <v>LGDD_054_A4</v>
      </c>
      <c r="B1589" t="str">
        <f>HYPERLINK("http://www.corstruth.com.au/WA/PNG2/LGDD_054_cs.png","LGDD_054_0.25m Bins")</f>
        <v>LGDD_054_0.25m Bins</v>
      </c>
      <c r="C1589" t="str">
        <f>HYPERLINK("http://www.corstruth.com.au/WA/CSV/LGDD_054.csv","LGDD_054_CSV File 1m Bins")</f>
        <v>LGDD_054_CSV File 1m Bins</v>
      </c>
      <c r="D1589" t="s">
        <v>2098</v>
      </c>
      <c r="E1589" t="s">
        <v>1</v>
      </c>
      <c r="G1589" t="s">
        <v>167</v>
      </c>
      <c r="H1589" t="s">
        <v>2097</v>
      </c>
      <c r="I1589">
        <v>-30.0245</v>
      </c>
      <c r="J1589">
        <v>119.98699999999999</v>
      </c>
      <c r="K1589" t="str">
        <f>HYPERLINK("http://geossdi.dmp.wa.gov.au/NVCLDataServices/mosaic.html?datasetid=1e676997-a5e5-4c9c-8eeb-ae3f9b87d14","LGDD_054_Core Image")</f>
        <v>LGDD_054_Core Image</v>
      </c>
    </row>
    <row r="1590" spans="1:11" x14ac:dyDescent="0.25">
      <c r="A1590" t="str">
        <f>HYPERLINK("http://www.corstruth.com.au/WA/CHRCD01_cs.png","CHRCD01_A4")</f>
        <v>CHRCD01_A4</v>
      </c>
      <c r="B1590" t="str">
        <f>HYPERLINK("http://www.corstruth.com.au/WA/PNG2/CHRCD01_cs.png","CHRCD01_0.25m Bins")</f>
        <v>CHRCD01_0.25m Bins</v>
      </c>
      <c r="C1590" t="str">
        <f>HYPERLINK("http://www.corstruth.com.au/WA/CSV/CHRCD01.csv","CHRCD01_CSV File 1m Bins")</f>
        <v>CHRCD01_CSV File 1m Bins</v>
      </c>
      <c r="D1590" t="s">
        <v>2099</v>
      </c>
      <c r="E1590" t="s">
        <v>1</v>
      </c>
      <c r="G1590" t="s">
        <v>167</v>
      </c>
      <c r="H1590" t="s">
        <v>2100</v>
      </c>
      <c r="I1590">
        <v>-30.9833</v>
      </c>
      <c r="J1590">
        <v>119.124</v>
      </c>
      <c r="K1590" t="str">
        <f>HYPERLINK("http://geossdi.dmp.wa.gov.au/NVCLDataServices/mosaic.html?datasetid=8c5bf5ad-c4a9-4566-b5c9-f859192732f","CHRCD01_Core Image")</f>
        <v>CHRCD01_Core Image</v>
      </c>
    </row>
    <row r="1591" spans="1:11" x14ac:dyDescent="0.25">
      <c r="A1591" t="str">
        <f>HYPERLINK("http://www.corstruth.com.au/WA/CHRCD02_cs.png","CHRCD02_A4")</f>
        <v>CHRCD02_A4</v>
      </c>
      <c r="B1591" t="str">
        <f>HYPERLINK("http://www.corstruth.com.au/WA/PNG2/CHRCD02_cs.png","CHRCD02_0.25m Bins")</f>
        <v>CHRCD02_0.25m Bins</v>
      </c>
      <c r="C1591" t="str">
        <f>HYPERLINK("http://www.corstruth.com.au/WA/CSV/CHRCD02.csv","CHRCD02_CSV File 1m Bins")</f>
        <v>CHRCD02_CSV File 1m Bins</v>
      </c>
      <c r="D1591" t="s">
        <v>2101</v>
      </c>
      <c r="E1591" t="s">
        <v>1</v>
      </c>
      <c r="G1591" t="s">
        <v>167</v>
      </c>
      <c r="H1591" t="s">
        <v>2100</v>
      </c>
      <c r="I1591">
        <v>-30.984300000000001</v>
      </c>
      <c r="J1591">
        <v>119.123</v>
      </c>
      <c r="K1591" t="str">
        <f>HYPERLINK("http://geossdi.dmp.wa.gov.au/NVCLDataServices/mosaic.html?datasetid=64311fca-240e-465f-bafc-e25cbda45b3","CHRCD02_Core Image")</f>
        <v>CHRCD02_Core Image</v>
      </c>
    </row>
    <row r="1592" spans="1:11" x14ac:dyDescent="0.25">
      <c r="A1592" t="str">
        <f>HYPERLINK("http://www.corstruth.com.au/WA/CHRCD03_cs.png","CHRCD03_A4")</f>
        <v>CHRCD03_A4</v>
      </c>
      <c r="B1592" t="str">
        <f>HYPERLINK("http://www.corstruth.com.au/WA/PNG2/CHRCD03_cs.png","CHRCD03_0.25m Bins")</f>
        <v>CHRCD03_0.25m Bins</v>
      </c>
      <c r="C1592" t="str">
        <f>HYPERLINK("http://www.corstruth.com.au/WA/CSV/CHRCD03.csv","CHRCD03_CSV File 1m Bins")</f>
        <v>CHRCD03_CSV File 1m Bins</v>
      </c>
      <c r="D1592" t="s">
        <v>2102</v>
      </c>
      <c r="E1592" t="s">
        <v>1</v>
      </c>
      <c r="G1592" t="s">
        <v>167</v>
      </c>
      <c r="H1592" t="s">
        <v>2100</v>
      </c>
      <c r="I1592">
        <v>-30.983000000000001</v>
      </c>
      <c r="J1592">
        <v>119.122</v>
      </c>
      <c r="K1592" t="str">
        <f>HYPERLINK("http://geossdi.dmp.wa.gov.au/NVCLDataServices/mosaic.html?datasetid=a05b9da4-fda4-417e-ad10-9b11fda498e","CHRCD03_Core Image")</f>
        <v>CHRCD03_Core Image</v>
      </c>
    </row>
    <row r="1593" spans="1:11" x14ac:dyDescent="0.25">
      <c r="A1593" t="str">
        <f>HYPERLINK("http://www.corstruth.com.au/WA/CHRCD04_cs.png","CHRCD04_A4")</f>
        <v>CHRCD04_A4</v>
      </c>
      <c r="B1593" t="str">
        <f>HYPERLINK("http://www.corstruth.com.au/WA/PNG2/CHRCD04_cs.png","CHRCD04_0.25m Bins")</f>
        <v>CHRCD04_0.25m Bins</v>
      </c>
      <c r="C1593" t="str">
        <f>HYPERLINK("http://www.corstruth.com.au/WA/CSV/CHRCD04.csv","CHRCD04_CSV File 1m Bins")</f>
        <v>CHRCD04_CSV File 1m Bins</v>
      </c>
      <c r="D1593" t="s">
        <v>2103</v>
      </c>
      <c r="E1593" t="s">
        <v>1</v>
      </c>
      <c r="G1593" t="s">
        <v>167</v>
      </c>
      <c r="H1593" t="s">
        <v>2100</v>
      </c>
      <c r="I1593">
        <v>-30.9788</v>
      </c>
      <c r="J1593">
        <v>119.125</v>
      </c>
      <c r="K1593" t="str">
        <f>HYPERLINK("http://geossdi.dmp.wa.gov.au/NVCLDataServices/mosaic.html?datasetid=6cc0748a-6d8d-4d06-abd3-ee18d99dffa","CHRCD04_Core Image")</f>
        <v>CHRCD04_Core Image</v>
      </c>
    </row>
    <row r="1594" spans="1:11" x14ac:dyDescent="0.25">
      <c r="A1594" t="str">
        <f>HYPERLINK("http://www.corstruth.com.au/WA/PLJD0001_cs.png","PLJD0001_A4")</f>
        <v>PLJD0001_A4</v>
      </c>
      <c r="B1594" t="str">
        <f>HYPERLINK("http://www.corstruth.com.au/WA/PNG2/PLJD0001_cs.png","PLJD0001_0.25m Bins")</f>
        <v>PLJD0001_0.25m Bins</v>
      </c>
      <c r="C1594" t="str">
        <f>HYPERLINK("http://www.corstruth.com.au/WA/CSV/PLJD0001.csv","PLJD0001_CSV File 1m Bins")</f>
        <v>PLJD0001_CSV File 1m Bins</v>
      </c>
      <c r="D1594" t="s">
        <v>2104</v>
      </c>
      <c r="E1594" t="s">
        <v>1</v>
      </c>
      <c r="G1594" t="s">
        <v>167</v>
      </c>
      <c r="H1594" t="s">
        <v>2105</v>
      </c>
      <c r="I1594">
        <v>-32.198599999999999</v>
      </c>
      <c r="J1594">
        <v>120.483</v>
      </c>
      <c r="K1594" t="str">
        <f>HYPERLINK("http://geossdi.dmp.wa.gov.au/NVCLDataServices/mosaic.html?datasetid=d585f2cc-c8c0-4b97-9545-e643fde3f06","PLJD0001_Core Image")</f>
        <v>PLJD0001_Core Image</v>
      </c>
    </row>
    <row r="1595" spans="1:11" x14ac:dyDescent="0.25">
      <c r="A1595" t="str">
        <f>HYPERLINK("http://www.corstruth.com.au/WA/PLJD0002_cs.png","PLJD0002_A4")</f>
        <v>PLJD0002_A4</v>
      </c>
      <c r="B1595" t="str">
        <f>HYPERLINK("http://www.corstruth.com.au/WA/PNG2/PLJD0002_cs.png","PLJD0002_0.25m Bins")</f>
        <v>PLJD0002_0.25m Bins</v>
      </c>
      <c r="C1595" t="str">
        <f>HYPERLINK("http://www.corstruth.com.au/WA/CSV/PLJD0002.csv","PLJD0002_CSV File 1m Bins")</f>
        <v>PLJD0002_CSV File 1m Bins</v>
      </c>
      <c r="D1595" t="s">
        <v>2106</v>
      </c>
      <c r="E1595" t="s">
        <v>1</v>
      </c>
      <c r="G1595" t="s">
        <v>167</v>
      </c>
      <c r="H1595" t="s">
        <v>2105</v>
      </c>
      <c r="I1595">
        <v>-32.198599999999999</v>
      </c>
      <c r="J1595">
        <v>120.483</v>
      </c>
      <c r="K1595" t="str">
        <f>HYPERLINK("http://geossdi.dmp.wa.gov.au/NVCLDataServices/mosaic.html?datasetid=84b7a502-1f97-4039-bd75-51f297d6b79","PLJD0002_Core Image")</f>
        <v>PLJD0002_Core Image</v>
      </c>
    </row>
    <row r="1596" spans="1:11" x14ac:dyDescent="0.25">
      <c r="A1596" t="str">
        <f>HYPERLINK("http://www.corstruth.com.au/WA/PLJD0003_cs.png","PLJD0003_A4")</f>
        <v>PLJD0003_A4</v>
      </c>
      <c r="B1596" t="str">
        <f>HYPERLINK("http://www.corstruth.com.au/WA/PNG2/PLJD0003_cs.png","PLJD0003_0.25m Bins")</f>
        <v>PLJD0003_0.25m Bins</v>
      </c>
      <c r="C1596" t="str">
        <f>HYPERLINK("http://www.corstruth.com.au/WA/CSV/PLJD0003.csv","PLJD0003_CSV File 1m Bins")</f>
        <v>PLJD0003_CSV File 1m Bins</v>
      </c>
      <c r="D1596" t="s">
        <v>2107</v>
      </c>
      <c r="E1596" t="s">
        <v>1</v>
      </c>
      <c r="G1596" t="s">
        <v>167</v>
      </c>
      <c r="H1596" t="s">
        <v>2105</v>
      </c>
      <c r="I1596">
        <v>-32.198599999999999</v>
      </c>
      <c r="J1596">
        <v>120.483</v>
      </c>
      <c r="K1596" t="str">
        <f>HYPERLINK("http://geossdi.dmp.wa.gov.au/NVCLDataServices/mosaic.html?datasetid=8c285683-b33e-46ef-8c49-4195c65c2e3","PLJD0003_Core Image")</f>
        <v>PLJD0003_Core Image</v>
      </c>
    </row>
    <row r="1597" spans="1:11" x14ac:dyDescent="0.25">
      <c r="A1597" t="str">
        <f>HYPERLINK("http://www.corstruth.com.au/WA/FMM397_cs.png","FMM397_A4")</f>
        <v>FMM397_A4</v>
      </c>
      <c r="B1597" t="str">
        <f>HYPERLINK("http://www.corstruth.com.au/WA/PNG2/FMM397_cs.png","FMM397_0.25m Bins")</f>
        <v>FMM397_0.25m Bins</v>
      </c>
      <c r="C1597" t="str">
        <f>HYPERLINK("http://www.corstruth.com.au/WA/CSV/FMM397.csv","FMM397_CSV File 1m Bins")</f>
        <v>FMM397_CSV File 1m Bins</v>
      </c>
      <c r="D1597" t="s">
        <v>2108</v>
      </c>
      <c r="E1597" t="s">
        <v>1</v>
      </c>
      <c r="G1597" t="s">
        <v>167</v>
      </c>
      <c r="H1597" t="s">
        <v>2109</v>
      </c>
      <c r="I1597">
        <v>-31.219200000000001</v>
      </c>
      <c r="J1597">
        <v>120.07299999999999</v>
      </c>
      <c r="K1597" t="str">
        <f>HYPERLINK("http://geossdi.dmp.wa.gov.au/NVCLDataServices/mosaic.html?datasetid=dd14bfb2-8e46-4103-9537-5cd1e1c08d1","FMM397_Core Image")</f>
        <v>FMM397_Core Image</v>
      </c>
    </row>
    <row r="1598" spans="1:11" x14ac:dyDescent="0.25">
      <c r="A1598" t="str">
        <f>HYPERLINK("http://www.corstruth.com.au/WA/GPD1464_cs.png","GPD1464_A4")</f>
        <v>GPD1464_A4</v>
      </c>
      <c r="B1598" t="str">
        <f>HYPERLINK("http://www.corstruth.com.au/WA/PNG2/GPD1464_cs.png","GPD1464_0.25m Bins")</f>
        <v>GPD1464_0.25m Bins</v>
      </c>
      <c r="C1598" t="str">
        <f>HYPERLINK("http://www.corstruth.com.au/WA/CSV/GPD1464.csv","GPD1464_CSV File 1m Bins")</f>
        <v>GPD1464_CSV File 1m Bins</v>
      </c>
      <c r="D1598" t="s">
        <v>2110</v>
      </c>
      <c r="E1598" t="s">
        <v>1</v>
      </c>
      <c r="G1598" t="s">
        <v>167</v>
      </c>
      <c r="H1598" t="s">
        <v>2111</v>
      </c>
      <c r="I1598">
        <v>-31.219100000000001</v>
      </c>
      <c r="J1598">
        <v>120.07299999999999</v>
      </c>
      <c r="K1598" t="str">
        <f>HYPERLINK("http://geossdi.dmp.wa.gov.au/NVCLDataServices/mosaic.html?datasetid=a6057d59-5e86-4529-88b3-355fd426b97","GPD1464_Core Image")</f>
        <v>GPD1464_Core Image</v>
      </c>
    </row>
    <row r="1599" spans="1:11" x14ac:dyDescent="0.25">
      <c r="A1599" t="str">
        <f>HYPERLINK("http://www.corstruth.com.au/WA/JPDD01_cs.png","JPDD01_A4")</f>
        <v>JPDD01_A4</v>
      </c>
      <c r="B1599" t="str">
        <f>HYPERLINK("http://www.corstruth.com.au/WA/PNG2/JPDD01_cs.png","JPDD01_0.25m Bins")</f>
        <v>JPDD01_0.25m Bins</v>
      </c>
      <c r="C1599" t="str">
        <f>HYPERLINK("http://www.corstruth.com.au/WA/CSV/JPDD01.csv","JPDD01_CSV File 1m Bins")</f>
        <v>JPDD01_CSV File 1m Bins</v>
      </c>
      <c r="D1599" t="s">
        <v>2112</v>
      </c>
      <c r="E1599" t="s">
        <v>1</v>
      </c>
      <c r="G1599" t="s">
        <v>167</v>
      </c>
      <c r="H1599" t="s">
        <v>2113</v>
      </c>
      <c r="I1599">
        <v>-31.279800000000002</v>
      </c>
      <c r="J1599">
        <v>119.327</v>
      </c>
      <c r="K1599" t="str">
        <f>HYPERLINK("http://geossdi.dmp.wa.gov.au/NVCLDataServices/mosaic.html?datasetid=170ece2b-74ec-4a37-b50f-b9e2c049cae","JPDD01_Core Image")</f>
        <v>JPDD01_Core Image</v>
      </c>
    </row>
    <row r="1600" spans="1:11" x14ac:dyDescent="0.25">
      <c r="A1600" t="str">
        <f>HYPERLINK("http://www.corstruth.com.au/WA/JPDD02_cs.png","JPDD02_A4")</f>
        <v>JPDD02_A4</v>
      </c>
      <c r="B1600" t="str">
        <f>HYPERLINK("http://www.corstruth.com.au/WA/PNG2/JPDD02_cs.png","JPDD02_0.25m Bins")</f>
        <v>JPDD02_0.25m Bins</v>
      </c>
      <c r="C1600" t="str">
        <f>HYPERLINK("http://www.corstruth.com.au/WA/CSV/JPDD02.csv","JPDD02_CSV File 1m Bins")</f>
        <v>JPDD02_CSV File 1m Bins</v>
      </c>
      <c r="D1600" t="s">
        <v>2114</v>
      </c>
      <c r="E1600" t="s">
        <v>1</v>
      </c>
      <c r="G1600" t="s">
        <v>167</v>
      </c>
      <c r="H1600" t="s">
        <v>2113</v>
      </c>
      <c r="I1600">
        <v>-31.282800000000002</v>
      </c>
      <c r="J1600">
        <v>119.328</v>
      </c>
      <c r="K1600" t="str">
        <f>HYPERLINK("http://geossdi.dmp.wa.gov.au/NVCLDataServices/mosaic.html?datasetid=db21feac-fd98-4fba-b1c5-3a48adb8b4b","JPDD02_Core Image")</f>
        <v>JPDD02_Core Image</v>
      </c>
    </row>
    <row r="1601" spans="1:11" x14ac:dyDescent="0.25">
      <c r="A1601" t="str">
        <f>HYPERLINK("http://www.corstruth.com.au/WA/LPDD001_cs.png","LPDD001_A4")</f>
        <v>LPDD001_A4</v>
      </c>
      <c r="B1601" t="str">
        <f>HYPERLINK("http://www.corstruth.com.au/WA/PNG2/LPDD001_cs.png","LPDD001_0.25m Bins")</f>
        <v>LPDD001_0.25m Bins</v>
      </c>
      <c r="C1601" t="str">
        <f>HYPERLINK("http://www.corstruth.com.au/WA/CSV/LPDD001.csv","LPDD001_CSV File 1m Bins")</f>
        <v>LPDD001_CSV File 1m Bins</v>
      </c>
      <c r="D1601" t="s">
        <v>2115</v>
      </c>
      <c r="E1601" t="s">
        <v>1</v>
      </c>
      <c r="G1601" t="s">
        <v>167</v>
      </c>
      <c r="H1601" t="s">
        <v>2116</v>
      </c>
      <c r="I1601">
        <v>-31.9527</v>
      </c>
      <c r="J1601">
        <v>120.428</v>
      </c>
      <c r="K1601" t="str">
        <f>HYPERLINK("http://geossdi.dmp.wa.gov.au/NVCLDataServices/mosaic.html?datasetid=11063af6-c579-4be7-9dc5-b1fb4c2dd71","LPDD001_Core Image")</f>
        <v>LPDD001_Core Image</v>
      </c>
    </row>
    <row r="1602" spans="1:11" x14ac:dyDescent="0.25">
      <c r="A1602" t="str">
        <f>HYPERLINK("http://www.corstruth.com.au/WA/LPDD002_cs.png","LPDD002_A4")</f>
        <v>LPDD002_A4</v>
      </c>
      <c r="B1602" t="str">
        <f>HYPERLINK("http://www.corstruth.com.au/WA/PNG2/LPDD002_cs.png","LPDD002_0.25m Bins")</f>
        <v>LPDD002_0.25m Bins</v>
      </c>
      <c r="C1602" t="str">
        <f>HYPERLINK("http://www.corstruth.com.au/WA/CSV/LPDD002.csv","LPDD002_CSV File 1m Bins")</f>
        <v>LPDD002_CSV File 1m Bins</v>
      </c>
      <c r="D1602" t="s">
        <v>2117</v>
      </c>
      <c r="E1602" t="s">
        <v>1</v>
      </c>
      <c r="G1602" t="s">
        <v>167</v>
      </c>
      <c r="H1602" t="s">
        <v>2116</v>
      </c>
      <c r="I1602">
        <v>-31.935400000000001</v>
      </c>
      <c r="J1602">
        <v>120.40900000000001</v>
      </c>
      <c r="K1602" t="str">
        <f>HYPERLINK("http://geossdi.dmp.wa.gov.au/NVCLDataServices/mosaic.html?datasetid=a2ce057d-28da-4fb4-b6e7-86cbeb15386","LPDD002_Core Image")</f>
        <v>LPDD002_Core Image</v>
      </c>
    </row>
    <row r="1603" spans="1:11" x14ac:dyDescent="0.25">
      <c r="A1603" t="str">
        <f>HYPERLINK("http://www.corstruth.com.au/WA/LPDD003_cs.png","LPDD003_A4")</f>
        <v>LPDD003_A4</v>
      </c>
      <c r="B1603" t="str">
        <f>HYPERLINK("http://www.corstruth.com.au/WA/PNG2/LPDD003_cs.png","LPDD003_0.25m Bins")</f>
        <v>LPDD003_0.25m Bins</v>
      </c>
      <c r="C1603" t="str">
        <f>HYPERLINK("http://www.corstruth.com.au/WA/CSV/LPDD003.csv","LPDD003_CSV File 1m Bins")</f>
        <v>LPDD003_CSV File 1m Bins</v>
      </c>
      <c r="D1603" t="s">
        <v>2118</v>
      </c>
      <c r="E1603" t="s">
        <v>1</v>
      </c>
      <c r="G1603" t="s">
        <v>167</v>
      </c>
      <c r="H1603" t="s">
        <v>2116</v>
      </c>
      <c r="I1603">
        <v>-31.9057</v>
      </c>
      <c r="J1603">
        <v>120.38</v>
      </c>
      <c r="K1603" t="str">
        <f>HYPERLINK("http://geossdi.dmp.wa.gov.au/NVCLDataServices/mosaic.html?datasetid=605bb400-8703-468b-8fc7-ddd9a2fa886","LPDD003_Core Image")</f>
        <v>LPDD003_Core Image</v>
      </c>
    </row>
    <row r="1604" spans="1:11" x14ac:dyDescent="0.25">
      <c r="A1604" t="str">
        <f>HYPERLINK("http://www.corstruth.com.au/WA/WADD0013_cs.png","WADD0013_A4")</f>
        <v>WADD0013_A4</v>
      </c>
      <c r="B1604" t="str">
        <f>HYPERLINK("http://www.corstruth.com.au/WA/PNG2/WADD0013_cs.png","WADD0013_0.25m Bins")</f>
        <v>WADD0013_0.25m Bins</v>
      </c>
      <c r="C1604" t="str">
        <f>HYPERLINK("http://www.corstruth.com.au/WA/CSV/WADD0013.csv","WADD0013_CSV File 1m Bins")</f>
        <v>WADD0013_CSV File 1m Bins</v>
      </c>
      <c r="D1604" t="s">
        <v>2119</v>
      </c>
      <c r="E1604" t="s">
        <v>1</v>
      </c>
      <c r="G1604" t="s">
        <v>167</v>
      </c>
      <c r="H1604" t="s">
        <v>2120</v>
      </c>
      <c r="I1604">
        <v>-28.061800000000002</v>
      </c>
      <c r="J1604">
        <v>119.322</v>
      </c>
      <c r="K1604" t="str">
        <f>HYPERLINK("http://geossdi.dmp.wa.gov.au/NVCLDataServices/mosaic.html?datasetid=03795c7e-3db8-42d5-bb07-66b8a573e3e","WADD0013_Core Image")</f>
        <v>WADD0013_Core Image</v>
      </c>
    </row>
    <row r="1605" spans="1:11" x14ac:dyDescent="0.25">
      <c r="A1605" t="str">
        <f>HYPERLINK("http://www.corstruth.com.au/WA/FLRD052_cs.png","FLRD052_A4")</f>
        <v>FLRD052_A4</v>
      </c>
      <c r="B1605" t="str">
        <f>HYPERLINK("http://www.corstruth.com.au/WA/PNG2/FLRD052_cs.png","FLRD052_0.25m Bins")</f>
        <v>FLRD052_0.25m Bins</v>
      </c>
      <c r="C1605" t="str">
        <f>HYPERLINK("http://www.corstruth.com.au/WA/CSV/FLRD052.csv","FLRD052_CSV File 1m Bins")</f>
        <v>FLRD052_CSV File 1m Bins</v>
      </c>
      <c r="D1605" t="s">
        <v>59</v>
      </c>
      <c r="E1605" t="s">
        <v>1</v>
      </c>
      <c r="G1605" t="s">
        <v>167</v>
      </c>
      <c r="H1605" t="s">
        <v>2121</v>
      </c>
      <c r="I1605">
        <v>-30.754799999999999</v>
      </c>
      <c r="J1605">
        <v>121.265</v>
      </c>
      <c r="K1605" t="str">
        <f>HYPERLINK("http://geossdi.dmp.wa.gov.au/NVCLDataServices/mosaic.html?datasetid=6e3c5966-3677-4bfd-ac92-c5f56ef35d0","FLRD052_Core Image")</f>
        <v>FLRD052_Core Image</v>
      </c>
    </row>
    <row r="1606" spans="1:11" x14ac:dyDescent="0.25">
      <c r="A1606" t="str">
        <f>HYPERLINK("http://www.corstruth.com.au/WA/NVCD0102_cs.png","NVCD0102_A4")</f>
        <v>NVCD0102_A4</v>
      </c>
      <c r="B1606" t="str">
        <f>HYPERLINK("http://www.corstruth.com.au/WA/PNG2/NVCD0102_cs.png","NVCD0102_0.25m Bins")</f>
        <v>NVCD0102_0.25m Bins</v>
      </c>
      <c r="C1606" t="str">
        <f>HYPERLINK("http://www.corstruth.com.au/WA/CSV/NVCD0102.csv","NVCD0102_CSV File 1m Bins")</f>
        <v>NVCD0102_CSV File 1m Bins</v>
      </c>
      <c r="D1606" t="s">
        <v>59</v>
      </c>
      <c r="E1606" t="s">
        <v>1</v>
      </c>
      <c r="G1606" t="s">
        <v>167</v>
      </c>
      <c r="H1606" t="s">
        <v>2121</v>
      </c>
      <c r="I1606">
        <v>-31.5077</v>
      </c>
      <c r="J1606">
        <v>119.58199999999999</v>
      </c>
      <c r="K1606" t="str">
        <f>HYPERLINK("http://geossdi.dmp.wa.gov.au/NVCLDataServices/mosaic.html?datasetid=587326b6-a738-47ed-9335-22dcac58a67","NVCD0102_Core Image")</f>
        <v>NVCD0102_Core Image</v>
      </c>
    </row>
    <row r="1607" spans="1:11" x14ac:dyDescent="0.25">
      <c r="A1607" t="str">
        <f>HYPERLINK("http://www.corstruth.com.au/WA/UNRD331_cs.png","UNRD331_A4")</f>
        <v>UNRD331_A4</v>
      </c>
      <c r="B1607" t="str">
        <f>HYPERLINK("http://www.corstruth.com.au/WA/PNG2/UNRD331_cs.png","UNRD331_0.25m Bins")</f>
        <v>UNRD331_0.25m Bins</v>
      </c>
      <c r="C1607" t="str">
        <f>HYPERLINK("http://www.corstruth.com.au/WA/CSV/UNRD331.csv","UNRD331_CSV File 1m Bins")</f>
        <v>UNRD331_CSV File 1m Bins</v>
      </c>
      <c r="D1607" t="s">
        <v>59</v>
      </c>
      <c r="E1607" t="s">
        <v>1</v>
      </c>
      <c r="G1607" t="s">
        <v>167</v>
      </c>
      <c r="H1607" t="s">
        <v>2121</v>
      </c>
      <c r="I1607">
        <v>-31.461500000000001</v>
      </c>
      <c r="J1607">
        <v>119.49299999999999</v>
      </c>
      <c r="K1607" t="str">
        <f>HYPERLINK("http://geossdi.dmp.wa.gov.au/NVCLDataServices/mosaic.html?datasetid=2591405c-a7f9-4b52-969b-c9840f473a8","UNRD331_Core Image")</f>
        <v>UNRD331_Core Image</v>
      </c>
    </row>
    <row r="1608" spans="1:11" x14ac:dyDescent="0.25">
      <c r="A1608" t="str">
        <f>HYPERLINK("http://www.corstruth.com.au/WA/RMSD18_cs.png","RMSD18_A4")</f>
        <v>RMSD18_A4</v>
      </c>
      <c r="B1608" t="str">
        <f>HYPERLINK("http://www.corstruth.com.au/WA/PNG2/RMSD18_cs.png","RMSD18_0.25m Bins")</f>
        <v>RMSD18_0.25m Bins</v>
      </c>
      <c r="C1608" t="str">
        <f>HYPERLINK("http://www.corstruth.com.au/WA/CSV/RMSD18.csv","RMSD18_CSV File 1m Bins")</f>
        <v>RMSD18_CSV File 1m Bins</v>
      </c>
      <c r="D1608" t="s">
        <v>2122</v>
      </c>
      <c r="E1608" t="s">
        <v>1</v>
      </c>
      <c r="G1608" t="s">
        <v>167</v>
      </c>
      <c r="H1608" t="s">
        <v>2123</v>
      </c>
      <c r="I1608">
        <v>-33.328800000000001</v>
      </c>
      <c r="J1608">
        <v>119.95699999999999</v>
      </c>
      <c r="K1608" t="str">
        <f>HYPERLINK("http://geossdi.dmp.wa.gov.au/NVCLDataServices/mosaic.html?datasetid=c9323769-35e7-4cea-b902-2057840072c","RMSD18_Core Image")</f>
        <v>RMSD18_Core Image</v>
      </c>
    </row>
    <row r="1609" spans="1:11" x14ac:dyDescent="0.25">
      <c r="A1609" t="str">
        <f>HYPERLINK("http://www.corstruth.com.au/WA/RMSD20_cs.png","RMSD20_A4")</f>
        <v>RMSD20_A4</v>
      </c>
      <c r="B1609" t="str">
        <f>HYPERLINK("http://www.corstruth.com.au/WA/PNG2/RMSD20_cs.png","RMSD20_0.25m Bins")</f>
        <v>RMSD20_0.25m Bins</v>
      </c>
      <c r="C1609" t="str">
        <f>HYPERLINK("http://www.corstruth.com.au/WA/CSV/RMSD20.csv","RMSD20_CSV File 1m Bins")</f>
        <v>RMSD20_CSV File 1m Bins</v>
      </c>
      <c r="D1609" t="s">
        <v>2124</v>
      </c>
      <c r="E1609" t="s">
        <v>1</v>
      </c>
      <c r="G1609" t="s">
        <v>167</v>
      </c>
      <c r="H1609" t="s">
        <v>2123</v>
      </c>
      <c r="I1609">
        <v>-33.308799999999998</v>
      </c>
      <c r="J1609">
        <v>119.943</v>
      </c>
      <c r="K1609" t="str">
        <f>HYPERLINK("http://geossdi.dmp.wa.gov.au/NVCLDataServices/mosaic.html?datasetid=53630d38-4a68-40ba-b92e-75e404d1ce1","RMSD20_Core Image")</f>
        <v>RMSD20_Core Image</v>
      </c>
    </row>
    <row r="1610" spans="1:11" x14ac:dyDescent="0.25">
      <c r="A1610" t="str">
        <f>HYPERLINK("http://www.corstruth.com.au/WA/RMSD21_cs.png","RMSD21_A4")</f>
        <v>RMSD21_A4</v>
      </c>
      <c r="B1610" t="str">
        <f>HYPERLINK("http://www.corstruth.com.au/WA/PNG2/RMSD21_cs.png","RMSD21_0.25m Bins")</f>
        <v>RMSD21_0.25m Bins</v>
      </c>
      <c r="C1610" t="str">
        <f>HYPERLINK("http://www.corstruth.com.au/WA/CSV/RMSD21.csv","RMSD21_CSV File 1m Bins")</f>
        <v>RMSD21_CSV File 1m Bins</v>
      </c>
      <c r="D1610" t="s">
        <v>2125</v>
      </c>
      <c r="E1610" t="s">
        <v>1</v>
      </c>
      <c r="G1610" t="s">
        <v>167</v>
      </c>
      <c r="H1610" t="s">
        <v>2123</v>
      </c>
      <c r="I1610">
        <v>-33.315600000000003</v>
      </c>
      <c r="J1610">
        <v>119.946</v>
      </c>
      <c r="K1610" t="str">
        <f>HYPERLINK("http://geossdi.dmp.wa.gov.au/NVCLDataServices/mosaic.html?datasetid=82deed0e-7be9-43dd-9f83-832fdc9322c","RMSD21_Core Image")</f>
        <v>RMSD21_Core Image</v>
      </c>
    </row>
    <row r="1611" spans="1:11" x14ac:dyDescent="0.25">
      <c r="A1611" t="str">
        <f>HYPERLINK("http://www.corstruth.com.au/WA/GDD009_cs.png","GDD009_A4")</f>
        <v>GDD009_A4</v>
      </c>
      <c r="B1611" t="str">
        <f>HYPERLINK("http://www.corstruth.com.au/WA/PNG2/GDD009_cs.png","GDD009_0.25m Bins")</f>
        <v>GDD009_0.25m Bins</v>
      </c>
      <c r="C1611" t="str">
        <f>HYPERLINK("http://www.corstruth.com.au/WA/CSV/GDD009.csv","GDD009_CSV File 1m Bins")</f>
        <v>GDD009_CSV File 1m Bins</v>
      </c>
      <c r="D1611" t="s">
        <v>2126</v>
      </c>
      <c r="E1611" t="s">
        <v>1</v>
      </c>
      <c r="G1611" t="s">
        <v>167</v>
      </c>
      <c r="H1611" t="s">
        <v>2127</v>
      </c>
      <c r="I1611">
        <v>-30.627199999999998</v>
      </c>
      <c r="J1611">
        <v>120.069</v>
      </c>
      <c r="K1611" t="str">
        <f>HYPERLINK("http://geossdi.dmp.wa.gov.au/NVCLDataServices/mosaic.html?datasetid=f370ad24-f78f-4750-9f21-61f72426397","GDD009_Core Image")</f>
        <v>GDD009_Core Image</v>
      </c>
    </row>
    <row r="1612" spans="1:11" x14ac:dyDescent="0.25">
      <c r="A1612" t="str">
        <f>HYPERLINK("http://www.corstruth.com.au/WA/GDD007_cs.png","GDD007_A4")</f>
        <v>GDD007_A4</v>
      </c>
      <c r="B1612" t="str">
        <f>HYPERLINK("http://www.corstruth.com.au/WA/PNG2/GDD007_cs.png","GDD007_0.25m Bins")</f>
        <v>GDD007_0.25m Bins</v>
      </c>
      <c r="C1612" t="str">
        <f>HYPERLINK("http://www.corstruth.com.au/WA/CSV/GDD007.csv","GDD007_CSV File 1m Bins")</f>
        <v>GDD007_CSV File 1m Bins</v>
      </c>
      <c r="D1612" t="s">
        <v>2128</v>
      </c>
      <c r="E1612" t="s">
        <v>1</v>
      </c>
      <c r="G1612" t="s">
        <v>167</v>
      </c>
      <c r="H1612" t="s">
        <v>2129</v>
      </c>
      <c r="I1612">
        <v>-30.6099</v>
      </c>
      <c r="J1612">
        <v>120.059</v>
      </c>
      <c r="K1612" t="str">
        <f>HYPERLINK("http://geossdi.dmp.wa.gov.au/NVCLDataServices/mosaic.html?datasetid=36433ba3-58a3-4ab4-b848-5a44061ed75","GDD007_Core Image")</f>
        <v>GDD007_Core Image</v>
      </c>
    </row>
    <row r="1613" spans="1:11" x14ac:dyDescent="0.25">
      <c r="A1613" t="str">
        <f>HYPERLINK("http://www.corstruth.com.au/WA/GDD008_cs.png","GDD008_A4")</f>
        <v>GDD008_A4</v>
      </c>
      <c r="B1613" t="str">
        <f>HYPERLINK("http://www.corstruth.com.au/WA/PNG2/GDD008_cs.png","GDD008_0.25m Bins")</f>
        <v>GDD008_0.25m Bins</v>
      </c>
      <c r="C1613" t="str">
        <f>HYPERLINK("http://www.corstruth.com.au/WA/CSV/GDD008.csv","GDD008_CSV File 1m Bins")</f>
        <v>GDD008_CSV File 1m Bins</v>
      </c>
      <c r="D1613" t="s">
        <v>2130</v>
      </c>
      <c r="E1613" t="s">
        <v>1</v>
      </c>
      <c r="G1613" t="s">
        <v>167</v>
      </c>
      <c r="H1613" t="s">
        <v>2129</v>
      </c>
      <c r="I1613">
        <v>-30.606300000000001</v>
      </c>
      <c r="J1613">
        <v>120.062</v>
      </c>
      <c r="K1613" t="str">
        <f>HYPERLINK("http://geossdi.dmp.wa.gov.au/NVCLDataServices/mosaic.html?datasetid=6cec4771-148f-4bd5-b804-81c8f44ee84","GDD008_Core Image")</f>
        <v>GDD008_Core Image</v>
      </c>
    </row>
    <row r="1614" spans="1:11" x14ac:dyDescent="0.25">
      <c r="A1614" t="str">
        <f>HYPERLINK("http://www.corstruth.com.au/WA/GDD005_cs.png","GDD005_A4")</f>
        <v>GDD005_A4</v>
      </c>
      <c r="B1614" t="str">
        <f>HYPERLINK("http://www.corstruth.com.au/WA/PNG2/GDD005_cs.png","GDD005_0.25m Bins")</f>
        <v>GDD005_0.25m Bins</v>
      </c>
      <c r="C1614" t="str">
        <f>HYPERLINK("http://www.corstruth.com.au/WA/CSV/GDD005.csv","GDD005_CSV File 1m Bins")</f>
        <v>GDD005_CSV File 1m Bins</v>
      </c>
      <c r="D1614" t="s">
        <v>2131</v>
      </c>
      <c r="E1614" t="s">
        <v>1</v>
      </c>
      <c r="G1614" t="s">
        <v>167</v>
      </c>
      <c r="H1614" t="s">
        <v>2132</v>
      </c>
      <c r="I1614">
        <v>-30.625299999999999</v>
      </c>
      <c r="J1614">
        <v>120.066</v>
      </c>
      <c r="K1614" t="str">
        <f>HYPERLINK("http://geossdi.dmp.wa.gov.au/NVCLDataServices/mosaic.html?datasetid=dee23cd3-c41a-4115-a6d9-b63709000d0","GDD005_Core Image")</f>
        <v>GDD005_Core Image</v>
      </c>
    </row>
    <row r="1615" spans="1:11" x14ac:dyDescent="0.25">
      <c r="A1615" t="str">
        <f>HYPERLINK("http://www.corstruth.com.au/WA/GDD006_cs.png","GDD006_A4")</f>
        <v>GDD006_A4</v>
      </c>
      <c r="B1615" t="str">
        <f>HYPERLINK("http://www.corstruth.com.au/WA/PNG2/GDD006_cs.png","GDD006_0.25m Bins")</f>
        <v>GDD006_0.25m Bins</v>
      </c>
      <c r="C1615" t="str">
        <f>HYPERLINK("http://www.corstruth.com.au/WA/CSV/GDD006.csv","GDD006_CSV File 1m Bins")</f>
        <v>GDD006_CSV File 1m Bins</v>
      </c>
      <c r="D1615" t="s">
        <v>2133</v>
      </c>
      <c r="E1615" t="s">
        <v>1</v>
      </c>
      <c r="G1615" t="s">
        <v>167</v>
      </c>
      <c r="H1615" t="s">
        <v>2132</v>
      </c>
      <c r="I1615">
        <v>-30.619800000000001</v>
      </c>
      <c r="J1615">
        <v>120.062</v>
      </c>
      <c r="K1615" t="str">
        <f>HYPERLINK("http://geossdi.dmp.wa.gov.au/NVCLDataServices/mosaic.html?datasetid=f37637de-9df9-477b-985c-7b88a309c38","GDD006_Core Image")</f>
        <v>GDD006_Core Image</v>
      </c>
    </row>
    <row r="1616" spans="1:11" x14ac:dyDescent="0.25">
      <c r="A1616" t="str">
        <f>HYPERLINK("http://www.corstruth.com.au/WA/MPWD10_cs.png","MPWD10_A4")</f>
        <v>MPWD10_A4</v>
      </c>
      <c r="B1616" t="str">
        <f>HYPERLINK("http://www.corstruth.com.au/WA/PNG2/MPWD10_cs.png","MPWD10_0.25m Bins")</f>
        <v>MPWD10_0.25m Bins</v>
      </c>
      <c r="C1616" t="str">
        <f>HYPERLINK("http://www.corstruth.com.au/WA/CSV/MPWD10.csv","MPWD10_CSV File 1m Bins")</f>
        <v>MPWD10_CSV File 1m Bins</v>
      </c>
      <c r="D1616" t="s">
        <v>2134</v>
      </c>
      <c r="E1616" t="s">
        <v>1</v>
      </c>
      <c r="G1616" t="s">
        <v>167</v>
      </c>
      <c r="H1616" t="s">
        <v>2135</v>
      </c>
      <c r="I1616">
        <v>-28.5063</v>
      </c>
      <c r="J1616">
        <v>118.991</v>
      </c>
      <c r="K1616" t="str">
        <f>HYPERLINK("http://geossdi.dmp.wa.gov.au/NVCLDataServices/mosaic.html?datasetid=c7c93e3d-3c47-4c41-b481-b17fd25cdb1","MPWD10_Core Image")</f>
        <v>MPWD10_Core Image</v>
      </c>
    </row>
    <row r="1617" spans="1:11" x14ac:dyDescent="0.25">
      <c r="A1617" t="str">
        <f>HYPERLINK("http://www.corstruth.com.au/WA/MPWD11_cs.png","MPWD11_A4")</f>
        <v>MPWD11_A4</v>
      </c>
      <c r="B1617" t="str">
        <f>HYPERLINK("http://www.corstruth.com.au/WA/PNG2/MPWD11_cs.png","MPWD11_0.25m Bins")</f>
        <v>MPWD11_0.25m Bins</v>
      </c>
      <c r="C1617" t="str">
        <f>HYPERLINK("http://www.corstruth.com.au/WA/CSV/MPWD11.csv","MPWD11_CSV File 1m Bins")</f>
        <v>MPWD11_CSV File 1m Bins</v>
      </c>
      <c r="D1617" t="s">
        <v>2136</v>
      </c>
      <c r="E1617" t="s">
        <v>1</v>
      </c>
      <c r="G1617" t="s">
        <v>167</v>
      </c>
      <c r="H1617" t="s">
        <v>2135</v>
      </c>
      <c r="I1617">
        <v>-28.506499999999999</v>
      </c>
      <c r="J1617">
        <v>118.992</v>
      </c>
      <c r="K1617" t="str">
        <f>HYPERLINK("http://geossdi.dmp.wa.gov.au/NVCLDataServices/mosaic.html?datasetid=0923cd88-d283-4ca7-b609-ad07ef68da2","MPWD11_Core Image")</f>
        <v>MPWD11_Core Image</v>
      </c>
    </row>
    <row r="1618" spans="1:11" x14ac:dyDescent="0.25">
      <c r="A1618" t="str">
        <f>HYPERLINK("http://www.corstruth.com.au/WA/MPWD12_cs.png","MPWD12_A4")</f>
        <v>MPWD12_A4</v>
      </c>
      <c r="B1618" t="str">
        <f>HYPERLINK("http://www.corstruth.com.au/WA/PNG2/MPWD12_cs.png","MPWD12_0.25m Bins")</f>
        <v>MPWD12_0.25m Bins</v>
      </c>
      <c r="C1618" t="str">
        <f>HYPERLINK("http://www.corstruth.com.au/WA/CSV/MPWD12.csv","MPWD12_CSV File 1m Bins")</f>
        <v>MPWD12_CSV File 1m Bins</v>
      </c>
      <c r="D1618" t="s">
        <v>2137</v>
      </c>
      <c r="E1618" t="s">
        <v>1</v>
      </c>
      <c r="G1618" t="s">
        <v>167</v>
      </c>
      <c r="H1618" t="s">
        <v>2135</v>
      </c>
      <c r="I1618">
        <v>-28.506499999999999</v>
      </c>
      <c r="J1618">
        <v>118.99299999999999</v>
      </c>
      <c r="K1618" t="str">
        <f>HYPERLINK("http://geossdi.dmp.wa.gov.au/NVCLDataServices/mosaic.html?datasetid=86104406-3d72-48ff-b22e-aced73c1590","MPWD12_Core Image")</f>
        <v>MPWD12_Core Image</v>
      </c>
    </row>
    <row r="1619" spans="1:11" x14ac:dyDescent="0.25">
      <c r="A1619" t="str">
        <f>HYPERLINK("http://www.corstruth.com.au/WA/MPWD3_cs.png","MPWD3_A4")</f>
        <v>MPWD3_A4</v>
      </c>
      <c r="B1619" t="str">
        <f>HYPERLINK("http://www.corstruth.com.au/WA/PNG2/MPWD3_cs.png","MPWD3_0.25m Bins")</f>
        <v>MPWD3_0.25m Bins</v>
      </c>
      <c r="C1619" t="str">
        <f>HYPERLINK("http://www.corstruth.com.au/WA/CSV/MPWD3.csv","MPWD3_CSV File 1m Bins")</f>
        <v>MPWD3_CSV File 1m Bins</v>
      </c>
      <c r="D1619" t="s">
        <v>2138</v>
      </c>
      <c r="E1619" t="s">
        <v>1</v>
      </c>
      <c r="G1619" t="s">
        <v>167</v>
      </c>
      <c r="H1619" t="s">
        <v>2135</v>
      </c>
      <c r="I1619">
        <v>-28.5061</v>
      </c>
      <c r="J1619">
        <v>118.992</v>
      </c>
      <c r="K1619" t="str">
        <f>HYPERLINK("http://geossdi.dmp.wa.gov.au/NVCLDataServices/mosaic.html?datasetid=a70a6376-74a6-47c8-86c9-55e99064e00","MPWD3_Core Image")</f>
        <v>MPWD3_Core Image</v>
      </c>
    </row>
    <row r="1620" spans="1:11" x14ac:dyDescent="0.25">
      <c r="A1620" t="str">
        <f>HYPERLINK("http://www.corstruth.com.au/WA/MPWD6_cs.png","MPWD6_A4")</f>
        <v>MPWD6_A4</v>
      </c>
      <c r="B1620" t="str">
        <f>HYPERLINK("http://www.corstruth.com.au/WA/PNG2/MPWD6_cs.png","MPWD6_0.25m Bins")</f>
        <v>MPWD6_0.25m Bins</v>
      </c>
      <c r="C1620" t="str">
        <f>HYPERLINK("http://www.corstruth.com.au/WA/CSV/MPWD6.csv","MPWD6_CSV File 1m Bins")</f>
        <v>MPWD6_CSV File 1m Bins</v>
      </c>
      <c r="D1620" t="s">
        <v>2139</v>
      </c>
      <c r="E1620" t="s">
        <v>1</v>
      </c>
      <c r="G1620" t="s">
        <v>167</v>
      </c>
      <c r="H1620" t="s">
        <v>2135</v>
      </c>
      <c r="I1620">
        <v>-28.505600000000001</v>
      </c>
      <c r="J1620">
        <v>118.99299999999999</v>
      </c>
      <c r="K1620" t="str">
        <f>HYPERLINK("http://geossdi.dmp.wa.gov.au/NVCLDataServices/mosaic.html?datasetid=d2938cf7-aed7-4e0d-9257-a815081368d","MPWD6_Core Image")</f>
        <v>MPWD6_Core Image</v>
      </c>
    </row>
    <row r="1621" spans="1:11" x14ac:dyDescent="0.25">
      <c r="A1621" t="str">
        <f>HYPERLINK("http://www.corstruth.com.au/WA/MPWD7_cs.png","MPWD7_A4")</f>
        <v>MPWD7_A4</v>
      </c>
      <c r="B1621" t="str">
        <f>HYPERLINK("http://www.corstruth.com.au/WA/PNG2/MPWD7_cs.png","MPWD7_0.25m Bins")</f>
        <v>MPWD7_0.25m Bins</v>
      </c>
      <c r="C1621" t="str">
        <f>HYPERLINK("http://www.corstruth.com.au/WA/CSV/MPWD7.csv","MPWD7_CSV File 1m Bins")</f>
        <v>MPWD7_CSV File 1m Bins</v>
      </c>
      <c r="D1621" t="s">
        <v>2140</v>
      </c>
      <c r="E1621" t="s">
        <v>1</v>
      </c>
      <c r="G1621" t="s">
        <v>167</v>
      </c>
      <c r="H1621" t="s">
        <v>2135</v>
      </c>
      <c r="I1621">
        <v>-28.504300000000001</v>
      </c>
      <c r="J1621">
        <v>118.992</v>
      </c>
      <c r="K1621" t="str">
        <f>HYPERLINK("http://geossdi.dmp.wa.gov.au/NVCLDataServices/mosaic.html?datasetid=1ca7a8ba-3071-48d9-9d48-6e5a0f081c1","MPWD7_Core Image")</f>
        <v>MPWD7_Core Image</v>
      </c>
    </row>
    <row r="1622" spans="1:11" x14ac:dyDescent="0.25">
      <c r="A1622" t="str">
        <f>HYPERLINK("http://www.corstruth.com.au/WA/MPWD73_cs.png","MPWD73_A4")</f>
        <v>MPWD73_A4</v>
      </c>
      <c r="B1622" t="str">
        <f>HYPERLINK("http://www.corstruth.com.au/WA/PNG2/MPWD73_cs.png","MPWD73_0.25m Bins")</f>
        <v>MPWD73_0.25m Bins</v>
      </c>
      <c r="C1622" t="str">
        <f>HYPERLINK("http://www.corstruth.com.au/WA/CSV/MPWD73.csv","MPWD73_CSV File 1m Bins")</f>
        <v>MPWD73_CSV File 1m Bins</v>
      </c>
      <c r="D1622" t="s">
        <v>2141</v>
      </c>
      <c r="E1622" t="s">
        <v>1</v>
      </c>
      <c r="G1622" t="s">
        <v>167</v>
      </c>
      <c r="H1622" t="s">
        <v>2135</v>
      </c>
      <c r="I1622">
        <v>-28.506499999999999</v>
      </c>
      <c r="J1622">
        <v>118.992</v>
      </c>
      <c r="K1622" t="str">
        <f>HYPERLINK("http://geossdi.dmp.wa.gov.au/NVCLDataServices/mosaic.html?datasetid=6d9f0b24-14e4-4802-970c-0ed408d843c","MPWD73_Core Image")</f>
        <v>MPWD73_Core Image</v>
      </c>
    </row>
    <row r="1623" spans="1:11" x14ac:dyDescent="0.25">
      <c r="A1623" t="str">
        <f>HYPERLINK("http://www.corstruth.com.au/WA/MPWD74_cs.png","MPWD74_A4")</f>
        <v>MPWD74_A4</v>
      </c>
      <c r="B1623" t="str">
        <f>HYPERLINK("http://www.corstruth.com.au/WA/PNG2/MPWD74_cs.png","MPWD74_0.25m Bins")</f>
        <v>MPWD74_0.25m Bins</v>
      </c>
      <c r="C1623" t="str">
        <f>HYPERLINK("http://www.corstruth.com.au/WA/CSV/MPWD74.csv","MPWD74_CSV File 1m Bins")</f>
        <v>MPWD74_CSV File 1m Bins</v>
      </c>
      <c r="D1623" t="s">
        <v>2142</v>
      </c>
      <c r="E1623" t="s">
        <v>1</v>
      </c>
      <c r="G1623" t="s">
        <v>167</v>
      </c>
      <c r="H1623" t="s">
        <v>2135</v>
      </c>
      <c r="I1623">
        <v>-28.506499999999999</v>
      </c>
      <c r="J1623">
        <v>118.992</v>
      </c>
      <c r="K1623" t="str">
        <f>HYPERLINK("http://geossdi.dmp.wa.gov.au/NVCLDataServices/mosaic.html?datasetid=1a25f830-7193-4f72-9c15-a05937b0a98","MPWD74_Core Image")</f>
        <v>MPWD74_Core Image</v>
      </c>
    </row>
    <row r="1624" spans="1:11" x14ac:dyDescent="0.25">
      <c r="A1624" t="str">
        <f>HYPERLINK("http://www.corstruth.com.au/WA/MPWD8_cs.png","MPWD8_A4")</f>
        <v>MPWD8_A4</v>
      </c>
      <c r="B1624" t="str">
        <f>HYPERLINK("http://www.corstruth.com.au/WA/PNG2/MPWD8_cs.png","MPWD8_0.25m Bins")</f>
        <v>MPWD8_0.25m Bins</v>
      </c>
      <c r="C1624" t="str">
        <f>HYPERLINK("http://www.corstruth.com.au/WA/CSV/MPWD8.csv","MPWD8_CSV File 1m Bins")</f>
        <v>MPWD8_CSV File 1m Bins</v>
      </c>
      <c r="D1624" t="s">
        <v>2143</v>
      </c>
      <c r="E1624" t="s">
        <v>1</v>
      </c>
      <c r="G1624" t="s">
        <v>167</v>
      </c>
      <c r="H1624" t="s">
        <v>2135</v>
      </c>
      <c r="I1624">
        <v>-28.505600000000001</v>
      </c>
      <c r="J1624">
        <v>118.992</v>
      </c>
      <c r="K1624" t="str">
        <f>HYPERLINK("http://geossdi.dmp.wa.gov.au/NVCLDataServices/mosaic.html?datasetid=bb884233-3775-4376-9984-aaf7f3aa54c","MPWD8_Core Image")</f>
        <v>MPWD8_Core Image</v>
      </c>
    </row>
    <row r="1625" spans="1:11" x14ac:dyDescent="0.25">
      <c r="A1625" t="str">
        <f>HYPERLINK("http://www.corstruth.com.au/WA/MPWD9_cs.png","MPWD9_A4")</f>
        <v>MPWD9_A4</v>
      </c>
      <c r="B1625" t="str">
        <f>HYPERLINK("http://www.corstruth.com.au/WA/PNG2/MPWD9_cs.png","MPWD9_0.25m Bins")</f>
        <v>MPWD9_0.25m Bins</v>
      </c>
      <c r="C1625" t="str">
        <f>HYPERLINK("http://www.corstruth.com.au/WA/CSV/MPWD9.csv","MPWD9_CSV File 1m Bins")</f>
        <v>MPWD9_CSV File 1m Bins</v>
      </c>
      <c r="D1625" t="s">
        <v>2144</v>
      </c>
      <c r="E1625" t="s">
        <v>1</v>
      </c>
      <c r="G1625" t="s">
        <v>167</v>
      </c>
      <c r="H1625" t="s">
        <v>2135</v>
      </c>
      <c r="I1625">
        <v>-28.464400000000001</v>
      </c>
      <c r="J1625">
        <v>118.967</v>
      </c>
      <c r="K1625" t="str">
        <f>HYPERLINK("http://geossdi.dmp.wa.gov.au/NVCLDataServices/mosaic.html?datasetid=b0a95f15-f2dd-45ef-b454-21f0b32972b","MPWD9_Core Image")</f>
        <v>MPWD9_Core Image</v>
      </c>
    </row>
    <row r="1626" spans="1:11" x14ac:dyDescent="0.25">
      <c r="A1626" t="str">
        <f>HYPERLINK("http://www.corstruth.com.au/WA/DERD022_cs.png","DERD022_A4")</f>
        <v>DERD022_A4</v>
      </c>
      <c r="B1626" t="str">
        <f>HYPERLINK("http://www.corstruth.com.au/WA/PNG2/DERD022_cs.png","DERD022_0.25m Bins")</f>
        <v>DERD022_0.25m Bins</v>
      </c>
      <c r="C1626" t="str">
        <f>HYPERLINK("http://www.corstruth.com.au/WA/CSV/DERD022.csv","DERD022_CSV File 1m Bins")</f>
        <v>DERD022_CSV File 1m Bins</v>
      </c>
      <c r="D1626" t="s">
        <v>2145</v>
      </c>
      <c r="E1626" t="s">
        <v>1</v>
      </c>
      <c r="G1626" t="s">
        <v>167</v>
      </c>
      <c r="H1626" t="s">
        <v>2146</v>
      </c>
      <c r="I1626">
        <v>-33.622999999999998</v>
      </c>
      <c r="J1626">
        <v>120.151</v>
      </c>
      <c r="K1626" t="str">
        <f>HYPERLINK("http://geossdi.dmp.wa.gov.au/NVCLDataServices/mosaic.html?datasetid=4c6eb56b-ef3b-493c-9412-00751d741f3","DERD022_Core Image")</f>
        <v>DERD022_Core Image</v>
      </c>
    </row>
    <row r="1627" spans="1:11" x14ac:dyDescent="0.25">
      <c r="A1627" t="str">
        <f>HYPERLINK("http://www.corstruth.com.au/WA/RAVD0120_cs.png","RAVD0120_A4")</f>
        <v>RAVD0120_A4</v>
      </c>
      <c r="B1627" t="str">
        <f>HYPERLINK("http://www.corstruth.com.au/WA/PNG2/RAVD0120_cs.png","RAVD0120_0.25m Bins")</f>
        <v>RAVD0120_0.25m Bins</v>
      </c>
      <c r="C1627" t="str">
        <f>HYPERLINK("http://www.corstruth.com.au/WA/CSV/RAVD0120.csv","RAVD0120_CSV File 1m Bins")</f>
        <v>RAVD0120_CSV File 1m Bins</v>
      </c>
      <c r="D1627" t="s">
        <v>2147</v>
      </c>
      <c r="E1627" t="s">
        <v>1</v>
      </c>
      <c r="G1627" t="s">
        <v>167</v>
      </c>
      <c r="H1627" t="s">
        <v>2148</v>
      </c>
      <c r="I1627">
        <v>-33.601100000000002</v>
      </c>
      <c r="J1627">
        <v>120.28400000000001</v>
      </c>
      <c r="K1627" t="str">
        <f>HYPERLINK("http://geossdi.dmp.wa.gov.au/NVCLDataServices/mosaic.html?datasetid=c60cb12b-6f89-428d-84a6-48975175556","RAVD0120_Core Image")</f>
        <v>RAVD0120_Core Image</v>
      </c>
    </row>
    <row r="1628" spans="1:11" x14ac:dyDescent="0.25">
      <c r="A1628" t="str">
        <f>HYPERLINK("http://www.corstruth.com.au/WA/RAVD0121_cs.png","RAVD0121_A4")</f>
        <v>RAVD0121_A4</v>
      </c>
      <c r="B1628" t="str">
        <f>HYPERLINK("http://www.corstruth.com.au/WA/PNG2/RAVD0121_cs.png","RAVD0121_0.25m Bins")</f>
        <v>RAVD0121_0.25m Bins</v>
      </c>
      <c r="C1628" t="str">
        <f>HYPERLINK("http://www.corstruth.com.au/WA/CSV/RAVD0121.csv","RAVD0121_CSV File 1m Bins")</f>
        <v>RAVD0121_CSV File 1m Bins</v>
      </c>
      <c r="D1628" t="s">
        <v>2149</v>
      </c>
      <c r="E1628" t="s">
        <v>1</v>
      </c>
      <c r="G1628" t="s">
        <v>167</v>
      </c>
      <c r="H1628" t="s">
        <v>2148</v>
      </c>
      <c r="I1628">
        <v>-33.584299999999999</v>
      </c>
      <c r="J1628">
        <v>120.211</v>
      </c>
      <c r="K1628" t="str">
        <f>HYPERLINK("http://geossdi.dmp.wa.gov.au/NVCLDataServices/mosaic.html?datasetid=4b225082-7a71-455a-90b9-d55a48741a6","RAVD0121_Core Image")</f>
        <v>RAVD0121_Core Image</v>
      </c>
    </row>
    <row r="1629" spans="1:11" x14ac:dyDescent="0.25">
      <c r="A1629" t="str">
        <f>HYPERLINK("http://www.corstruth.com.au/WA/MSDD154_cs.png","MSDD154_A4")</f>
        <v>MSDD154_A4</v>
      </c>
      <c r="B1629" t="str">
        <f>HYPERLINK("http://www.corstruth.com.au/WA/PNG2/MSDD154_cs.png","MSDD154_0.25m Bins")</f>
        <v>MSDD154_0.25m Bins</v>
      </c>
      <c r="C1629" t="str">
        <f>HYPERLINK("http://www.corstruth.com.au/WA/CSV/MSDD154.csv","MSDD154_CSV File 1m Bins")</f>
        <v>MSDD154_CSV File 1m Bins</v>
      </c>
      <c r="D1629" t="s">
        <v>2150</v>
      </c>
      <c r="E1629" t="s">
        <v>1</v>
      </c>
      <c r="G1629" t="s">
        <v>167</v>
      </c>
      <c r="H1629" t="s">
        <v>2151</v>
      </c>
      <c r="I1629">
        <v>-28.072199999999999</v>
      </c>
      <c r="J1629">
        <v>119.27200000000001</v>
      </c>
      <c r="K1629" t="str">
        <f>HYPERLINK("http://geossdi.dmp.wa.gov.au/NVCLDataServices/mosaic.html?datasetid=0dca003c-294f-4bf6-8231-1cad5095dfe","MSDD154_Core Image")</f>
        <v>MSDD154_Core Image</v>
      </c>
    </row>
    <row r="1630" spans="1:11" x14ac:dyDescent="0.25">
      <c r="A1630" t="str">
        <f>HYPERLINK("http://www.corstruth.com.au/WA/MSDD155_cs.png","MSDD155_A4")</f>
        <v>MSDD155_A4</v>
      </c>
      <c r="B1630" t="str">
        <f>HYPERLINK("http://www.corstruth.com.au/WA/PNG2/MSDD155_cs.png","MSDD155_0.25m Bins")</f>
        <v>MSDD155_0.25m Bins</v>
      </c>
      <c r="C1630" t="str">
        <f>HYPERLINK("http://www.corstruth.com.au/WA/CSV/MSDD155.csv","MSDD155_CSV File 1m Bins")</f>
        <v>MSDD155_CSV File 1m Bins</v>
      </c>
      <c r="D1630" t="s">
        <v>2152</v>
      </c>
      <c r="E1630" t="s">
        <v>1</v>
      </c>
      <c r="G1630" t="s">
        <v>167</v>
      </c>
      <c r="H1630" t="s">
        <v>2151</v>
      </c>
      <c r="I1630">
        <v>-28.0731</v>
      </c>
      <c r="J1630">
        <v>119.271</v>
      </c>
      <c r="K1630" t="str">
        <f>HYPERLINK("http://geossdi.dmp.wa.gov.au/NVCLDataServices/mosaic.html?datasetid=25754827-f7fe-40eb-b532-e9ab4fd7e74","MSDD155_Core Image")</f>
        <v>MSDD155_Core Image</v>
      </c>
    </row>
    <row r="1631" spans="1:11" x14ac:dyDescent="0.25">
      <c r="A1631" t="str">
        <f>HYPERLINK("http://www.corstruth.com.au/WA/MSDD156_cs.png","MSDD156_A4")</f>
        <v>MSDD156_A4</v>
      </c>
      <c r="B1631" t="str">
        <f>HYPERLINK("http://www.corstruth.com.au/WA/PNG2/MSDD156_cs.png","MSDD156_0.25m Bins")</f>
        <v>MSDD156_0.25m Bins</v>
      </c>
      <c r="C1631" t="str">
        <f>HYPERLINK("http://www.corstruth.com.au/WA/CSV/MSDD156.csv","MSDD156_CSV File 1m Bins")</f>
        <v>MSDD156_CSV File 1m Bins</v>
      </c>
      <c r="D1631" t="s">
        <v>2153</v>
      </c>
      <c r="E1631" t="s">
        <v>1</v>
      </c>
      <c r="G1631" t="s">
        <v>167</v>
      </c>
      <c r="H1631" t="s">
        <v>2151</v>
      </c>
      <c r="I1631">
        <v>-28.0731</v>
      </c>
      <c r="J1631">
        <v>119.271</v>
      </c>
      <c r="K1631" t="str">
        <f>HYPERLINK("http://geossdi.dmp.wa.gov.au/NVCLDataServices/mosaic.html?datasetid=40bd4956-b63c-40a9-b504-ff3ca37e18f","MSDD156_Core Image")</f>
        <v>MSDD156_Core Image</v>
      </c>
    </row>
    <row r="1632" spans="1:11" x14ac:dyDescent="0.25">
      <c r="A1632" t="str">
        <f>HYPERLINK("http://www.corstruth.com.au/WA/W2DDH007_cs.png","W2DDH007_A4")</f>
        <v>W2DDH007_A4</v>
      </c>
      <c r="B1632" t="str">
        <f>HYPERLINK("http://www.corstruth.com.au/WA/PNG2/W2DDH007_cs.png","W2DDH007_0.25m Bins")</f>
        <v>W2DDH007_0.25m Bins</v>
      </c>
      <c r="C1632" t="str">
        <f>HYPERLINK("http://www.corstruth.com.au/WA/CSV/W2DDH007.csv","W2DDH007_CSV File 1m Bins")</f>
        <v>W2DDH007_CSV File 1m Bins</v>
      </c>
      <c r="D1632" t="s">
        <v>59</v>
      </c>
      <c r="E1632" t="s">
        <v>1</v>
      </c>
      <c r="G1632" t="s">
        <v>167</v>
      </c>
      <c r="H1632" t="s">
        <v>2154</v>
      </c>
      <c r="I1632">
        <v>-30.020199999999999</v>
      </c>
      <c r="J1632">
        <v>119.268</v>
      </c>
      <c r="K1632" t="str">
        <f>HYPERLINK("http://geossdi.dmp.wa.gov.au/NVCLDataServices/mosaic.html?datasetid=099ed5f2-56b8-4bd9-9b60-caf175de89c","W2DDH007_Core Image")</f>
        <v>W2DDH007_Core Image</v>
      </c>
    </row>
    <row r="1633" spans="1:11" x14ac:dyDescent="0.25">
      <c r="A1633" t="str">
        <f>HYPERLINK("http://www.corstruth.com.au/WA/PI12DD002_cs.png","PI12DD002_A4")</f>
        <v>PI12DD002_A4</v>
      </c>
      <c r="B1633" t="str">
        <f>HYPERLINK("http://www.corstruth.com.au/WA/PNG2/PI12DD002_cs.png","PI12DD002_0.25m Bins")</f>
        <v>PI12DD002_0.25m Bins</v>
      </c>
      <c r="C1633" t="str">
        <f>HYPERLINK("http://www.corstruth.com.au/WA/CSV/PI12DD002.csv","PI12DD002_CSV File 1m Bins")</f>
        <v>PI12DD002_CSV File 1m Bins</v>
      </c>
      <c r="D1633" t="s">
        <v>59</v>
      </c>
      <c r="E1633" t="s">
        <v>1</v>
      </c>
      <c r="G1633" t="s">
        <v>167</v>
      </c>
      <c r="H1633" t="s">
        <v>2155</v>
      </c>
      <c r="I1633">
        <v>-28.787199999999999</v>
      </c>
      <c r="J1633">
        <v>119.989</v>
      </c>
      <c r="K1633" t="str">
        <f>HYPERLINK("http://geossdi.dmp.wa.gov.au/NVCLDataServices/mosaic.html?datasetid=5b68efdf-0d8e-4f86-b2eb-63186dd9abf","PI12DD002_Core Image")</f>
        <v>PI12DD002_Core Image</v>
      </c>
    </row>
    <row r="1634" spans="1:11" x14ac:dyDescent="0.25">
      <c r="A1634" t="str">
        <f>HYPERLINK("http://www.corstruth.com.au/WA/PK11DD001_cs.png","PK11DD001_A4")</f>
        <v>PK11DD001_A4</v>
      </c>
      <c r="B1634" t="str">
        <f>HYPERLINK("http://www.corstruth.com.au/WA/PNG2/PK11DD001_cs.png","PK11DD001_0.25m Bins")</f>
        <v>PK11DD001_0.25m Bins</v>
      </c>
      <c r="C1634" t="str">
        <f>HYPERLINK("http://www.corstruth.com.au/WA/CSV/PK11DD001.csv","PK11DD001_CSV File 1m Bins")</f>
        <v>PK11DD001_CSV File 1m Bins</v>
      </c>
      <c r="D1634" t="s">
        <v>59</v>
      </c>
      <c r="E1634" t="s">
        <v>1</v>
      </c>
      <c r="G1634" t="s">
        <v>167</v>
      </c>
      <c r="H1634" t="s">
        <v>2155</v>
      </c>
      <c r="I1634">
        <v>-28.795200000000001</v>
      </c>
      <c r="J1634">
        <v>119.989</v>
      </c>
      <c r="K1634" t="str">
        <f>HYPERLINK("http://geossdi.dmp.wa.gov.au/NVCLDataServices/mosaic.html?datasetid=edddbb21-2343-4ccc-af62-0f8625a2300","PK11DD001_Core Image")</f>
        <v>PK11DD001_Core Image</v>
      </c>
    </row>
    <row r="1635" spans="1:11" x14ac:dyDescent="0.25">
      <c r="A1635" t="str">
        <f>HYPERLINK("http://www.corstruth.com.au/WA/PK12DD001_cs.png","PK12DD001_A4")</f>
        <v>PK12DD001_A4</v>
      </c>
      <c r="B1635" t="str">
        <f>HYPERLINK("http://www.corstruth.com.au/WA/PNG2/PK12DD001_cs.png","PK12DD001_0.25m Bins")</f>
        <v>PK12DD001_0.25m Bins</v>
      </c>
      <c r="C1635" t="str">
        <f>HYPERLINK("http://www.corstruth.com.au/WA/CSV/PK12DD001.csv","PK12DD001_CSV File 1m Bins")</f>
        <v>PK12DD001_CSV File 1m Bins</v>
      </c>
      <c r="D1635" t="s">
        <v>59</v>
      </c>
      <c r="E1635" t="s">
        <v>1</v>
      </c>
      <c r="G1635" t="s">
        <v>167</v>
      </c>
      <c r="H1635" t="s">
        <v>2155</v>
      </c>
      <c r="I1635">
        <v>-28.791599999999999</v>
      </c>
      <c r="J1635">
        <v>119.989</v>
      </c>
      <c r="K1635" t="str">
        <f>HYPERLINK("http://geossdi.dmp.wa.gov.au/NVCLDataServices/mosaic.html?datasetid=94a4144c-2dd7-42a7-90f4-f6d1eb8e05e","PK12DD001_Core Image")</f>
        <v>PK12DD001_Core Image</v>
      </c>
    </row>
    <row r="1636" spans="1:11" x14ac:dyDescent="0.25">
      <c r="A1636" t="str">
        <f>HYPERLINK("http://www.corstruth.com.au/WA/19MODD022_cs.png","19MODD022_A4")</f>
        <v>19MODD022_A4</v>
      </c>
      <c r="B1636" t="str">
        <f>HYPERLINK("http://www.corstruth.com.au/WA/PNG2/19MODD022_cs.png","19MODD022_0.25m Bins")</f>
        <v>19MODD022_0.25m Bins</v>
      </c>
      <c r="C1636" t="str">
        <f>HYPERLINK("http://www.corstruth.com.au/WA/CSV/19MODD022.csv","19MODD022_CSV File 1m Bins")</f>
        <v>19MODD022_CSV File 1m Bins</v>
      </c>
      <c r="D1636" t="s">
        <v>2156</v>
      </c>
      <c r="E1636" t="s">
        <v>1</v>
      </c>
      <c r="G1636" t="s">
        <v>1350</v>
      </c>
      <c r="H1636" t="s">
        <v>2157</v>
      </c>
      <c r="I1636">
        <v>-27.6706</v>
      </c>
      <c r="J1636">
        <v>117.843</v>
      </c>
      <c r="K1636" t="str">
        <f>HYPERLINK("http://geossdi.dmp.wa.gov.au/NVCLDataServices/mosaic.html?datasetid=79641756-df9b-4564-a222-6d5ea1e9216","19MODD022_Core Image")</f>
        <v>19MODD022_Core Image</v>
      </c>
    </row>
    <row r="1637" spans="1:11" x14ac:dyDescent="0.25">
      <c r="A1637" t="str">
        <f>HYPERLINK("http://www.corstruth.com.au/WA/19MODD023_cs.png","19MODD023_A4")</f>
        <v>19MODD023_A4</v>
      </c>
      <c r="B1637" t="str">
        <f>HYPERLINK("http://www.corstruth.com.au/WA/PNG2/19MODD023_cs.png","19MODD023_0.25m Bins")</f>
        <v>19MODD023_0.25m Bins</v>
      </c>
      <c r="C1637" t="str">
        <f>HYPERLINK("http://www.corstruth.com.au/WA/CSV/19MODD023.csv","19MODD023_CSV File 1m Bins")</f>
        <v>19MODD023_CSV File 1m Bins</v>
      </c>
      <c r="D1637" t="s">
        <v>2158</v>
      </c>
      <c r="E1637" t="s">
        <v>1</v>
      </c>
      <c r="G1637" t="s">
        <v>1350</v>
      </c>
      <c r="H1637" t="s">
        <v>2157</v>
      </c>
      <c r="I1637">
        <v>-27.6706</v>
      </c>
      <c r="J1637">
        <v>117.843</v>
      </c>
    </row>
    <row r="1638" spans="1:11" x14ac:dyDescent="0.25">
      <c r="A1638" t="str">
        <f>HYPERLINK("http://www.corstruth.com.au/WA/19MODD024_cs.png","19MODD024_A4")</f>
        <v>19MODD024_A4</v>
      </c>
      <c r="B1638" t="str">
        <f>HYPERLINK("http://www.corstruth.com.au/WA/PNG2/19MODD024_cs.png","19MODD024_0.25m Bins")</f>
        <v>19MODD024_0.25m Bins</v>
      </c>
      <c r="C1638" t="str">
        <f>HYPERLINK("http://www.corstruth.com.au/WA/CSV/19MODD024.csv","19MODD024_CSV File 1m Bins")</f>
        <v>19MODD024_CSV File 1m Bins</v>
      </c>
      <c r="D1638" t="s">
        <v>2159</v>
      </c>
      <c r="E1638" t="s">
        <v>1</v>
      </c>
      <c r="G1638" t="s">
        <v>1350</v>
      </c>
      <c r="H1638" t="s">
        <v>2157</v>
      </c>
      <c r="I1638">
        <v>-27.673100000000002</v>
      </c>
      <c r="J1638">
        <v>117.843</v>
      </c>
    </row>
    <row r="1639" spans="1:11" x14ac:dyDescent="0.25">
      <c r="A1639" t="str">
        <f>HYPERLINK("http://www.corstruth.com.au/WA/20MODD001_cs.png","20MODD001_A4")</f>
        <v>20MODD001_A4</v>
      </c>
      <c r="B1639" t="str">
        <f>HYPERLINK("http://www.corstruth.com.au/WA/PNG2/20MODD001_cs.png","20MODD001_0.25m Bins")</f>
        <v>20MODD001_0.25m Bins</v>
      </c>
      <c r="C1639" t="str">
        <f>HYPERLINK("http://www.corstruth.com.au/WA/CSV/20MODD001.csv","20MODD001_CSV File 1m Bins")</f>
        <v>20MODD001_CSV File 1m Bins</v>
      </c>
      <c r="D1639" t="s">
        <v>2160</v>
      </c>
      <c r="E1639" t="s">
        <v>1</v>
      </c>
      <c r="G1639" t="s">
        <v>1350</v>
      </c>
      <c r="H1639" t="s">
        <v>2157</v>
      </c>
      <c r="I1639">
        <v>-27.6647</v>
      </c>
      <c r="J1639">
        <v>117.84399999999999</v>
      </c>
      <c r="K1639" t="str">
        <f>HYPERLINK("http://geossdi.dmp.wa.gov.au/NVCLDataServices/mosaic.html?datasetid=aad8e97b-07f5-41b2-be70-9cb05c46d91","20MODD001_Core Image")</f>
        <v>20MODD001_Core Image</v>
      </c>
    </row>
    <row r="1640" spans="1:11" x14ac:dyDescent="0.25">
      <c r="A1640" t="str">
        <f>HYPERLINK("http://www.corstruth.com.au/WA/THD003_cs.png","THD003_A4")</f>
        <v>THD003_A4</v>
      </c>
      <c r="B1640" t="str">
        <f>HYPERLINK("http://www.corstruth.com.au/WA/PNG2/THD003_cs.png","THD003_0.25m Bins")</f>
        <v>THD003_0.25m Bins</v>
      </c>
      <c r="C1640" t="str">
        <f>HYPERLINK("http://www.corstruth.com.au/WA/CSV/THD003.csv","THD003_CSV File 1m Bins")</f>
        <v>THD003_CSV File 1m Bins</v>
      </c>
      <c r="D1640" t="s">
        <v>2161</v>
      </c>
      <c r="E1640" t="s">
        <v>1</v>
      </c>
      <c r="G1640" t="s">
        <v>1350</v>
      </c>
      <c r="H1640" t="s">
        <v>2162</v>
      </c>
      <c r="I1640">
        <v>-28.8888</v>
      </c>
      <c r="J1640">
        <v>117.087</v>
      </c>
      <c r="K1640" t="str">
        <f>HYPERLINK("http://geossdi.dmp.wa.gov.au/NVCLDataServices/mosaic.html?datasetid=7dc80909-4f87-4ae1-9119-75aea5a8f72","THD003_Core Image")</f>
        <v>THD003_Core Image</v>
      </c>
    </row>
    <row r="1641" spans="1:11" x14ac:dyDescent="0.25">
      <c r="A1641" t="str">
        <f>HYPERLINK("http://www.corstruth.com.au/SA/10133_Oodnadatta_1_cs.png","10133_Oodnadatta_1_A4")</f>
        <v>10133_Oodnadatta_1_A4</v>
      </c>
      <c r="B1641" t="str">
        <f>HYPERLINK("http://www.corstruth.com.au/SA/PNG2/10133_Oodnadatta_1_cs.png","10133_Oodnadatta_1_0.25m Bins")</f>
        <v>10133_Oodnadatta_1_0.25m Bins</v>
      </c>
      <c r="C1641" t="str">
        <f>HYPERLINK("http://www.corstruth.com.au/SA/CSV/10133_Oodnadatta_1.csv","10133_Oodnadatta_1_CSV File 1m Bins")</f>
        <v>10133_Oodnadatta_1_CSV File 1m Bins</v>
      </c>
      <c r="D1641">
        <v>10133</v>
      </c>
      <c r="E1641" t="s">
        <v>2163</v>
      </c>
      <c r="F1641" t="str">
        <f>HYPERLINK("https://drillhole.pir.sa.gov.au/Details.aspx?DRILLHOLE_NO=10133","Geol Survey Link")</f>
        <v>Geol Survey Link</v>
      </c>
      <c r="I1641">
        <v>-27.439499999999999</v>
      </c>
      <c r="J1641">
        <v>135.34899999999999</v>
      </c>
      <c r="K1641" t="str">
        <f>HYPERLINK("https://sarigdata.pir.sa.gov.au/nvcl/NVCLDataServices/mosaic.html?datasetid=cdc441ec-7728-4c42-a6ec-e6f3dbfc0eb","10133_Oodnadatta_1_Core Image")</f>
        <v>10133_Oodnadatta_1_Core Image</v>
      </c>
    </row>
    <row r="1642" spans="1:11" x14ac:dyDescent="0.25">
      <c r="A1642" t="str">
        <f>HYPERLINK("http://www.corstruth.com.au/SA/1037_OBD11_cs.png","1037_OBD11_A4")</f>
        <v>1037_OBD11_A4</v>
      </c>
      <c r="B1642" t="str">
        <f>HYPERLINK("http://www.corstruth.com.au/SA/PNG2/1037_OBD11_cs.png","1037_OBD11_0.25m Bins")</f>
        <v>1037_OBD11_0.25m Bins</v>
      </c>
      <c r="C1642" t="str">
        <f>HYPERLINK("http://www.corstruth.com.au/SA/CSV/1037_OBD11.csv","1037_OBD11_CSV File 1m Bins")</f>
        <v>1037_OBD11_CSV File 1m Bins</v>
      </c>
      <c r="D1642">
        <v>1037</v>
      </c>
      <c r="E1642" t="s">
        <v>2163</v>
      </c>
      <c r="F1642" t="str">
        <f>HYPERLINK("https://drillhole.pir.sa.gov.au/Details.aspx?DRILLHOLE_NO=1037","Geol Survey Link")</f>
        <v>Geol Survey Link</v>
      </c>
      <c r="I1642">
        <v>-29.588899999999999</v>
      </c>
      <c r="J1642">
        <v>132.08000000000001</v>
      </c>
      <c r="K1642" t="str">
        <f>HYPERLINK("https://sarigdata.pir.sa.gov.au/nvcl/NVCLDataServices/mosaic.html?datasetid=ee121905-95fd-44d9-b4ac-717a18f555e","1037_OBD11_Core Image")</f>
        <v>1037_OBD11_Core Image</v>
      </c>
    </row>
    <row r="1643" spans="1:11" x14ac:dyDescent="0.25">
      <c r="A1643" t="str">
        <f>HYPERLINK("http://www.corstruth.com.au/SA/103960_ANDDH1_cs.png","103960_ANDDH1_A4")</f>
        <v>103960_ANDDH1_A4</v>
      </c>
      <c r="B1643" t="str">
        <f>HYPERLINK("http://www.corstruth.com.au/SA/PNG2/103960_ANDDH1_cs.png","103960_ANDDH1_0.25m Bins")</f>
        <v>103960_ANDDH1_0.25m Bins</v>
      </c>
      <c r="C1643" t="str">
        <f>HYPERLINK("http://www.corstruth.com.au/SA/CSV/103960_ANDDH1.csv","103960_ANDDH1_CSV File 1m Bins")</f>
        <v>103960_ANDDH1_CSV File 1m Bins</v>
      </c>
      <c r="D1643">
        <v>103960</v>
      </c>
      <c r="E1643" t="s">
        <v>2163</v>
      </c>
      <c r="F1643" t="str">
        <f>HYPERLINK("https://drillhole.pir.sa.gov.au/Details.aspx?DRILLHOLE_NO=103960","Geol Survey Link")</f>
        <v>Geol Survey Link</v>
      </c>
      <c r="I1643">
        <v>-32.715800000000002</v>
      </c>
      <c r="J1643">
        <v>140.21199999999999</v>
      </c>
      <c r="K1643" t="str">
        <f>HYPERLINK("https://sarigdata.pir.sa.gov.au/nvcl/NVCLDataServices/mosaic.html?datasetid=aa520306-23af-4520-a710-7fbaa3bf30a","103960_ANDDH1_Core Image")</f>
        <v>103960_ANDDH1_Core Image</v>
      </c>
    </row>
    <row r="1644" spans="1:11" x14ac:dyDescent="0.25">
      <c r="A1644" t="str">
        <f>HYPERLINK("http://www.corstruth.com.au/SA/103961_ANDDH2_cs.png","103961_ANDDH2_A4")</f>
        <v>103961_ANDDH2_A4</v>
      </c>
      <c r="B1644" t="str">
        <f>HYPERLINK("http://www.corstruth.com.au/SA/PNG2/103961_ANDDH2_cs.png","103961_ANDDH2_0.25m Bins")</f>
        <v>103961_ANDDH2_0.25m Bins</v>
      </c>
      <c r="C1644" t="str">
        <f>HYPERLINK("http://www.corstruth.com.au/SA/CSV/103961_ANDDH2.csv","103961_ANDDH2_CSV File 1m Bins")</f>
        <v>103961_ANDDH2_CSV File 1m Bins</v>
      </c>
      <c r="D1644">
        <v>103961</v>
      </c>
      <c r="E1644" t="s">
        <v>2163</v>
      </c>
      <c r="F1644" t="str">
        <f>HYPERLINK("https://drillhole.pir.sa.gov.au/Details.aspx?DRILLHOLE_NO=103961","Geol Survey Link")</f>
        <v>Geol Survey Link</v>
      </c>
      <c r="I1644">
        <v>-32.718400000000003</v>
      </c>
      <c r="J1644">
        <v>140.209</v>
      </c>
      <c r="K1644" t="str">
        <f>HYPERLINK("https://sarigdata.pir.sa.gov.au/nvcl/NVCLDataServices/mosaic.html?datasetid=2f8bcc76-7da2-48ac-a9fa-1b77295ac4a","103961_ANDDH2_Core Image")</f>
        <v>103961_ANDDH2_Core Image</v>
      </c>
    </row>
    <row r="1645" spans="1:11" x14ac:dyDescent="0.25">
      <c r="A1645" t="str">
        <f>HYPERLINK("http://www.corstruth.com.au/SA/104020_AHDDH4_cs.png","104020_AHDDH4_A4")</f>
        <v>104020_AHDDH4_A4</v>
      </c>
      <c r="B1645" t="str">
        <f>HYPERLINK("http://www.corstruth.com.au/SA/PNG2/104020_AHDDH4_cs.png","104020_AHDDH4_0.25m Bins")</f>
        <v>104020_AHDDH4_0.25m Bins</v>
      </c>
      <c r="C1645" t="str">
        <f>HYPERLINK("http://www.corstruth.com.au/SA/CSV/104020_AHDDH4.csv","104020_AHDDH4_CSV File 1m Bins")</f>
        <v>104020_AHDDH4_CSV File 1m Bins</v>
      </c>
      <c r="D1645">
        <v>104020</v>
      </c>
      <c r="E1645" t="s">
        <v>2163</v>
      </c>
      <c r="F1645" t="str">
        <f>HYPERLINK("https://drillhole.pir.sa.gov.au/Details.aspx?DRILLHOLE_NO=104020","Geol Survey Link")</f>
        <v>Geol Survey Link</v>
      </c>
      <c r="I1645">
        <v>-32.717100000000002</v>
      </c>
      <c r="J1645">
        <v>140.19399999999999</v>
      </c>
      <c r="K1645" t="str">
        <f>HYPERLINK("https://sarigdata.pir.sa.gov.au/nvcl/NVCLDataServices/mosaic.html?datasetid=0fcd8c7a-a296-4e0d-9338-732fbffb2ba","104020_AHDDH4_Core Image")</f>
        <v>104020_AHDDH4_Core Image</v>
      </c>
    </row>
    <row r="1646" spans="1:11" x14ac:dyDescent="0.25">
      <c r="A1646" t="str">
        <f>HYPERLINK("http://www.corstruth.com.au/SA/104021_ANDDH5_cs.png","104021_ANDDH5_A4")</f>
        <v>104021_ANDDH5_A4</v>
      </c>
      <c r="B1646" t="str">
        <f>HYPERLINK("http://www.corstruth.com.au/SA/PNG2/104021_ANDDH5_cs.png","104021_ANDDH5_0.25m Bins")</f>
        <v>104021_ANDDH5_0.25m Bins</v>
      </c>
      <c r="C1646" t="str">
        <f>HYPERLINK("http://www.corstruth.com.au/SA/CSV/104021_ANDDH5.csv","104021_ANDDH5_CSV File 1m Bins")</f>
        <v>104021_ANDDH5_CSV File 1m Bins</v>
      </c>
      <c r="D1646">
        <v>104021</v>
      </c>
      <c r="E1646" t="s">
        <v>2163</v>
      </c>
      <c r="F1646" t="str">
        <f>HYPERLINK("https://drillhole.pir.sa.gov.au/Details.aspx?DRILLHOLE_NO=104021","Geol Survey Link")</f>
        <v>Geol Survey Link</v>
      </c>
      <c r="I1646">
        <v>-32.709899999999998</v>
      </c>
      <c r="J1646">
        <v>140.19999999999999</v>
      </c>
      <c r="K1646" t="str">
        <f>HYPERLINK("https://sarigdata.pir.sa.gov.au/nvcl/NVCLDataServices/mosaic.html?datasetid=a5799dfa-c704-41ce-b794-0c580ec2baf","104021_ANDDH5_Core Image")</f>
        <v>104021_ANDDH5_Core Image</v>
      </c>
    </row>
    <row r="1647" spans="1:11" x14ac:dyDescent="0.25">
      <c r="A1647" t="str">
        <f>HYPERLINK("http://www.corstruth.com.au/SA/104022_ANDDH6_cs.png","104022_ANDDH6_A4")</f>
        <v>104022_ANDDH6_A4</v>
      </c>
      <c r="B1647" t="str">
        <f>HYPERLINK("http://www.corstruth.com.au/SA/PNG2/104022_ANDDH6_cs.png","104022_ANDDH6_0.25m Bins")</f>
        <v>104022_ANDDH6_0.25m Bins</v>
      </c>
      <c r="C1647" t="str">
        <f>HYPERLINK("http://www.corstruth.com.au/SA/CSV/104022_ANDDH6.csv","104022_ANDDH6_CSV File 1m Bins")</f>
        <v>104022_ANDDH6_CSV File 1m Bins</v>
      </c>
      <c r="D1647">
        <v>104022</v>
      </c>
      <c r="E1647" t="s">
        <v>2163</v>
      </c>
      <c r="F1647" t="str">
        <f>HYPERLINK("https://drillhole.pir.sa.gov.au/Details.aspx?DRILLHOLE_NO=104022","Geol Survey Link")</f>
        <v>Geol Survey Link</v>
      </c>
      <c r="I1647">
        <v>-32.716900000000003</v>
      </c>
      <c r="J1647">
        <v>140.21</v>
      </c>
      <c r="K1647" t="str">
        <f>HYPERLINK("https://sarigdata.pir.sa.gov.au/nvcl/NVCLDataServices/mosaic.html?datasetid=7186c971-3001-435b-9521-7078a26d74d","104022_ANDDH6_Core Image")</f>
        <v>104022_ANDDH6_Core Image</v>
      </c>
    </row>
    <row r="1648" spans="1:11" x14ac:dyDescent="0.25">
      <c r="A1648" t="str">
        <f>HYPERLINK("http://www.corstruth.com.au/SA/1040_OBD12_cs.png","1040_OBD12_A4")</f>
        <v>1040_OBD12_A4</v>
      </c>
      <c r="B1648" t="str">
        <f>HYPERLINK("http://www.corstruth.com.au/SA/PNG2/1040_OBD12_cs.png","1040_OBD12_0.25m Bins")</f>
        <v>1040_OBD12_0.25m Bins</v>
      </c>
      <c r="C1648" t="str">
        <f>HYPERLINK("http://www.corstruth.com.au/SA/CSV/1040_OBD12.csv","1040_OBD12_CSV File 1m Bins")</f>
        <v>1040_OBD12_CSV File 1m Bins</v>
      </c>
      <c r="D1648">
        <v>1040</v>
      </c>
      <c r="E1648" t="s">
        <v>2163</v>
      </c>
      <c r="F1648" t="str">
        <f>HYPERLINK("https://drillhole.pir.sa.gov.au/Details.aspx?DRILLHOLE_NO=1040","Geol Survey Link")</f>
        <v>Geol Survey Link</v>
      </c>
      <c r="I1648">
        <v>-29.6008</v>
      </c>
      <c r="J1648">
        <v>132.255</v>
      </c>
      <c r="K1648" t="str">
        <f>HYPERLINK("https://sarigdata.pir.sa.gov.au/nvcl/NVCLDataServices/mosaic.html?datasetid=336d526b-0d79-49a3-b0b9-0015788528a","1040_OBD12_Core Image")</f>
        <v>1040_OBD12_Core Image</v>
      </c>
    </row>
    <row r="1649" spans="1:11" x14ac:dyDescent="0.25">
      <c r="A1649" t="str">
        <f>HYPERLINK("http://www.corstruth.com.au/SA/1041_OBD10_cs.png","1041_OBD10_A4")</f>
        <v>1041_OBD10_A4</v>
      </c>
      <c r="B1649" t="str">
        <f>HYPERLINK("http://www.corstruth.com.au/SA/PNG2/1041_OBD10_cs.png","1041_OBD10_0.25m Bins")</f>
        <v>1041_OBD10_0.25m Bins</v>
      </c>
      <c r="C1649" t="str">
        <f>HYPERLINK("http://www.corstruth.com.au/SA/CSV/1041_OBD10.csv","1041_OBD10_CSV File 1m Bins")</f>
        <v>1041_OBD10_CSV File 1m Bins</v>
      </c>
      <c r="D1649">
        <v>1041</v>
      </c>
      <c r="E1649" t="s">
        <v>2163</v>
      </c>
      <c r="F1649" t="str">
        <f>HYPERLINK("https://drillhole.pir.sa.gov.au/Details.aspx?DRILLHOLE_NO=1041","Geol Survey Link")</f>
        <v>Geol Survey Link</v>
      </c>
      <c r="I1649">
        <v>-29.634899999999998</v>
      </c>
      <c r="J1649">
        <v>132.29</v>
      </c>
      <c r="K1649" t="str">
        <f>HYPERLINK("https://sarigdata.pir.sa.gov.au/nvcl/NVCLDataServices/mosaic.html?datasetid=47c791ec-0571-41b4-b7d2-8670d9ada6b","1041_OBD10_Core Image")</f>
        <v>1041_OBD10_Core Image</v>
      </c>
    </row>
    <row r="1650" spans="1:11" x14ac:dyDescent="0.25">
      <c r="A1650" t="str">
        <f>HYPERLINK("http://www.corstruth.com.au/SA/104355_BEN_BD1_cs.png","104355_BEN_BD1_A4")</f>
        <v>104355_BEN_BD1_A4</v>
      </c>
      <c r="D1650">
        <v>104355</v>
      </c>
      <c r="E1650" t="s">
        <v>2163</v>
      </c>
      <c r="F1650" t="str">
        <f>HYPERLINK("https://drillhole.pir.sa.gov.au/Details.aspx?DRILLHOLE_NO=104355","Geol Survey Link")</f>
        <v>Geol Survey Link</v>
      </c>
      <c r="I1650">
        <v>-31.440799999999999</v>
      </c>
      <c r="J1650">
        <v>140.41800000000001</v>
      </c>
    </row>
    <row r="1651" spans="1:11" x14ac:dyDescent="0.25">
      <c r="A1651" t="str">
        <f>HYPERLINK("http://www.corstruth.com.au/SA/104356_BEN_BD2_cs.png","104356_BEN_BD2_A4")</f>
        <v>104356_BEN_BD2_A4</v>
      </c>
      <c r="D1651">
        <v>104356</v>
      </c>
      <c r="E1651" t="s">
        <v>2163</v>
      </c>
      <c r="F1651" t="str">
        <f>HYPERLINK("https://drillhole.pir.sa.gov.au/Details.aspx?DRILLHOLE_NO=104356","Geol Survey Link")</f>
        <v>Geol Survey Link</v>
      </c>
      <c r="I1651">
        <v>-31.450800000000001</v>
      </c>
      <c r="J1651">
        <v>140.45099999999999</v>
      </c>
    </row>
    <row r="1652" spans="1:11" x14ac:dyDescent="0.25">
      <c r="A1652" t="str">
        <f>HYPERLINK("http://www.corstruth.com.au/SA/104365_Mudguard1_cs.png","104365_Mudguard1_A4")</f>
        <v>104365_Mudguard1_A4</v>
      </c>
      <c r="B1652" t="str">
        <f>HYPERLINK("http://www.corstruth.com.au/SA/PNG2/104365_Mudguard1_cs.png","104365_Mudguard1_0.25m Bins")</f>
        <v>104365_Mudguard1_0.25m Bins</v>
      </c>
      <c r="C1652" t="str">
        <f>HYPERLINK("http://www.corstruth.com.au/SA/CSV/104365_Mudguard1.csv","104365_Mudguard1_CSV File 1m Bins")</f>
        <v>104365_Mudguard1_CSV File 1m Bins</v>
      </c>
      <c r="D1652">
        <v>104365</v>
      </c>
      <c r="E1652" t="s">
        <v>2163</v>
      </c>
      <c r="F1652" t="str">
        <f>HYPERLINK("https://drillhole.pir.sa.gov.au/Details.aspx?DRILLHOLE_NO=104365","Geol Survey Link")</f>
        <v>Geol Survey Link</v>
      </c>
      <c r="I1652">
        <v>-30.7652</v>
      </c>
      <c r="J1652">
        <v>140.471</v>
      </c>
      <c r="K1652" t="str">
        <f>HYPERLINK("https://sarigdata.pir.sa.gov.au/nvcl/NVCLDataServices/mosaic.html?datasetid=4dbeb6ff-346d-41e0-8fa5-53b4554e257","104365_Mudguard1_Core Image")</f>
        <v>104365_Mudguard1_Core Image</v>
      </c>
    </row>
    <row r="1653" spans="1:11" x14ac:dyDescent="0.25">
      <c r="A1653" t="str">
        <f>HYPERLINK("http://www.corstruth.com.au/SA/104366_CULBERTA_CU1_cs.png","104366_CULBERTA CU1_A4")</f>
        <v>104366_CULBERTA CU1_A4</v>
      </c>
      <c r="D1653">
        <v>104366</v>
      </c>
      <c r="E1653" t="s">
        <v>2163</v>
      </c>
      <c r="F1653" t="str">
        <f>HYPERLINK("https://drillhole.pir.sa.gov.au/Details.aspx?DRILLHOLE_NO=104366","Geol Survey Link")</f>
        <v>Geol Survey Link</v>
      </c>
      <c r="I1653">
        <v>-30.716000000000001</v>
      </c>
      <c r="J1653">
        <v>140.41900000000001</v>
      </c>
    </row>
    <row r="1654" spans="1:11" x14ac:dyDescent="0.25">
      <c r="A1654" t="str">
        <f>HYPERLINK("http://www.corstruth.com.au/SA/104376_Bumbarlow1_cs.png","104376_Bumbarlow1_A4")</f>
        <v>104376_Bumbarlow1_A4</v>
      </c>
      <c r="B1654" t="str">
        <f>HYPERLINK("http://www.corstruth.com.au/SA/PNG2/104376_Bumbarlow1_cs.png","104376_Bumbarlow1_0.25m Bins")</f>
        <v>104376_Bumbarlow1_0.25m Bins</v>
      </c>
      <c r="C1654" t="str">
        <f>HYPERLINK("http://www.corstruth.com.au/SA/CSV/104376_Bumbarlow1.csv","104376_Bumbarlow1_CSV File 1m Bins")</f>
        <v>104376_Bumbarlow1_CSV File 1m Bins</v>
      </c>
      <c r="D1654">
        <v>104376</v>
      </c>
      <c r="E1654" t="s">
        <v>2163</v>
      </c>
      <c r="F1654" t="str">
        <f>HYPERLINK("https://drillhole.pir.sa.gov.au/Details.aspx?DRILLHOLE_NO=104376","Geol Survey Link")</f>
        <v>Geol Survey Link</v>
      </c>
      <c r="I1654">
        <v>-30.4955</v>
      </c>
      <c r="J1654">
        <v>140.08699999999999</v>
      </c>
      <c r="K1654" t="str">
        <f>HYPERLINK("https://sarigdata.pir.sa.gov.au/nvcl/NVCLDataServices/mosaic.html?datasetid=be7a302b-9e9a-432a-b8b7-cdd7d22eb01","104376_Bumbarlow1_Core Image")</f>
        <v>104376_Bumbarlow1_Core Image</v>
      </c>
    </row>
    <row r="1655" spans="1:11" x14ac:dyDescent="0.25">
      <c r="A1655" t="str">
        <f>HYPERLINK("http://www.corstruth.com.au/SA/104382_Skeleton_cs.png","104382_Skeleton_A4")</f>
        <v>104382_Skeleton_A4</v>
      </c>
      <c r="D1655">
        <v>104382</v>
      </c>
      <c r="E1655" t="s">
        <v>2163</v>
      </c>
      <c r="F1655" t="str">
        <f>HYPERLINK("https://drillhole.pir.sa.gov.au/Details.aspx?DRILLHOLE_NO=104382","Geol Survey Link")</f>
        <v>Geol Survey Link</v>
      </c>
      <c r="I1655">
        <v>-29.907299999999999</v>
      </c>
      <c r="J1655">
        <v>140.01400000000001</v>
      </c>
      <c r="K1655" t="str">
        <f>HYPERLINK("https://sarigdata.pir.sa.gov.au/nvcl/NVCLDataServices/mosaic.html?datasetid=4ef14602-50db-4468-9e31-1f3923294a8","104382_Skeleton_Core Image")</f>
        <v>104382_Skeleton_Core Image</v>
      </c>
    </row>
    <row r="1656" spans="1:11" x14ac:dyDescent="0.25">
      <c r="A1656" t="str">
        <f>HYPERLINK("http://www.corstruth.com.au/SA/104382_Skeleton_2_cs.png","104382_Skeleton_2_A4")</f>
        <v>104382_Skeleton_2_A4</v>
      </c>
      <c r="B1656" t="str">
        <f>HYPERLINK("http://www.corstruth.com.au/SA/PNG2/104382_Skeleton_2_cs.png","104382_Skeleton_2_0.25m Bins")</f>
        <v>104382_Skeleton_2_0.25m Bins</v>
      </c>
      <c r="C1656" t="str">
        <f>HYPERLINK("http://www.corstruth.com.au/SA/CSV/104382_Skeleton_2.csv","104382_Skeleton_2_CSV File 1m Bins")</f>
        <v>104382_Skeleton_2_CSV File 1m Bins</v>
      </c>
      <c r="D1656">
        <v>104382</v>
      </c>
      <c r="E1656" t="s">
        <v>2163</v>
      </c>
      <c r="F1656" t="str">
        <f>HYPERLINK("https://drillhole.pir.sa.gov.au/Details.aspx?DRILLHOLE_NO=104382","Geol Survey Link")</f>
        <v>Geol Survey Link</v>
      </c>
      <c r="I1656">
        <v>-29.907299999999999</v>
      </c>
      <c r="J1656">
        <v>140.01400000000001</v>
      </c>
      <c r="K1656" t="str">
        <f>HYPERLINK("https://sarigdata.pir.sa.gov.au/nvcl/NVCLDataServices/mosaic.html?datasetid=4ef14602-50db-4468-9e31-1f3923294a8","104382_Skeleton_2_Core Image")</f>
        <v>104382_Skeleton_2_Core Image</v>
      </c>
    </row>
    <row r="1657" spans="1:11" x14ac:dyDescent="0.25">
      <c r="A1657" t="str">
        <f>HYPERLINK("http://www.corstruth.com.au/SA/104467_Gidgealpa_7_cs.png","104467_Gidgealpa_7_A4")</f>
        <v>104467_Gidgealpa_7_A4</v>
      </c>
      <c r="B1657" t="str">
        <f>HYPERLINK("http://www.corstruth.com.au/SA/PNG2/104467_Gidgealpa_7_cs.png","104467_Gidgealpa_7_0.25m Bins")</f>
        <v>104467_Gidgealpa_7_0.25m Bins</v>
      </c>
      <c r="C1657" t="str">
        <f>HYPERLINK("http://www.corstruth.com.au/SA/CSV/104467_Gidgealpa_7.csv","104467_Gidgealpa_7_CSV File 1m Bins")</f>
        <v>104467_Gidgealpa_7_CSV File 1m Bins</v>
      </c>
      <c r="D1657">
        <v>104467</v>
      </c>
      <c r="E1657" t="s">
        <v>2163</v>
      </c>
      <c r="F1657" t="str">
        <f>HYPERLINK("https://drillhole.pir.sa.gov.au/Details.aspx?DRILLHOLE_NO=104467","Geol Survey Link")</f>
        <v>Geol Survey Link</v>
      </c>
      <c r="I1657">
        <v>-28.038699999999999</v>
      </c>
      <c r="J1657">
        <v>140.005</v>
      </c>
      <c r="K1657" t="str">
        <f>HYPERLINK("https://sarigdata.pir.sa.gov.au/nvcl/NVCLDataServices/mosaic.html?datasetid=c9e9af39-7450-4291-91b2-d884327d19e","104467_Gidgealpa_7_Core Image")</f>
        <v>104467_Gidgealpa_7_Core Image</v>
      </c>
    </row>
    <row r="1658" spans="1:11" x14ac:dyDescent="0.25">
      <c r="A1658" t="str">
        <f>HYPERLINK("http://www.corstruth.com.au/SA/1046_Murnaroo_1_cs.png","1046_Murnaroo_1_A4")</f>
        <v>1046_Murnaroo_1_A4</v>
      </c>
      <c r="B1658" t="str">
        <f>HYPERLINK("http://www.corstruth.com.au/SA/PNG2/1046_Murnaroo_1_cs.png","1046_Murnaroo_1_0.25m Bins")</f>
        <v>1046_Murnaroo_1_0.25m Bins</v>
      </c>
      <c r="C1658" t="str">
        <f>HYPERLINK("http://www.corstruth.com.au/SA/CSV/1046_Murnaroo_1.csv","1046_Murnaroo_1_CSV File 1m Bins")</f>
        <v>1046_Murnaroo_1_CSV File 1m Bins</v>
      </c>
      <c r="D1658">
        <v>1046</v>
      </c>
      <c r="E1658" t="s">
        <v>2163</v>
      </c>
      <c r="F1658" t="str">
        <f>HYPERLINK("https://drillhole.pir.sa.gov.au/Details.aspx?DRILLHOLE_NO=1046","Geol Survey Link")</f>
        <v>Geol Survey Link</v>
      </c>
      <c r="I1658">
        <v>-29.022200000000002</v>
      </c>
      <c r="J1658">
        <v>132.02799999999999</v>
      </c>
      <c r="K1658" t="str">
        <f>HYPERLINK("https://sarigdata.pir.sa.gov.au/nvcl/NVCLDataServices/mosaic.html?datasetid=0441d3fe-94d7-4c17-88de-72a122a9caf","1046_Murnaroo_1_Core Image")</f>
        <v>1046_Murnaroo_1_Core Image</v>
      </c>
    </row>
    <row r="1659" spans="1:11" x14ac:dyDescent="0.25">
      <c r="A1659" t="str">
        <f>HYPERLINK("http://www.corstruth.com.au/SA/104756_Gidgealpa_4_cs.png","104756_Gidgealpa_4_A4")</f>
        <v>104756_Gidgealpa_4_A4</v>
      </c>
      <c r="B1659" t="str">
        <f>HYPERLINK("http://www.corstruth.com.au/SA/PNG2/104756_Gidgealpa_4_cs.png","104756_Gidgealpa_4_0.25m Bins")</f>
        <v>104756_Gidgealpa_4_0.25m Bins</v>
      </c>
      <c r="C1659" t="str">
        <f>HYPERLINK("http://www.corstruth.com.au/SA/CSV/104756_Gidgealpa_4.csv","104756_Gidgealpa_4_CSV File 1m Bins")</f>
        <v>104756_Gidgealpa_4_CSV File 1m Bins</v>
      </c>
      <c r="D1659">
        <v>104756</v>
      </c>
      <c r="E1659" t="s">
        <v>2163</v>
      </c>
      <c r="F1659" t="str">
        <f>HYPERLINK("https://drillhole.pir.sa.gov.au/Details.aspx?DRILLHOLE_NO=104756","Geol Survey Link")</f>
        <v>Geol Survey Link</v>
      </c>
      <c r="I1659">
        <v>-27.9754</v>
      </c>
      <c r="J1659">
        <v>140.01</v>
      </c>
      <c r="K1659" t="str">
        <f>HYPERLINK("https://sarigdata.pir.sa.gov.au/nvcl/NVCLDataServices/mosaic.html?datasetid=16ddca55-8889-4330-b337-efb0eb6d825","104756_Gidgealpa_4_Core Image")</f>
        <v>104756_Gidgealpa_4_Core Image</v>
      </c>
    </row>
    <row r="1660" spans="1:11" x14ac:dyDescent="0.25">
      <c r="A1660" t="str">
        <f>HYPERLINK("http://www.corstruth.com.au/SA/104759_Gidgealpa_2_cs.png","104759_Gidgealpa_2_A4")</f>
        <v>104759_Gidgealpa_2_A4</v>
      </c>
      <c r="B1660" t="str">
        <f>HYPERLINK("http://www.corstruth.com.au/SA/PNG2/104759_Gidgealpa_2_cs.png","104759_Gidgealpa_2_0.25m Bins")</f>
        <v>104759_Gidgealpa_2_0.25m Bins</v>
      </c>
      <c r="C1660" t="str">
        <f>HYPERLINK("http://www.corstruth.com.au/SA/CSV/104759_Gidgealpa_2.csv","104759_Gidgealpa_2_CSV File 1m Bins")</f>
        <v>104759_Gidgealpa_2_CSV File 1m Bins</v>
      </c>
      <c r="D1660">
        <v>104759</v>
      </c>
      <c r="E1660" t="s">
        <v>2163</v>
      </c>
      <c r="F1660" t="str">
        <f>HYPERLINK("https://drillhole.pir.sa.gov.au/Details.aspx?DRILLHOLE_NO=104759","Geol Survey Link")</f>
        <v>Geol Survey Link</v>
      </c>
      <c r="I1660">
        <v>-27.944299999999998</v>
      </c>
      <c r="J1660">
        <v>140.05099999999999</v>
      </c>
      <c r="K1660" t="str">
        <f>HYPERLINK("https://sarigdata.pir.sa.gov.au/nvcl/NVCLDataServices/mosaic.html?datasetid=dc968426-c8ce-441b-a806-cac01b23792","104759_Gidgealpa_2_Core Image")</f>
        <v>104759_Gidgealpa_2_Core Image</v>
      </c>
    </row>
    <row r="1661" spans="1:11" x14ac:dyDescent="0.25">
      <c r="A1661" t="str">
        <f>HYPERLINK("http://www.corstruth.com.au/SA/104766_Gidgealpa_8_cs.png","104766_Gidgealpa_8_A4")</f>
        <v>104766_Gidgealpa_8_A4</v>
      </c>
      <c r="B1661" t="str">
        <f>HYPERLINK("http://www.corstruth.com.au/SA/PNG2/104766_Gidgealpa_8_cs.png","104766_Gidgealpa_8_0.25m Bins")</f>
        <v>104766_Gidgealpa_8_0.25m Bins</v>
      </c>
      <c r="C1661" t="str">
        <f>HYPERLINK("http://www.corstruth.com.au/SA/CSV/104766_Gidgealpa_8.csv","104766_Gidgealpa_8_CSV File 1m Bins")</f>
        <v>104766_Gidgealpa_8_CSV File 1m Bins</v>
      </c>
      <c r="D1661">
        <v>104766</v>
      </c>
      <c r="E1661" t="s">
        <v>2163</v>
      </c>
      <c r="F1661" t="str">
        <f>HYPERLINK("https://drillhole.pir.sa.gov.au/Details.aspx?DRILLHOLE_NO=104766","Geol Survey Link")</f>
        <v>Geol Survey Link</v>
      </c>
      <c r="I1661">
        <v>-27.948699999999999</v>
      </c>
      <c r="J1661">
        <v>140.02699999999999</v>
      </c>
      <c r="K1661" t="str">
        <f>HYPERLINK("https://sarigdata.pir.sa.gov.au/nvcl/NVCLDataServices/mosaic.html?datasetid=35b2559c-5fc9-4d6e-ad11-9518e2859a0","104766_Gidgealpa_8_Core Image")</f>
        <v>104766_Gidgealpa_8_Core Image</v>
      </c>
    </row>
    <row r="1662" spans="1:11" x14ac:dyDescent="0.25">
      <c r="A1662" t="str">
        <f>HYPERLINK("http://www.corstruth.com.au/SA/104770_Gidgealpa_11_cs.png","104770_Gidgealpa_11_A4")</f>
        <v>104770_Gidgealpa_11_A4</v>
      </c>
      <c r="B1662" t="str">
        <f>HYPERLINK("http://www.corstruth.com.au/SA/PNG2/104770_Gidgealpa_11_cs.png","104770_Gidgealpa_11_0.25m Bins")</f>
        <v>104770_Gidgealpa_11_0.25m Bins</v>
      </c>
      <c r="C1662" t="str">
        <f>HYPERLINK("http://www.corstruth.com.au/SA/CSV/104770_Gidgealpa_11.csv","104770_Gidgealpa_11_CSV File 1m Bins")</f>
        <v>104770_Gidgealpa_11_CSV File 1m Bins</v>
      </c>
      <c r="D1662">
        <v>104770</v>
      </c>
      <c r="E1662" t="s">
        <v>2163</v>
      </c>
      <c r="F1662" t="str">
        <f>HYPERLINK("https://drillhole.pir.sa.gov.au/Details.aspx?DRILLHOLE_NO=104770","Geol Survey Link")</f>
        <v>Geol Survey Link</v>
      </c>
      <c r="I1662">
        <v>-27.943999999999999</v>
      </c>
      <c r="J1662">
        <v>140.04</v>
      </c>
      <c r="K1662" t="str">
        <f>HYPERLINK("https://sarigdata.pir.sa.gov.au/nvcl/NVCLDataServices/mosaic.html?datasetid=bf622dfa-f68a-466c-9930-cc902ce0d0c","104770_Gidgealpa_11_Core Image")</f>
        <v>104770_Gidgealpa_11_Core Image</v>
      </c>
    </row>
    <row r="1663" spans="1:11" x14ac:dyDescent="0.25">
      <c r="A1663" t="str">
        <f>HYPERLINK("http://www.corstruth.com.au/SA/1051_OBD3_cs.png","1051_OBD3_A4")</f>
        <v>1051_OBD3_A4</v>
      </c>
      <c r="B1663" t="str">
        <f>HYPERLINK("http://www.corstruth.com.au/SA/PNG2/1051_OBD3_cs.png","1051_OBD3_0.25m Bins")</f>
        <v>1051_OBD3_0.25m Bins</v>
      </c>
      <c r="C1663" t="str">
        <f>HYPERLINK("http://www.corstruth.com.au/SA/CSV/1051_OBD3.csv","1051_OBD3_CSV File 1m Bins")</f>
        <v>1051_OBD3_CSV File 1m Bins</v>
      </c>
      <c r="D1663">
        <v>1051</v>
      </c>
      <c r="E1663" t="s">
        <v>2163</v>
      </c>
      <c r="F1663" t="str">
        <f>HYPERLINK("https://drillhole.pir.sa.gov.au/Details.aspx?DRILLHOLE_NO=1051","Geol Survey Link")</f>
        <v>Geol Survey Link</v>
      </c>
      <c r="I1663">
        <v>-29.467300000000002</v>
      </c>
      <c r="J1663">
        <v>132.303</v>
      </c>
      <c r="K1663" t="str">
        <f>HYPERLINK("https://sarigdata.pir.sa.gov.au/nvcl/NVCLDataServices/mosaic.html?datasetid=22fc58ac-1283-4d0d-8d85-31cc0d809ed","1051_OBD3_Core Image")</f>
        <v>1051_OBD3_Core Image</v>
      </c>
    </row>
    <row r="1664" spans="1:11" x14ac:dyDescent="0.25">
      <c r="A1664" t="str">
        <f>HYPERLINK("http://www.corstruth.com.au/SA/1067_Giles_1_cs.png","1067_Giles_1_A4")</f>
        <v>1067_Giles_1_A4</v>
      </c>
      <c r="B1664" t="str">
        <f>HYPERLINK("http://www.corstruth.com.au/SA/PNG2/1067_Giles_1_cs.png","1067_Giles_1_0.25m Bins")</f>
        <v>1067_Giles_1_0.25m Bins</v>
      </c>
      <c r="C1664" t="str">
        <f>HYPERLINK("http://www.corstruth.com.au/SA/CSV/1067_Giles_1.csv","1067_Giles_1_CSV File 1m Bins")</f>
        <v>1067_Giles_1_CSV File 1m Bins</v>
      </c>
      <c r="D1664">
        <v>1067</v>
      </c>
      <c r="E1664" t="s">
        <v>2163</v>
      </c>
      <c r="F1664" t="str">
        <f>HYPERLINK("https://drillhole.pir.sa.gov.au/Details.aspx?DRILLHOLE_NO=1067","Geol Survey Link")</f>
        <v>Geol Survey Link</v>
      </c>
      <c r="I1664">
        <v>-28.431699999999999</v>
      </c>
      <c r="J1664">
        <v>132.387</v>
      </c>
      <c r="K1664" t="str">
        <f>HYPERLINK("https://sarigdata.pir.sa.gov.au/nvcl/NVCLDataServices/mosaic.html?datasetid=f36ed207-0987-4db8-acd1-c691ed1023e","1067_Giles_1_Core Image")</f>
        <v>1067_Giles_1_Core Image</v>
      </c>
    </row>
    <row r="1665" spans="1:11" x14ac:dyDescent="0.25">
      <c r="A1665" t="str">
        <f>HYPERLINK("http://www.corstruth.com.au/SA/1071_LAIRU_1_cs.png","1071_LAIRU 1_A4")</f>
        <v>1071_LAIRU 1_A4</v>
      </c>
      <c r="B1665" t="str">
        <f>HYPERLINK("http://www.corstruth.com.au/SA/PNG2/1071_LAIRU_1_cs.png","1071_LAIRU 1_0.25m Bins")</f>
        <v>1071_LAIRU 1_0.25m Bins</v>
      </c>
      <c r="C1665" t="str">
        <f>HYPERLINK("http://www.corstruth.com.au/SA/CSV/1071_LAIRU_1.csv","1071_LAIRU 1_CSV File 1m Bins")</f>
        <v>1071_LAIRU 1_CSV File 1m Bins</v>
      </c>
      <c r="D1665">
        <v>1071</v>
      </c>
      <c r="E1665" t="s">
        <v>2163</v>
      </c>
      <c r="F1665" t="str">
        <f>HYPERLINK("https://drillhole.pir.sa.gov.au/Details.aspx?DRILLHOLE_NO=1071","Geol Survey Link")</f>
        <v>Geol Survey Link</v>
      </c>
      <c r="I1665">
        <v>-28.1632</v>
      </c>
      <c r="J1665">
        <v>132.148</v>
      </c>
      <c r="K1665" t="str">
        <f>HYPERLINK("https://sarigdata.pir.sa.gov.au/nvcl/NVCLDataServices/mosaic.html?datasetid=dcc994c5-9d78-4ef7-acc5-bd2014fe956","1071_LAIRU 1_Core Image")</f>
        <v>1071_LAIRU 1_Core Image</v>
      </c>
    </row>
    <row r="1666" spans="1:11" x14ac:dyDescent="0.25">
      <c r="A1666" t="str">
        <f>HYPERLINK("http://www.corstruth.com.au/SA/1072_MERANANGYE_1_cs.png","1072_MERANANGYE 1_A4")</f>
        <v>1072_MERANANGYE 1_A4</v>
      </c>
      <c r="B1666" t="str">
        <f>HYPERLINK("http://www.corstruth.com.au/SA/PNG2/1072_MERANANGYE_1_cs.png","1072_MERANANGYE 1_0.25m Bins")</f>
        <v>1072_MERANANGYE 1_0.25m Bins</v>
      </c>
      <c r="C1666" t="str">
        <f>HYPERLINK("http://www.corstruth.com.au/SA/CSV/1072_MERANANGYE_1.csv","1072_MERANANGYE 1_CSV File 1m Bins")</f>
        <v>1072_MERANANGYE 1_CSV File 1m Bins</v>
      </c>
      <c r="D1666">
        <v>1072</v>
      </c>
      <c r="E1666" t="s">
        <v>2163</v>
      </c>
      <c r="F1666" t="str">
        <f>HYPERLINK("https://drillhole.pir.sa.gov.au/Details.aspx?DRILLHOLE_NO=1072","Geol Survey Link")</f>
        <v>Geol Survey Link</v>
      </c>
      <c r="I1666">
        <v>-28.367999999999999</v>
      </c>
      <c r="J1666">
        <v>132.27600000000001</v>
      </c>
      <c r="K1666" t="str">
        <f>HYPERLINK("https://sarigdata.pir.sa.gov.au/nvcl/NVCLDataServices/mosaic.html?datasetid=e8e7e508-13fa-4db6-8ea3-ea31cc985f4","1072_MERANANGYE 1_Core Image")</f>
        <v>1072_MERANANGYE 1_Core Image</v>
      </c>
    </row>
    <row r="1667" spans="1:11" x14ac:dyDescent="0.25">
      <c r="A1667" t="str">
        <f>HYPERLINK("http://www.corstruth.com.au/SA/117535_LADBROKEGROVE1_cs.png","117535_LADBROKEGROVE1_A4")</f>
        <v>117535_LADBROKEGROVE1_A4</v>
      </c>
      <c r="D1667">
        <v>117535</v>
      </c>
      <c r="E1667" t="s">
        <v>2163</v>
      </c>
      <c r="F1667" t="str">
        <f>HYPERLINK("https://drillhole.pir.sa.gov.au/Details.aspx?DRILLHOLE_NO=117535","Geol Survey Link")</f>
        <v>Geol Survey Link</v>
      </c>
      <c r="I1667">
        <v>-37.467100000000002</v>
      </c>
      <c r="J1667">
        <v>140.78200000000001</v>
      </c>
    </row>
    <row r="1668" spans="1:11" x14ac:dyDescent="0.25">
      <c r="A1668" t="str">
        <f>HYPERLINK("http://www.corstruth.com.au/SA/117852_Zema_1_cs.png","117852_Zema 1_A4")</f>
        <v>117852_Zema 1_A4</v>
      </c>
      <c r="B1668" t="str">
        <f>HYPERLINK("http://www.corstruth.com.au/SA/PNG2/117852_Zema_1_cs.png","117852_Zema 1_0.25m Bins")</f>
        <v>117852_Zema 1_0.25m Bins</v>
      </c>
      <c r="C1668" t="str">
        <f>HYPERLINK("http://www.corstruth.com.au/SA/CSV/117852_Zema_1.csv","117852_Zema 1_CSV File 1m Bins")</f>
        <v>117852_Zema 1_CSV File 1m Bins</v>
      </c>
      <c r="D1668">
        <v>117852</v>
      </c>
      <c r="E1668" t="s">
        <v>2163</v>
      </c>
      <c r="F1668" t="str">
        <f>HYPERLINK("https://drillhole.pir.sa.gov.au/Details.aspx?DRILLHOLE_NO=117852","Geol Survey Link")</f>
        <v>Geol Survey Link</v>
      </c>
      <c r="I1668">
        <v>-37.412300000000002</v>
      </c>
      <c r="J1668">
        <v>140.667</v>
      </c>
      <c r="K1668" t="str">
        <f>HYPERLINK("https://sarigdata.pir.sa.gov.au/nvcl/NVCLDataServices/mosaic.html?datasetid=69c7c5cd-29d7-426c-bdf8-2e0aa892d44","117852_Zema 1_Core Image")</f>
        <v>117852_Zema 1_Core Image</v>
      </c>
    </row>
    <row r="1669" spans="1:11" x14ac:dyDescent="0.25">
      <c r="A1669" t="str">
        <f>HYPERLINK("http://www.corstruth.com.au/SA/117852_Zema_1_cs.png","117852_Zema_1_A4")</f>
        <v>117852_Zema_1_A4</v>
      </c>
      <c r="B1669" t="str">
        <f>HYPERLINK("http://www.corstruth.com.au/SA/PNG2/117852_Zema_1_cs.png","117852_Zema_1_0.25m Bins")</f>
        <v>117852_Zema_1_0.25m Bins</v>
      </c>
      <c r="C1669" t="str">
        <f>HYPERLINK("http://www.corstruth.com.au/SA/CSV/117852_Zema_1.csv","117852_Zema_1_CSV File 1m Bins")</f>
        <v>117852_Zema_1_CSV File 1m Bins</v>
      </c>
      <c r="D1669">
        <v>117852</v>
      </c>
      <c r="E1669" t="s">
        <v>2163</v>
      </c>
      <c r="F1669" t="str">
        <f>HYPERLINK("https://drillhole.pir.sa.gov.au/Details.aspx?DRILLHOLE_NO=117852","Geol Survey Link")</f>
        <v>Geol Survey Link</v>
      </c>
      <c r="I1669">
        <v>-37.412300000000002</v>
      </c>
      <c r="J1669">
        <v>140.667</v>
      </c>
      <c r="K1669" t="str">
        <f>HYPERLINK("https://sarigdata.pir.sa.gov.au/nvcl/NVCLDataServices/mosaic.html?datasetid=69c7c5cd-29d7-426c-bdf8-2e0aa892d44","117852_Zema_1_Core Image")</f>
        <v>117852_Zema_1_Core Image</v>
      </c>
    </row>
    <row r="1670" spans="1:11" x14ac:dyDescent="0.25">
      <c r="A1670" t="str">
        <f>HYPERLINK("http://www.corstruth.com.au/SA/12112_BD1_cs.png","12112_BD1_A4")</f>
        <v>12112_BD1_A4</v>
      </c>
      <c r="B1670" t="str">
        <f>HYPERLINK("http://www.corstruth.com.au/SA/PNG2/12112_BD1_cs.png","12112_BD1_0.25m Bins")</f>
        <v>12112_BD1_0.25m Bins</v>
      </c>
      <c r="C1670" t="str">
        <f>HYPERLINK("http://www.corstruth.com.au/SA/CSV/12112_BD1.csv","12112_BD1_CSV File 1m Bins")</f>
        <v>12112_BD1_CSV File 1m Bins</v>
      </c>
      <c r="D1670">
        <v>12112</v>
      </c>
      <c r="E1670" t="s">
        <v>2163</v>
      </c>
      <c r="F1670" t="str">
        <f>HYPERLINK("https://drillhole.pir.sa.gov.au/Details.aspx?DRILLHOLE_NO=12112","Geol Survey Link")</f>
        <v>Geol Survey Link</v>
      </c>
      <c r="I1670">
        <v>-34.391500000000001</v>
      </c>
      <c r="J1670">
        <v>135.875</v>
      </c>
      <c r="K1670" t="str">
        <f>HYPERLINK("https://sarigdata.pir.sa.gov.au/nvcl/NVCLDataServices/mosaic.html?datasetid=f2a02f0c-9fbc-4f65-aa84-1ca6e25fc14","12112_BD1_Core Image")</f>
        <v>12112_BD1_Core Image</v>
      </c>
    </row>
    <row r="1671" spans="1:11" x14ac:dyDescent="0.25">
      <c r="A1671" t="str">
        <f>HYPERLINK("http://www.corstruth.com.au/SA/12114_KD1_cs.png","12114_KD1_A4")</f>
        <v>12114_KD1_A4</v>
      </c>
      <c r="B1671" t="str">
        <f>HYPERLINK("http://www.corstruth.com.au/SA/PNG2/12114_KD1_cs.png","12114_KD1_0.25m Bins")</f>
        <v>12114_KD1_0.25m Bins</v>
      </c>
      <c r="C1671" t="str">
        <f>HYPERLINK("http://www.corstruth.com.au/SA/CSV/12114_KD1.csv","12114_KD1_CSV File 1m Bins")</f>
        <v>12114_KD1_CSV File 1m Bins</v>
      </c>
      <c r="D1671">
        <v>12114</v>
      </c>
      <c r="E1671" t="s">
        <v>2163</v>
      </c>
      <c r="F1671" t="str">
        <f>HYPERLINK("https://drillhole.pir.sa.gov.au/Details.aspx?DRILLHOLE_NO=12114","Geol Survey Link")</f>
        <v>Geol Survey Link</v>
      </c>
      <c r="I1671">
        <v>-34.4054</v>
      </c>
      <c r="J1671">
        <v>135.84</v>
      </c>
      <c r="K1671" t="str">
        <f>HYPERLINK("https://sarigdata.pir.sa.gov.au/nvcl/NVCLDataServices/mosaic.html?datasetid=1c40bf25-9184-47ef-b3dd-cb8ebc46904","12114_KD1_Core Image")</f>
        <v>12114_KD1_Core Image</v>
      </c>
    </row>
    <row r="1672" spans="1:11" x14ac:dyDescent="0.25">
      <c r="A1672" t="str">
        <f>HYPERLINK("http://www.corstruth.com.au/SA/12115_KD3_cs.png","12115_KD3_A4")</f>
        <v>12115_KD3_A4</v>
      </c>
      <c r="B1672" t="str">
        <f>HYPERLINK("http://www.corstruth.com.au/SA/PNG2/12115_KD3_cs.png","12115_KD3_0.25m Bins")</f>
        <v>12115_KD3_0.25m Bins</v>
      </c>
      <c r="C1672" t="str">
        <f>HYPERLINK("http://www.corstruth.com.au/SA/CSV/12115_KD3.csv","12115_KD3_CSV File 1m Bins")</f>
        <v>12115_KD3_CSV File 1m Bins</v>
      </c>
      <c r="D1672">
        <v>12115</v>
      </c>
      <c r="E1672" t="s">
        <v>2163</v>
      </c>
      <c r="F1672" t="str">
        <f>HYPERLINK("https://drillhole.pir.sa.gov.au/Details.aspx?DRILLHOLE_NO=12115","Geol Survey Link")</f>
        <v>Geol Survey Link</v>
      </c>
      <c r="I1672">
        <v>-34.397199999999998</v>
      </c>
      <c r="J1672">
        <v>135.858</v>
      </c>
      <c r="K1672" t="str">
        <f>HYPERLINK("https://sarigdata.pir.sa.gov.au/nvcl/NVCLDataServices/mosaic.html?datasetid=1a28165b-be53-42e0-ac31-dce0db3ea90","12115_KD3_Core Image")</f>
        <v>12115_KD3_Core Image</v>
      </c>
    </row>
    <row r="1673" spans="1:11" x14ac:dyDescent="0.25">
      <c r="A1673" t="str">
        <f>HYPERLINK("http://www.corstruth.com.au/SA/12116_KD4_cs.png","12116_KD4_A4")</f>
        <v>12116_KD4_A4</v>
      </c>
      <c r="B1673" t="str">
        <f>HYPERLINK("http://www.corstruth.com.au/SA/PNG2/12116_KD4_cs.png","12116_KD4_0.25m Bins")</f>
        <v>12116_KD4_0.25m Bins</v>
      </c>
      <c r="C1673" t="str">
        <f>HYPERLINK("http://www.corstruth.com.au/SA/CSV/12116_KD4.csv","12116_KD4_CSV File 1m Bins")</f>
        <v>12116_KD4_CSV File 1m Bins</v>
      </c>
      <c r="D1673">
        <v>12116</v>
      </c>
      <c r="E1673" t="s">
        <v>2163</v>
      </c>
      <c r="F1673" t="str">
        <f>HYPERLINK("https://drillhole.pir.sa.gov.au/Details.aspx?DRILLHOLE_NO=12116","Geol Survey Link")</f>
        <v>Geol Survey Link</v>
      </c>
      <c r="I1673">
        <v>-34.404899999999998</v>
      </c>
      <c r="J1673">
        <v>135.84100000000001</v>
      </c>
      <c r="K1673" t="str">
        <f>HYPERLINK("https://sarigdata.pir.sa.gov.au/nvcl/NVCLDataServices/mosaic.html?datasetid=b3cada9d-ab53-4644-b630-ae79d676247","12116_KD4_Core Image")</f>
        <v>12116_KD4_Core Image</v>
      </c>
    </row>
    <row r="1674" spans="1:11" x14ac:dyDescent="0.25">
      <c r="A1674" t="str">
        <f>HYPERLINK("http://www.corstruth.com.au/SA/126805_MBT-1_Core_cs.png","126805_MBT-1_Core_A4")</f>
        <v>126805_MBT-1_Core_A4</v>
      </c>
      <c r="B1674" t="str">
        <f>HYPERLINK("http://www.corstruth.com.au/SA/PNG2/126805_MBT-1_Core_cs.png","126805_MBT-1_Core_0.25m Bins")</f>
        <v>126805_MBT-1_Core_0.25m Bins</v>
      </c>
      <c r="C1674" t="str">
        <f>HYPERLINK("http://www.corstruth.com.au/SA/CSV/126805_MBT-1_Core.csv","126805_MBT-1_Core_CSV File 1m Bins")</f>
        <v>126805_MBT-1_Core_CSV File 1m Bins</v>
      </c>
      <c r="D1674">
        <v>126805</v>
      </c>
      <c r="E1674" t="s">
        <v>2163</v>
      </c>
      <c r="F1674" t="str">
        <f>HYPERLINK("https://drillhole.pir.sa.gov.au/Details.aspx?DRILLHOLE_NO=126805","Geol Survey Link")</f>
        <v>Geol Survey Link</v>
      </c>
      <c r="I1674">
        <v>-34.974800000000002</v>
      </c>
      <c r="J1674">
        <v>140.88200000000001</v>
      </c>
      <c r="K1674" t="str">
        <f>HYPERLINK("https://sarigdata.pir.sa.gov.au/nvcl/NVCLDataServices/mosaic.html?datasetid=48b6c0a0-9fe2-468f-b6e0-9bc59d423c7","126805_MBT-1_Core_Core Image")</f>
        <v>126805_MBT-1_Core_Core Image</v>
      </c>
    </row>
    <row r="1675" spans="1:11" x14ac:dyDescent="0.25">
      <c r="A1675" t="str">
        <f>HYPERLINK("http://www.corstruth.com.au/SA/128566_Oakvale1_cs.png","128566_Oakvale1_A4")</f>
        <v>128566_Oakvale1_A4</v>
      </c>
      <c r="B1675" t="str">
        <f>HYPERLINK("http://www.corstruth.com.au/SA/PNG2/128566_Oakvale1_cs.png","128566_Oakvale1_0.25m Bins")</f>
        <v>128566_Oakvale1_0.25m Bins</v>
      </c>
      <c r="C1675" t="str">
        <f>HYPERLINK("http://www.corstruth.com.au/SA/CSV/128566_Oakvale1.csv","128566_Oakvale1_CSV File 1m Bins")</f>
        <v>128566_Oakvale1_CSV File 1m Bins</v>
      </c>
      <c r="D1675">
        <v>128566</v>
      </c>
      <c r="E1675" t="s">
        <v>2163</v>
      </c>
      <c r="F1675" t="str">
        <f>HYPERLINK("https://drillhole.pir.sa.gov.au/Details.aspx?DRILLHOLE_NO=128566","Geol Survey Link")</f>
        <v>Geol Survey Link</v>
      </c>
      <c r="I1675">
        <v>-32.988399999999999</v>
      </c>
      <c r="J1675">
        <v>140.91300000000001</v>
      </c>
      <c r="K1675" t="str">
        <f>HYPERLINK("https://sarigdata.pir.sa.gov.au/nvcl/NVCLDataServices/mosaic.html?datasetid=5d8996b2-058e-4387-b795-ea78456a770","128566_Oakvale1_Core Image")</f>
        <v>128566_Oakvale1_Core Image</v>
      </c>
    </row>
    <row r="1676" spans="1:11" x14ac:dyDescent="0.25">
      <c r="A1676" t="str">
        <f>HYPERLINK("http://www.corstruth.com.au/SA/129520_Yalkalpo1_cs.png","129520_Yalkalpo1_A4")</f>
        <v>129520_Yalkalpo1_A4</v>
      </c>
      <c r="D1676">
        <v>129520</v>
      </c>
      <c r="E1676" t="s">
        <v>2163</v>
      </c>
      <c r="F1676" t="str">
        <f>HYPERLINK("https://drillhole.pir.sa.gov.au/Details.aspx?DRILLHOLE_NO=129520","Geol Survey Link")</f>
        <v>Geol Survey Link</v>
      </c>
      <c r="I1676">
        <v>-30.89</v>
      </c>
      <c r="J1676">
        <v>140.51599999999999</v>
      </c>
      <c r="K1676" t="str">
        <f>HYPERLINK("https://sarigdata.pir.sa.gov.au/nvcl/NVCLDataServices/mosaic.html?datasetid=0f18fe0f-9e34-444c-889e-29eef09d370","129520_Yalkalpo1_Core Image")</f>
        <v>129520_Yalkalpo1_Core Image</v>
      </c>
    </row>
    <row r="1677" spans="1:11" x14ac:dyDescent="0.25">
      <c r="A1677" t="str">
        <f>HYPERLINK("http://www.corstruth.com.au/SA/129522_YALKALPO2_cs.png","129522_YALKALPO2_A4")</f>
        <v>129522_YALKALPO2_A4</v>
      </c>
      <c r="D1677">
        <v>129522</v>
      </c>
      <c r="E1677" t="s">
        <v>2163</v>
      </c>
      <c r="F1677" t="str">
        <f>HYPERLINK("https://drillhole.pir.sa.gov.au/Details.aspx?DRILLHOLE_NO=129522","Geol Survey Link")</f>
        <v>Geol Survey Link</v>
      </c>
      <c r="I1677">
        <v>-30.848299999999998</v>
      </c>
      <c r="J1677">
        <v>140.63200000000001</v>
      </c>
    </row>
    <row r="1678" spans="1:11" x14ac:dyDescent="0.25">
      <c r="A1678" t="str">
        <f>HYPERLINK("http://www.corstruth.com.au/SA/130605_ARDROSSAN_cs.png","130605_ARDROSSAN_A4")</f>
        <v>130605_ARDROSSAN_A4</v>
      </c>
      <c r="D1678">
        <v>130605</v>
      </c>
      <c r="E1678" t="s">
        <v>2163</v>
      </c>
      <c r="F1678" t="str">
        <f>HYPERLINK("https://drillhole.pir.sa.gov.au/Details.aspx?DRILLHOLE_NO=130605","Geol Survey Link")</f>
        <v>Geol Survey Link</v>
      </c>
      <c r="I1678">
        <v>-34.456299999999999</v>
      </c>
      <c r="J1678">
        <v>137.87799999999999</v>
      </c>
      <c r="K1678" t="str">
        <f>HYPERLINK("https://sarigdata.pir.sa.gov.au/nvcl/NVCLDataServices/mosaic.html?datasetid=6dd13b3b-4574-453b-bad2-a161ea73102","130605_ARDROSSAN_Core Image")</f>
        <v>130605_ARDROSSAN_Core Image</v>
      </c>
    </row>
    <row r="1679" spans="1:11" x14ac:dyDescent="0.25">
      <c r="A1679" t="str">
        <f>HYPERLINK("http://www.corstruth.com.au/SA/131074_WS1_cs.png","131074_WS1_A4")</f>
        <v>131074_WS1_A4</v>
      </c>
      <c r="B1679" t="str">
        <f>HYPERLINK("http://www.corstruth.com.au/SA/PNG2/131074_WS1_cs.png","131074_WS1_0.25m Bins")</f>
        <v>131074_WS1_0.25m Bins</v>
      </c>
      <c r="C1679" t="str">
        <f>HYPERLINK("http://www.corstruth.com.au/SA/CSV/131074_WS1.csv","131074_WS1_CSV File 1m Bins")</f>
        <v>131074_WS1_CSV File 1m Bins</v>
      </c>
      <c r="D1679">
        <v>131074</v>
      </c>
      <c r="E1679" t="s">
        <v>2163</v>
      </c>
      <c r="F1679" t="str">
        <f>HYPERLINK("https://drillhole.pir.sa.gov.au/Details.aspx?DRILLHOLE_NO=131074","Geol Survey Link")</f>
        <v>Geol Survey Link</v>
      </c>
      <c r="I1679">
        <v>-30.8186</v>
      </c>
      <c r="J1679">
        <v>131.53100000000001</v>
      </c>
      <c r="K1679" t="str">
        <f>HYPERLINK("https://sarigdata.pir.sa.gov.au/nvcl/NVCLDataServices/mosaic.html?datasetid=3d615457-6eed-4043-9070-6b8a1258751","131074_WS1_Core Image")</f>
        <v>131074_WS1_Core Image</v>
      </c>
    </row>
    <row r="1680" spans="1:11" x14ac:dyDescent="0.25">
      <c r="A1680" t="str">
        <f>HYPERLINK("http://www.corstruth.com.au/SA/131075_WS1A_cs.png","131075_WS1A_A4")</f>
        <v>131075_WS1A_A4</v>
      </c>
      <c r="B1680" t="str">
        <f>HYPERLINK("http://www.corstruth.com.au/SA/PNG2/131075_WS1A_cs.png","131075_WS1A_0.25m Bins")</f>
        <v>131075_WS1A_0.25m Bins</v>
      </c>
      <c r="C1680" t="str">
        <f>HYPERLINK("http://www.corstruth.com.au/SA/CSV/131075_WS1A.csv","131075_WS1A_CSV File 1m Bins")</f>
        <v>131075_WS1A_CSV File 1m Bins</v>
      </c>
      <c r="D1680">
        <v>131075</v>
      </c>
      <c r="E1680" t="s">
        <v>2163</v>
      </c>
      <c r="F1680" t="str">
        <f>HYPERLINK("https://drillhole.pir.sa.gov.au/Details.aspx?DRILLHOLE_NO=131075","Geol Survey Link")</f>
        <v>Geol Survey Link</v>
      </c>
      <c r="I1680">
        <v>-30.8186</v>
      </c>
      <c r="J1680">
        <v>131.53100000000001</v>
      </c>
    </row>
    <row r="1681" spans="1:11" x14ac:dyDescent="0.25">
      <c r="A1681" t="str">
        <f>HYPERLINK("http://www.corstruth.com.au/SA/131076_WSWB_cs.png","131076_WSWB_A4")</f>
        <v>131076_WSWB_A4</v>
      </c>
      <c r="B1681" t="str">
        <f>HYPERLINK("http://www.corstruth.com.au/SA/PNG2/131076_WSWB_cs.png","131076_WSWB_0.25m Bins")</f>
        <v>131076_WSWB_0.25m Bins</v>
      </c>
      <c r="C1681" t="str">
        <f>HYPERLINK("http://www.corstruth.com.au/SA/CSV/131076_WSWB.csv","131076_WSWB_CSV File 1m Bins")</f>
        <v>131076_WSWB_CSV File 1m Bins</v>
      </c>
      <c r="D1681">
        <v>131076</v>
      </c>
      <c r="E1681" t="s">
        <v>2163</v>
      </c>
      <c r="F1681" t="str">
        <f>HYPERLINK("https://drillhole.pir.sa.gov.au/Details.aspx?DRILLHOLE_NO=131076","Geol Survey Link")</f>
        <v>Geol Survey Link</v>
      </c>
      <c r="I1681">
        <v>-30.8186</v>
      </c>
      <c r="J1681">
        <v>131.53100000000001</v>
      </c>
      <c r="K1681" t="str">
        <f>HYPERLINK("https://sarigdata.pir.sa.gov.au/nvcl/NVCLDataServices/mosaic.html?datasetid=22670598-08c2-4c85-9bd7-35a375246e8","131076_WSWB_Core Image")</f>
        <v>131076_WSWB_Core Image</v>
      </c>
    </row>
    <row r="1682" spans="1:11" x14ac:dyDescent="0.25">
      <c r="A1682" t="str">
        <f>HYPERLINK("http://www.corstruth.com.au/SA/131076_WS_WB_cs.png","131076_WS_WB_A4")</f>
        <v>131076_WS_WB_A4</v>
      </c>
      <c r="D1682">
        <v>131076</v>
      </c>
      <c r="E1682" t="s">
        <v>2163</v>
      </c>
      <c r="F1682" t="str">
        <f>HYPERLINK("https://drillhole.pir.sa.gov.au/Details.aspx?DRILLHOLE_NO=131076","Geol Survey Link")</f>
        <v>Geol Survey Link</v>
      </c>
      <c r="I1682">
        <v>-30.8186</v>
      </c>
      <c r="J1682">
        <v>131.53100000000001</v>
      </c>
      <c r="K1682" t="str">
        <f>HYPERLINK("https://sarigdata.pir.sa.gov.au/nvcl/NVCLDataServices/mosaic.html?datasetid=22670598-08c2-4c85-9bd7-35a375246e8","131076_WS_WB_Core Image")</f>
        <v>131076_WS_WB_Core Image</v>
      </c>
    </row>
    <row r="1683" spans="1:11" x14ac:dyDescent="0.25">
      <c r="A1683" t="str">
        <f>HYPERLINK("http://www.corstruth.com.au/SA/132805_INVESTIGATOR1_cs.png","132805_INVESTIGATOR1_A4")</f>
        <v>132805_INVESTIGATOR1_A4</v>
      </c>
      <c r="D1683">
        <v>132805</v>
      </c>
      <c r="E1683" t="s">
        <v>2163</v>
      </c>
      <c r="F1683" t="str">
        <f>HYPERLINK("https://drillhole.pir.sa.gov.au/Details.aspx?DRILLHOLE_NO=132805","Geol Survey Link")</f>
        <v>Geol Survey Link</v>
      </c>
      <c r="I1683">
        <v>-35.578299999999999</v>
      </c>
      <c r="J1683">
        <v>137.559</v>
      </c>
    </row>
    <row r="1684" spans="1:11" x14ac:dyDescent="0.25">
      <c r="A1684" t="str">
        <f>HYPERLINK("http://www.corstruth.com.au/SA/134047_CTN9_cs.png","134047_CTN9_A4")</f>
        <v>134047_CTN9_A4</v>
      </c>
      <c r="D1684">
        <v>134047</v>
      </c>
      <c r="E1684" t="s">
        <v>2163</v>
      </c>
      <c r="F1684" t="str">
        <f>HYPERLINK("https://drillhole.pir.sa.gov.au/Details.aspx?DRILLHOLE_NO=134047","Geol Survey Link")</f>
        <v>Geol Survey Link</v>
      </c>
      <c r="I1684">
        <v>-32.067399999999999</v>
      </c>
      <c r="J1684">
        <v>138.904</v>
      </c>
    </row>
    <row r="1685" spans="1:11" x14ac:dyDescent="0.25">
      <c r="A1685" t="str">
        <f>HYPERLINK("http://www.corstruth.com.au/SA/134048_CTN10_cs.png","134048_CTN10_A4")</f>
        <v>134048_CTN10_A4</v>
      </c>
      <c r="D1685">
        <v>134048</v>
      </c>
      <c r="E1685" t="s">
        <v>2163</v>
      </c>
      <c r="F1685" t="str">
        <f>HYPERLINK("https://drillhole.pir.sa.gov.au/Details.aspx?DRILLHOLE_NO=134048","Geol Survey Link")</f>
        <v>Geol Survey Link</v>
      </c>
      <c r="I1685">
        <v>-32.058300000000003</v>
      </c>
      <c r="J1685">
        <v>138.905</v>
      </c>
    </row>
    <row r="1686" spans="1:11" x14ac:dyDescent="0.25">
      <c r="A1686" t="str">
        <f>HYPERLINK("http://www.corstruth.com.au/SA/134049_CTN11_cs.png","134049_CTN11_A4")</f>
        <v>134049_CTN11_A4</v>
      </c>
      <c r="D1686">
        <v>134049</v>
      </c>
      <c r="E1686" t="s">
        <v>2163</v>
      </c>
      <c r="F1686" t="str">
        <f>HYPERLINK("https://drillhole.pir.sa.gov.au/Details.aspx?DRILLHOLE_NO=134049","Geol Survey Link")</f>
        <v>Geol Survey Link</v>
      </c>
      <c r="I1686">
        <v>-32.115600000000001</v>
      </c>
      <c r="J1686">
        <v>138.804</v>
      </c>
    </row>
    <row r="1687" spans="1:11" x14ac:dyDescent="0.25">
      <c r="A1687" t="str">
        <f>HYPERLINK("http://www.corstruth.com.au/SA/134050_CTN12_cs.png","134050_CTN12_A4")</f>
        <v>134050_CTN12_A4</v>
      </c>
      <c r="D1687">
        <v>134050</v>
      </c>
      <c r="E1687" t="s">
        <v>2163</v>
      </c>
      <c r="F1687" t="str">
        <f>HYPERLINK("https://drillhole.pir.sa.gov.au/Details.aspx?DRILLHOLE_NO=134050","Geol Survey Link")</f>
        <v>Geol Survey Link</v>
      </c>
      <c r="I1687">
        <v>-32.108800000000002</v>
      </c>
      <c r="J1687">
        <v>138.81200000000001</v>
      </c>
    </row>
    <row r="1688" spans="1:11" x14ac:dyDescent="0.25">
      <c r="A1688" t="str">
        <f>HYPERLINK("http://www.corstruth.com.au/SA/134159_DD87LR1_cs.png","134159_DD87LR1_A4")</f>
        <v>134159_DD87LR1_A4</v>
      </c>
      <c r="B1688" t="str">
        <f>HYPERLINK("http://www.corstruth.com.au/SA/PNG2/134159_DD87LR1_cs.png","134159_DD87LR1_0.25m Bins")</f>
        <v>134159_DD87LR1_0.25m Bins</v>
      </c>
      <c r="C1688" t="str">
        <f>HYPERLINK("http://www.corstruth.com.au/SA/CSV/134159_DD87LR1.csv","134159_DD87LR1_CSV File 1m Bins")</f>
        <v>134159_DD87LR1_CSV File 1m Bins</v>
      </c>
      <c r="D1688">
        <v>134159</v>
      </c>
      <c r="E1688" t="s">
        <v>2163</v>
      </c>
      <c r="F1688" t="str">
        <f>HYPERLINK("https://drillhole.pir.sa.gov.au/Details.aspx?DRILLHOLE_NO=134159","Geol Survey Link")</f>
        <v>Geol Survey Link</v>
      </c>
      <c r="I1688">
        <v>-29.390799999999999</v>
      </c>
      <c r="J1688">
        <v>135.03899999999999</v>
      </c>
      <c r="K1688" t="str">
        <f>HYPERLINK("https://sarigdata.pir.sa.gov.au/nvcl/NVCLDataServices/mosaic.html?datasetid=a6900235-9363-466a-826a-30baf009251","134159_DD87LR1_Core Image")</f>
        <v>134159_DD87LR1_Core Image</v>
      </c>
    </row>
    <row r="1689" spans="1:11" x14ac:dyDescent="0.25">
      <c r="A1689" t="str">
        <f>HYPERLINK("http://www.corstruth.com.au/SA/134161_DD87_LR3_cs.png","134161_DD87_LR3_A4")</f>
        <v>134161_DD87_LR3_A4</v>
      </c>
      <c r="D1689">
        <v>134161</v>
      </c>
      <c r="E1689" t="s">
        <v>2163</v>
      </c>
      <c r="F1689" t="str">
        <f>HYPERLINK("https://drillhole.pir.sa.gov.au/Details.aspx?DRILLHOLE_NO=134161","Geol Survey Link")</f>
        <v>Geol Survey Link</v>
      </c>
      <c r="I1689">
        <v>-29.214700000000001</v>
      </c>
      <c r="J1689">
        <v>134.619</v>
      </c>
      <c r="K1689" t="str">
        <f>HYPERLINK("https://sarigdata.pir.sa.gov.au/nvcl/NVCLDataServices/mosaic.html?datasetid=ee88342a-350a-46b1-a24a-d3fd7fed6b1","134161_DD87_LR3_Core Image")</f>
        <v>134161_DD87_LR3_Core Image</v>
      </c>
    </row>
    <row r="1690" spans="1:11" x14ac:dyDescent="0.25">
      <c r="A1690" t="str">
        <f>HYPERLINK("http://www.corstruth.com.au/SA/134163_DD88LR19_cs.png","134163_DD88LR19_A4")</f>
        <v>134163_DD88LR19_A4</v>
      </c>
      <c r="B1690" t="str">
        <f>HYPERLINK("http://www.corstruth.com.au/SA/PNG2/134163_DD88LR19_cs.png","134163_DD88LR19_0.25m Bins")</f>
        <v>134163_DD88LR19_0.25m Bins</v>
      </c>
      <c r="C1690" t="str">
        <f>HYPERLINK("http://www.corstruth.com.au/SA/CSV/134163_DD88LR19.csv","134163_DD88LR19_CSV File 1m Bins")</f>
        <v>134163_DD88LR19_CSV File 1m Bins</v>
      </c>
      <c r="D1690">
        <v>134163</v>
      </c>
      <c r="E1690" t="s">
        <v>2163</v>
      </c>
      <c r="F1690" t="str">
        <f>HYPERLINK("https://drillhole.pir.sa.gov.au/Details.aspx?DRILLHOLE_NO=134163","Geol Survey Link")</f>
        <v>Geol Survey Link</v>
      </c>
      <c r="I1690">
        <v>-29.162400000000002</v>
      </c>
      <c r="J1690">
        <v>135.04499999999999</v>
      </c>
      <c r="K1690" t="str">
        <f>HYPERLINK("https://sarigdata.pir.sa.gov.au/nvcl/NVCLDataServices/mosaic.html?datasetid=9a0f766a-b5f0-4826-95ff-824abd09019","134163_DD88LR19_Core Image")</f>
        <v>134163_DD88LR19_Core Image</v>
      </c>
    </row>
    <row r="1691" spans="1:11" x14ac:dyDescent="0.25">
      <c r="A1691" t="str">
        <f>HYPERLINK("http://www.corstruth.com.au/SA/134164_DD88LR20_cs.png","134164_DD88LR20_A4")</f>
        <v>134164_DD88LR20_A4</v>
      </c>
      <c r="B1691" t="str">
        <f>HYPERLINK("http://www.corstruth.com.au/SA/PNG2/134164_DD88LR20_cs.png","134164_DD88LR20_0.25m Bins")</f>
        <v>134164_DD88LR20_0.25m Bins</v>
      </c>
      <c r="C1691" t="str">
        <f>HYPERLINK("http://www.corstruth.com.au/SA/CSV/134164_DD88LR20.csv","134164_DD88LR20_CSV File 1m Bins")</f>
        <v>134164_DD88LR20_CSV File 1m Bins</v>
      </c>
      <c r="D1691">
        <v>134164</v>
      </c>
      <c r="E1691" t="s">
        <v>2163</v>
      </c>
      <c r="F1691" t="str">
        <f>HYPERLINK("https://drillhole.pir.sa.gov.au/Details.aspx?DRILLHOLE_NO=134164","Geol Survey Link")</f>
        <v>Geol Survey Link</v>
      </c>
      <c r="I1691">
        <v>-29.163699999999999</v>
      </c>
      <c r="J1691">
        <v>135.04499999999999</v>
      </c>
      <c r="K1691" t="str">
        <f>HYPERLINK("https://sarigdata.pir.sa.gov.au/nvcl/NVCLDataServices/mosaic.html?datasetid=d18013f2-c85d-40b3-aa88-e77740e5a5c","134164_DD88LR20_Core Image")</f>
        <v>134164_DD88LR20_Core Image</v>
      </c>
    </row>
    <row r="1692" spans="1:11" x14ac:dyDescent="0.25">
      <c r="A1692" t="str">
        <f>HYPERLINK("http://www.corstruth.com.au/SA/134167_DD89LR21_cs.png","134167_DD89LR21_A4")</f>
        <v>134167_DD89LR21_A4</v>
      </c>
      <c r="B1692" t="str">
        <f>HYPERLINK("http://www.corstruth.com.au/SA/PNG2/134167_DD89LR21_cs.png","134167_DD89LR21_0.25m Bins")</f>
        <v>134167_DD89LR21_0.25m Bins</v>
      </c>
      <c r="C1692" t="str">
        <f>HYPERLINK("http://www.corstruth.com.au/SA/CSV/134167_DD89LR21.csv","134167_DD89LR21_CSV File 1m Bins")</f>
        <v>134167_DD89LR21_CSV File 1m Bins</v>
      </c>
      <c r="D1692">
        <v>134167</v>
      </c>
      <c r="E1692" t="s">
        <v>2163</v>
      </c>
      <c r="F1692" t="str">
        <f>HYPERLINK("https://drillhole.pir.sa.gov.au/Details.aspx?DRILLHOLE_NO=134167","Geol Survey Link")</f>
        <v>Geol Survey Link</v>
      </c>
      <c r="I1692">
        <v>-29.167100000000001</v>
      </c>
      <c r="J1692">
        <v>135.05500000000001</v>
      </c>
      <c r="K1692" t="str">
        <f>HYPERLINK("https://sarigdata.pir.sa.gov.au/nvcl/NVCLDataServices/mosaic.html?datasetid=3d185c6d-ca0b-4f2c-a08a-a01cf217ae1","134167_DD89LR21_Core Image")</f>
        <v>134167_DD89LR21_Core Image</v>
      </c>
    </row>
    <row r="1693" spans="1:11" x14ac:dyDescent="0.25">
      <c r="A1693" t="str">
        <f>HYPERLINK("http://www.corstruth.com.au/SA/134168_DD89LR22_cs.png","134168_DD89LR22_A4")</f>
        <v>134168_DD89LR22_A4</v>
      </c>
      <c r="B1693" t="str">
        <f>HYPERLINK("http://www.corstruth.com.au/SA/PNG2/134168_DD89LR22_cs.png","134168_DD89LR22_0.25m Bins")</f>
        <v>134168_DD89LR22_0.25m Bins</v>
      </c>
      <c r="C1693" t="str">
        <f>HYPERLINK("http://www.corstruth.com.au/SA/CSV/134168_DD89LR22.csv","134168_DD89LR22_CSV File 1m Bins")</f>
        <v>134168_DD89LR22_CSV File 1m Bins</v>
      </c>
      <c r="D1693">
        <v>134168</v>
      </c>
      <c r="E1693" t="s">
        <v>2163</v>
      </c>
      <c r="F1693" t="str">
        <f>HYPERLINK("https://drillhole.pir.sa.gov.au/Details.aspx?DRILLHOLE_NO=134168","Geol Survey Link")</f>
        <v>Geol Survey Link</v>
      </c>
      <c r="I1693">
        <v>-29.172999999999998</v>
      </c>
      <c r="J1693">
        <v>135.05500000000001</v>
      </c>
      <c r="K1693" t="str">
        <f>HYPERLINK("https://sarigdata.pir.sa.gov.au/nvcl/NVCLDataServices/mosaic.html?datasetid=4eca7981-a729-494b-b87c-e8073e94992","134168_DD89LR22_Core Image")</f>
        <v>134168_DD89LR22_Core Image</v>
      </c>
    </row>
    <row r="1694" spans="1:11" x14ac:dyDescent="0.25">
      <c r="A1694" t="str">
        <f>HYPERLINK("http://www.corstruth.com.au/SA/134169_DD89LR24_cs.png","134169_DD89LR24_A4")</f>
        <v>134169_DD89LR24_A4</v>
      </c>
      <c r="B1694" t="str">
        <f>HYPERLINK("http://www.corstruth.com.au/SA/PNG2/134169_DD89LR24_cs.png","134169_DD89LR24_0.25m Bins")</f>
        <v>134169_DD89LR24_0.25m Bins</v>
      </c>
      <c r="C1694" t="str">
        <f>HYPERLINK("http://www.corstruth.com.au/SA/CSV/134169_DD89LR24.csv","134169_DD89LR24_CSV File 1m Bins")</f>
        <v>134169_DD89LR24_CSV File 1m Bins</v>
      </c>
      <c r="D1694">
        <v>134169</v>
      </c>
      <c r="E1694" t="s">
        <v>2163</v>
      </c>
      <c r="F1694" t="str">
        <f>HYPERLINK("https://drillhole.pir.sa.gov.au/Details.aspx?DRILLHOLE_NO=134169","Geol Survey Link")</f>
        <v>Geol Survey Link</v>
      </c>
      <c r="I1694">
        <v>-29.188500000000001</v>
      </c>
      <c r="J1694">
        <v>134.898</v>
      </c>
      <c r="K1694" t="str">
        <f>HYPERLINK("https://sarigdata.pir.sa.gov.au/nvcl/NVCLDataServices/mosaic.html?datasetid=fd286c58-3eb8-4c8c-a2b5-184c651deb8","134169_DD89LR24_Core Image")</f>
        <v>134169_DD89LR24_Core Image</v>
      </c>
    </row>
    <row r="1695" spans="1:11" x14ac:dyDescent="0.25">
      <c r="A1695" t="str">
        <f>HYPERLINK("http://www.corstruth.com.au/SA/134356_GLENLOTH_DGG3_cs.png","134356_GLENLOTH_DGG3_A4")</f>
        <v>134356_GLENLOTH_DGG3_A4</v>
      </c>
      <c r="B1695" t="str">
        <f>HYPERLINK("http://www.corstruth.com.au/SA/PNG2/134356_GLENLOTH_DGG3_cs.png","134356_GLENLOTH_DGG3_0.25m Bins")</f>
        <v>134356_GLENLOTH_DGG3_0.25m Bins</v>
      </c>
      <c r="C1695" t="str">
        <f>HYPERLINK("http://www.corstruth.com.au/SA/CSV/134356_GLENLOTH_DGG3.csv","134356_GLENLOTH_DGG3_CSV File 1m Bins")</f>
        <v>134356_GLENLOTH_DGG3_CSV File 1m Bins</v>
      </c>
      <c r="D1695">
        <v>134356</v>
      </c>
      <c r="E1695" t="s">
        <v>2163</v>
      </c>
      <c r="F1695" t="str">
        <f>HYPERLINK("https://drillhole.pir.sa.gov.au/Details.aspx?DRILLHOLE_NO=134356","Geol Survey Link")</f>
        <v>Geol Survey Link</v>
      </c>
      <c r="I1695">
        <v>-31.066099999999999</v>
      </c>
      <c r="J1695">
        <v>135.102</v>
      </c>
      <c r="K1695" t="str">
        <f>HYPERLINK("https://sarigdata.pir.sa.gov.au/nvcl/NVCLDataServices/mosaic.html?datasetid=65e85643-e282-4152-8709-95c4efed83d","134356_GLENLOTH_DGG3_Core Image")</f>
        <v>134356_GLENLOTH_DGG3_Core Image</v>
      </c>
    </row>
    <row r="1696" spans="1:11" x14ac:dyDescent="0.25">
      <c r="A1696" t="str">
        <f>HYPERLINK("http://www.corstruth.com.au/SA/134357_GLENLOTH_DGG4_cs.png","134357_GLENLOTH_DGG4_A4")</f>
        <v>134357_GLENLOTH_DGG4_A4</v>
      </c>
      <c r="B1696" t="str">
        <f>HYPERLINK("http://www.corstruth.com.au/SA/PNG2/134357_GLENLOTH_DGG4_cs.png","134357_GLENLOTH_DGG4_0.25m Bins")</f>
        <v>134357_GLENLOTH_DGG4_0.25m Bins</v>
      </c>
      <c r="C1696" t="str">
        <f>HYPERLINK("http://www.corstruth.com.au/SA/CSV/134357_GLENLOTH_DGG4.csv","134357_GLENLOTH_DGG4_CSV File 1m Bins")</f>
        <v>134357_GLENLOTH_DGG4_CSV File 1m Bins</v>
      </c>
      <c r="D1696">
        <v>134357</v>
      </c>
      <c r="E1696" t="s">
        <v>2163</v>
      </c>
      <c r="F1696" t="str">
        <f>HYPERLINK("https://drillhole.pir.sa.gov.au/Details.aspx?DRILLHOLE_NO=134357","Geol Survey Link")</f>
        <v>Geol Survey Link</v>
      </c>
      <c r="I1696">
        <v>-31.090399999999999</v>
      </c>
      <c r="J1696">
        <v>135.11500000000001</v>
      </c>
      <c r="K1696" t="str">
        <f>HYPERLINK("https://sarigdata.pir.sa.gov.au/nvcl/NVCLDataServices/mosaic.html?datasetid=ad0597bb-02fd-4886-9f65-6b88ea2cbb0","134357_GLENLOTH_DGG4_Core Image")</f>
        <v>134357_GLENLOTH_DGG4_Core Image</v>
      </c>
    </row>
    <row r="1697" spans="1:11" x14ac:dyDescent="0.25">
      <c r="A1697" t="str">
        <f>HYPERLINK("http://www.corstruth.com.au/SA/134358_GLENLOTH_DGG5_cs.png","134358_GLENLOTH_DGG5_A4")</f>
        <v>134358_GLENLOTH_DGG5_A4</v>
      </c>
      <c r="B1697" t="str">
        <f>HYPERLINK("http://www.corstruth.com.au/SA/PNG2/134358_GLENLOTH_DGG5_cs.png","134358_GLENLOTH_DGG5_0.25m Bins")</f>
        <v>134358_GLENLOTH_DGG5_0.25m Bins</v>
      </c>
      <c r="C1697" t="str">
        <f>HYPERLINK("http://www.corstruth.com.au/SA/CSV/134358_GLENLOTH_DGG5.csv","134358_GLENLOTH_DGG5_CSV File 1m Bins")</f>
        <v>134358_GLENLOTH_DGG5_CSV File 1m Bins</v>
      </c>
      <c r="D1697">
        <v>134358</v>
      </c>
      <c r="E1697" t="s">
        <v>2163</v>
      </c>
      <c r="F1697" t="str">
        <f>HYPERLINK("https://drillhole.pir.sa.gov.au/Details.aspx?DRILLHOLE_NO=134358","Geol Survey Link")</f>
        <v>Geol Survey Link</v>
      </c>
      <c r="I1697">
        <v>-31.094000000000001</v>
      </c>
      <c r="J1697">
        <v>135.11699999999999</v>
      </c>
      <c r="K1697" t="str">
        <f>HYPERLINK("https://sarigdata.pir.sa.gov.au/nvcl/NVCLDataServices/mosaic.html?datasetid=def629f9-b255-4ea2-add5-f7cd6803635","134358_GLENLOTH_DGG5_Core Image")</f>
        <v>134358_GLENLOTH_DGG5_Core Image</v>
      </c>
    </row>
    <row r="1698" spans="1:11" x14ac:dyDescent="0.25">
      <c r="A1698" t="str">
        <f>HYPERLINK("http://www.corstruth.com.au/SA/134901_PE1_cs.png","134901_PE1_A4")</f>
        <v>134901_PE1_A4</v>
      </c>
      <c r="B1698" t="str">
        <f>HYPERLINK("http://www.corstruth.com.au/SA/PNG2/134901_PE1_cs.png","134901_PE1_0.25m Bins")</f>
        <v>134901_PE1_0.25m Bins</v>
      </c>
      <c r="C1698" t="str">
        <f>HYPERLINK("http://www.corstruth.com.au/SA/CSV/134901_PE1.csv","134901_PE1_CSV File 1m Bins")</f>
        <v>134901_PE1_CSV File 1m Bins</v>
      </c>
      <c r="D1698">
        <v>134901</v>
      </c>
      <c r="E1698" t="s">
        <v>2163</v>
      </c>
      <c r="F1698" t="str">
        <f>HYPERLINK("https://drillhole.pir.sa.gov.au/Details.aspx?DRILLHOLE_NO=134901","Geol Survey Link")</f>
        <v>Geol Survey Link</v>
      </c>
      <c r="I1698">
        <v>-32.6815</v>
      </c>
      <c r="J1698">
        <v>135.67099999999999</v>
      </c>
      <c r="K1698" t="str">
        <f>HYPERLINK("https://sarigdata.pir.sa.gov.au/nvcl/NVCLDataServices/mosaic.html?datasetid=84bc8fe3-b6a4-43a6-880c-9c6dfc339f9","134901_PE1_Core Image")</f>
        <v>134901_PE1_Core Image</v>
      </c>
    </row>
    <row r="1699" spans="1:11" x14ac:dyDescent="0.25">
      <c r="A1699" t="str">
        <f>HYPERLINK("http://www.corstruth.com.au/SA/134902_PP1_cs.png","134902_PP1_A4")</f>
        <v>134902_PP1_A4</v>
      </c>
      <c r="B1699" t="str">
        <f>HYPERLINK("http://www.corstruth.com.au/SA/PNG2/134902_PP1_cs.png","134902_PP1_0.25m Bins")</f>
        <v>134902_PP1_0.25m Bins</v>
      </c>
      <c r="C1699" t="str">
        <f>HYPERLINK("http://www.corstruth.com.au/SA/CSV/134902_PP1.csv","134902_PP1_CSV File 1m Bins")</f>
        <v>134902_PP1_CSV File 1m Bins</v>
      </c>
      <c r="D1699">
        <v>134902</v>
      </c>
      <c r="E1699" t="s">
        <v>2163</v>
      </c>
      <c r="F1699" t="str">
        <f>HYPERLINK("https://drillhole.pir.sa.gov.au/Details.aspx?DRILLHOLE_NO=134902","Geol Survey Link")</f>
        <v>Geol Survey Link</v>
      </c>
      <c r="I1699">
        <v>-32.666699999999999</v>
      </c>
      <c r="J1699">
        <v>135.65700000000001</v>
      </c>
      <c r="K1699" t="str">
        <f>HYPERLINK("https://sarigdata.pir.sa.gov.au/nvcl/NVCLDataServices/mosaic.html?datasetid=dd48b54a-1219-405d-a350-4ca1885e873","134902_PP1_Core Image")</f>
        <v>134902_PP1_Core Image</v>
      </c>
    </row>
    <row r="1700" spans="1:11" x14ac:dyDescent="0.25">
      <c r="A1700" t="str">
        <f>HYPERLINK("http://www.corstruth.com.au/SA/135473_SOC_7_cs.png","135473_SOC_7_A4")</f>
        <v>135473_SOC_7_A4</v>
      </c>
      <c r="B1700" t="str">
        <f>HYPERLINK("http://www.corstruth.com.au/SA/PNG2/135473_SOC_7_cs.png","135473_SOC_7_0.25m Bins")</f>
        <v>135473_SOC_7_0.25m Bins</v>
      </c>
      <c r="C1700" t="str">
        <f>HYPERLINK("http://www.corstruth.com.au/SA/CSV/135473_SOC_7.csv","135473_SOC_7_CSV File 1m Bins")</f>
        <v>135473_SOC_7_CSV File 1m Bins</v>
      </c>
      <c r="D1700">
        <v>135473</v>
      </c>
      <c r="E1700" t="s">
        <v>2163</v>
      </c>
      <c r="F1700" t="str">
        <f>HYPERLINK("https://drillhole.pir.sa.gov.au/Details.aspx?DRILLHOLE_NO=135473","Geol Survey Link")</f>
        <v>Geol Survey Link</v>
      </c>
      <c r="I1700">
        <v>-32.747500000000002</v>
      </c>
      <c r="J1700">
        <v>137.37899999999999</v>
      </c>
      <c r="K1700" t="str">
        <f>HYPERLINK("https://sarigdata.pir.sa.gov.au/nvcl/NVCLDataServices/mosaic.html?datasetid=d1fc0322-c60f-461b-8c8b-6401c3442e5","135473_SOC_7_Core Image")</f>
        <v>135473_SOC_7_Core Image</v>
      </c>
    </row>
    <row r="1701" spans="1:11" x14ac:dyDescent="0.25">
      <c r="A1701" t="str">
        <f>HYPERLINK("http://www.corstruth.com.au/SA/135623_CD1_cs.png","135623_CD1_A4")</f>
        <v>135623_CD1_A4</v>
      </c>
      <c r="B1701" t="str">
        <f>HYPERLINK("http://www.corstruth.com.au/SA/PNG2/135623_CD1_cs.png","135623_CD1_0.25m Bins")</f>
        <v>135623_CD1_0.25m Bins</v>
      </c>
      <c r="C1701" t="str">
        <f>HYPERLINK("http://www.corstruth.com.au/SA/CSV/135623_CD1.csv","135623_CD1_CSV File 1m Bins")</f>
        <v>135623_CD1_CSV File 1m Bins</v>
      </c>
      <c r="D1701">
        <v>135623</v>
      </c>
      <c r="E1701" t="s">
        <v>2163</v>
      </c>
      <c r="F1701" t="str">
        <f>HYPERLINK("https://drillhole.pir.sa.gov.au/Details.aspx?DRILLHOLE_NO=135623","Geol Survey Link")</f>
        <v>Geol Survey Link</v>
      </c>
      <c r="I1701">
        <v>-31.199100000000001</v>
      </c>
      <c r="J1701">
        <v>129.352</v>
      </c>
      <c r="K1701" t="str">
        <f>HYPERLINK("https://sarigdata.pir.sa.gov.au/nvcl/NVCLDataServices/mosaic.html?datasetid=98d90c1d-956f-473e-931b-337a64d1096","135623_CD1_Core Image")</f>
        <v>135623_CD1_Core Image</v>
      </c>
    </row>
    <row r="1702" spans="1:11" x14ac:dyDescent="0.25">
      <c r="A1702" t="str">
        <f>HYPERLINK("http://www.corstruth.com.au/SA/136224_EDD2_cs.png","136224_EDD2_A4")</f>
        <v>136224_EDD2_A4</v>
      </c>
      <c r="B1702" t="str">
        <f>HYPERLINK("http://www.corstruth.com.au/SA/PNG2/136224_EDD2_cs.png","136224_EDD2_0.25m Bins")</f>
        <v>136224_EDD2_0.25m Bins</v>
      </c>
      <c r="C1702" t="str">
        <f>HYPERLINK("http://www.corstruth.com.au/SA/CSV/136224_EDD2.csv","136224_EDD2_CSV File 1m Bins")</f>
        <v>136224_EDD2_CSV File 1m Bins</v>
      </c>
      <c r="D1702">
        <v>136224</v>
      </c>
      <c r="E1702" t="s">
        <v>2163</v>
      </c>
      <c r="F1702" t="str">
        <f>HYPERLINK("https://drillhole.pir.sa.gov.au/Details.aspx?DRILLHOLE_NO=136224","Geol Survey Link")</f>
        <v>Geol Survey Link</v>
      </c>
      <c r="I1702">
        <v>-30.865300000000001</v>
      </c>
      <c r="J1702">
        <v>134.99799999999999</v>
      </c>
      <c r="K1702" t="str">
        <f>HYPERLINK("https://sarigdata.pir.sa.gov.au/nvcl/NVCLDataServices/mosaic.html?datasetid=82d76818-60ae-49e3-ac83-8ff86618637","136224_EDD2_Core Image")</f>
        <v>136224_EDD2_Core Image</v>
      </c>
    </row>
    <row r="1703" spans="1:11" x14ac:dyDescent="0.25">
      <c r="A1703" t="str">
        <f>HYPERLINK("http://www.corstruth.com.au/SA/136226_EDD4_cs.png","136226_EDD4_A4")</f>
        <v>136226_EDD4_A4</v>
      </c>
      <c r="B1703" t="str">
        <f>HYPERLINK("http://www.corstruth.com.au/SA/PNG2/136226_EDD4_cs.png","136226_EDD4_0.25m Bins")</f>
        <v>136226_EDD4_0.25m Bins</v>
      </c>
      <c r="C1703" t="str">
        <f>HYPERLINK("http://www.corstruth.com.au/SA/CSV/136226_EDD4.csv","136226_EDD4_CSV File 1m Bins")</f>
        <v>136226_EDD4_CSV File 1m Bins</v>
      </c>
      <c r="D1703">
        <v>136226</v>
      </c>
      <c r="E1703" t="s">
        <v>2163</v>
      </c>
      <c r="F1703" t="str">
        <f>HYPERLINK("https://drillhole.pir.sa.gov.au/Details.aspx?DRILLHOLE_NO=136226","Geol Survey Link")</f>
        <v>Geol Survey Link</v>
      </c>
      <c r="I1703">
        <v>-30.868300000000001</v>
      </c>
      <c r="J1703">
        <v>134.994</v>
      </c>
      <c r="K1703" t="str">
        <f>HYPERLINK("https://sarigdata.pir.sa.gov.au/nvcl/NVCLDataServices/mosaic.html?datasetid=f75234f6-c209-4ad4-b089-32068e42e1c","136226_EDD4_Core Image")</f>
        <v>136226_EDD4_Core Image</v>
      </c>
    </row>
    <row r="1704" spans="1:11" x14ac:dyDescent="0.25">
      <c r="A1704" t="str">
        <f>HYPERLINK("http://www.corstruth.com.au/SA/136296_Tarcoola_L2-2_cs.png","136296_Tarcoola_L2-2_A4")</f>
        <v>136296_Tarcoola_L2-2_A4</v>
      </c>
      <c r="B1704" t="str">
        <f>HYPERLINK("http://www.corstruth.com.au/SA/PNG2/136296_Tarcoola_L2-2_cs.png","136296_Tarcoola_L2-2_0.25m Bins")</f>
        <v>136296_Tarcoola_L2-2_0.25m Bins</v>
      </c>
      <c r="C1704" t="str">
        <f>HYPERLINK("http://www.corstruth.com.au/SA/CSV/136296_Tarcoola_L2-2.csv","136296_Tarcoola_L2-2_CSV File 1m Bins")</f>
        <v>136296_Tarcoola_L2-2_CSV File 1m Bins</v>
      </c>
      <c r="D1704">
        <v>136296</v>
      </c>
      <c r="E1704" t="s">
        <v>2163</v>
      </c>
      <c r="F1704" t="str">
        <f>HYPERLINK("https://drillhole.pir.sa.gov.au/Details.aspx?DRILLHOLE_NO=136296","Geol Survey Link")</f>
        <v>Geol Survey Link</v>
      </c>
      <c r="I1704">
        <v>-30.7088</v>
      </c>
      <c r="J1704">
        <v>134.53399999999999</v>
      </c>
      <c r="K1704" t="str">
        <f>HYPERLINK("https://sarigdata.pir.sa.gov.au/nvcl/NVCLDataServices/mosaic.html?datasetid=020b8e46-ce00-4242-a6a5-29f004108ff","136296_Tarcoola_L2-2_Core Image")</f>
        <v>136296_Tarcoola_L2-2_Core Image</v>
      </c>
    </row>
    <row r="1705" spans="1:11" x14ac:dyDescent="0.25">
      <c r="A1705" t="str">
        <f>HYPERLINK("http://www.corstruth.com.au/SA/136299_Tarcoola_L2-4_cs.png","136299_Tarcoola_L2-4_A4")</f>
        <v>136299_Tarcoola_L2-4_A4</v>
      </c>
      <c r="B1705" t="str">
        <f>HYPERLINK("http://www.corstruth.com.au/SA/PNG2/136299_Tarcoola_L2-4_cs.png","136299_Tarcoola_L2-4_0.25m Bins")</f>
        <v>136299_Tarcoola_L2-4_0.25m Bins</v>
      </c>
      <c r="C1705" t="str">
        <f>HYPERLINK("http://www.corstruth.com.au/SA/CSV/136299_Tarcoola_L2-4.csv","136299_Tarcoola_L2-4_CSV File 1m Bins")</f>
        <v>136299_Tarcoola_L2-4_CSV File 1m Bins</v>
      </c>
      <c r="D1705">
        <v>136299</v>
      </c>
      <c r="E1705" t="s">
        <v>2163</v>
      </c>
      <c r="F1705" t="str">
        <f>HYPERLINK("https://drillhole.pir.sa.gov.au/Details.aspx?DRILLHOLE_NO=136299","Geol Survey Link")</f>
        <v>Geol Survey Link</v>
      </c>
      <c r="I1705">
        <v>-30.7088</v>
      </c>
      <c r="J1705">
        <v>134.53399999999999</v>
      </c>
      <c r="K1705" t="str">
        <f>HYPERLINK("https://sarigdata.pir.sa.gov.au/nvcl/NVCLDataServices/mosaic.html?datasetid=7eb8cd71-93a6-45d5-b12e-d4b765a43b0","136299_Tarcoola_L2-4_Core Image")</f>
        <v>136299_Tarcoola_L2-4_Core Image</v>
      </c>
    </row>
    <row r="1706" spans="1:11" x14ac:dyDescent="0.25">
      <c r="A1706" t="str">
        <f>HYPERLINK("http://www.corstruth.com.au/SA/136302_Tarcoola_L2-7_cs.png","136302_Tarcoola_L2-7_A4")</f>
        <v>136302_Tarcoola_L2-7_A4</v>
      </c>
      <c r="B1706" t="str">
        <f>HYPERLINK("http://www.corstruth.com.au/SA/PNG2/136302_Tarcoola_L2-7_cs.png","136302_Tarcoola_L2-7_0.25m Bins")</f>
        <v>136302_Tarcoola_L2-7_0.25m Bins</v>
      </c>
      <c r="C1706" t="str">
        <f>HYPERLINK("http://www.corstruth.com.au/SA/CSV/136302_Tarcoola_L2-7.csv","136302_Tarcoola_L2-7_CSV File 1m Bins")</f>
        <v>136302_Tarcoola_L2-7_CSV File 1m Bins</v>
      </c>
      <c r="D1706">
        <v>136302</v>
      </c>
      <c r="E1706" t="s">
        <v>2163</v>
      </c>
      <c r="F1706" t="str">
        <f>HYPERLINK("https://drillhole.pir.sa.gov.au/Details.aspx?DRILLHOLE_NO=136302","Geol Survey Link")</f>
        <v>Geol Survey Link</v>
      </c>
      <c r="I1706">
        <v>-30.708200000000001</v>
      </c>
      <c r="J1706">
        <v>134.535</v>
      </c>
      <c r="K1706" t="str">
        <f>HYPERLINK("https://sarigdata.pir.sa.gov.au/nvcl/NVCLDataServices/mosaic.html?datasetid=6006e4ec-a88f-488e-b598-9fb0291741b","136302_Tarcoola_L2-7_Core Image")</f>
        <v>136302_Tarcoola_L2-7_Core Image</v>
      </c>
    </row>
    <row r="1707" spans="1:11" x14ac:dyDescent="0.25">
      <c r="A1707" t="str">
        <f>HYPERLINK("http://www.corstruth.com.au/SA/136303_Tarcoola_L2-8_cs.png","136303_Tarcoola_L2-8_A4")</f>
        <v>136303_Tarcoola_L2-8_A4</v>
      </c>
      <c r="B1707" t="str">
        <f>HYPERLINK("http://www.corstruth.com.au/SA/PNG2/136303_Tarcoola_L2-8_cs.png","136303_Tarcoola_L2-8_0.25m Bins")</f>
        <v>136303_Tarcoola_L2-8_0.25m Bins</v>
      </c>
      <c r="C1707" t="str">
        <f>HYPERLINK("http://www.corstruth.com.au/SA/CSV/136303_Tarcoola_L2-8.csv","136303_Tarcoola_L2-8_CSV File 1m Bins")</f>
        <v>136303_Tarcoola_L2-8_CSV File 1m Bins</v>
      </c>
      <c r="D1707">
        <v>136303</v>
      </c>
      <c r="E1707" t="s">
        <v>2163</v>
      </c>
      <c r="F1707" t="str">
        <f>HYPERLINK("https://drillhole.pir.sa.gov.au/Details.aspx?DRILLHOLE_NO=136303","Geol Survey Link")</f>
        <v>Geol Survey Link</v>
      </c>
      <c r="I1707">
        <v>-30.708300000000001</v>
      </c>
      <c r="J1707">
        <v>134.536</v>
      </c>
      <c r="K1707" t="str">
        <f>HYPERLINK("https://sarigdata.pir.sa.gov.au/nvcl/NVCLDataServices/mosaic.html?datasetid=078a3071-9699-49e5-93c8-6b9e70942f2","136303_Tarcoola_L2-8_Core Image")</f>
        <v>136303_Tarcoola_L2-8_Core Image</v>
      </c>
    </row>
    <row r="1708" spans="1:11" x14ac:dyDescent="0.25">
      <c r="A1708" t="str">
        <f>HYPERLINK("http://www.corstruth.com.au/SA/136307_Tarcoola_L2-12_cs.png","136307_Tarcoola_L2-12_A4")</f>
        <v>136307_Tarcoola_L2-12_A4</v>
      </c>
      <c r="B1708" t="str">
        <f>HYPERLINK("http://www.corstruth.com.au/SA/PNG2/136307_Tarcoola_L2-12_cs.png","136307_Tarcoola_L2-12_0.25m Bins")</f>
        <v>136307_Tarcoola_L2-12_0.25m Bins</v>
      </c>
      <c r="C1708" t="str">
        <f>HYPERLINK("http://www.corstruth.com.au/SA/CSV/136307_Tarcoola_L2-12.csv","136307_Tarcoola_L2-12_CSV File 1m Bins")</f>
        <v>136307_Tarcoola_L2-12_CSV File 1m Bins</v>
      </c>
      <c r="D1708">
        <v>136307</v>
      </c>
      <c r="E1708" t="s">
        <v>2163</v>
      </c>
      <c r="F1708" t="str">
        <f>HYPERLINK("https://drillhole.pir.sa.gov.au/Details.aspx?DRILLHOLE_NO=136307","Geol Survey Link")</f>
        <v>Geol Survey Link</v>
      </c>
      <c r="I1708">
        <v>-30.708400000000001</v>
      </c>
      <c r="J1708">
        <v>134.535</v>
      </c>
      <c r="K1708" t="str">
        <f>HYPERLINK("https://sarigdata.pir.sa.gov.au/nvcl/NVCLDataServices/mosaic.html?datasetid=a8381a95-17f0-4bb6-bdaa-52e0ed8041c","136307_Tarcoola_L2-12_Core Image")</f>
        <v>136307_Tarcoola_L2-12_Core Image</v>
      </c>
    </row>
    <row r="1709" spans="1:11" x14ac:dyDescent="0.25">
      <c r="A1709" t="str">
        <f>HYPERLINK("http://www.corstruth.com.au/SA/136309_Tarcoola_L2-14_cs.png","136309_Tarcoola_L2-14_A4")</f>
        <v>136309_Tarcoola_L2-14_A4</v>
      </c>
      <c r="B1709" t="str">
        <f>HYPERLINK("http://www.corstruth.com.au/SA/PNG2/136309_Tarcoola_L2-14_cs.png","136309_Tarcoola_L2-14_0.25m Bins")</f>
        <v>136309_Tarcoola_L2-14_0.25m Bins</v>
      </c>
      <c r="C1709" t="str">
        <f>HYPERLINK("http://www.corstruth.com.au/SA/CSV/136309_Tarcoola_L2-14.csv","136309_Tarcoola_L2-14_CSV File 1m Bins")</f>
        <v>136309_Tarcoola_L2-14_CSV File 1m Bins</v>
      </c>
      <c r="D1709">
        <v>136309</v>
      </c>
      <c r="E1709" t="s">
        <v>2163</v>
      </c>
      <c r="F1709" t="str">
        <f>HYPERLINK("https://drillhole.pir.sa.gov.au/Details.aspx?DRILLHOLE_NO=136309","Geol Survey Link")</f>
        <v>Geol Survey Link</v>
      </c>
      <c r="I1709">
        <v>-30.7087</v>
      </c>
      <c r="J1709">
        <v>134.536</v>
      </c>
      <c r="K1709" t="str">
        <f>HYPERLINK("https://sarigdata.pir.sa.gov.au/nvcl/NVCLDataServices/mosaic.html?datasetid=a0048c7f-5e5c-41de-a990-4fb29123c9c","136309_Tarcoola_L2-14_Core Image")</f>
        <v>136309_Tarcoola_L2-14_Core Image</v>
      </c>
    </row>
    <row r="1710" spans="1:11" x14ac:dyDescent="0.25">
      <c r="A1710" t="str">
        <f>HYPERLINK("http://www.corstruth.com.au/SA/136310_Tarcoola_L2-15_cs.png","136310_Tarcoola_L2-15_A4")</f>
        <v>136310_Tarcoola_L2-15_A4</v>
      </c>
      <c r="B1710" t="str">
        <f>HYPERLINK("http://www.corstruth.com.au/SA/PNG2/136310_Tarcoola_L2-15_cs.png","136310_Tarcoola_L2-15_0.25m Bins")</f>
        <v>136310_Tarcoola_L2-15_0.25m Bins</v>
      </c>
      <c r="C1710" t="str">
        <f>HYPERLINK("http://www.corstruth.com.au/SA/CSV/136310_Tarcoola_L2-15.csv","136310_Tarcoola_L2-15_CSV File 1m Bins")</f>
        <v>136310_Tarcoola_L2-15_CSV File 1m Bins</v>
      </c>
      <c r="D1710">
        <v>136310</v>
      </c>
      <c r="E1710" t="s">
        <v>2163</v>
      </c>
      <c r="F1710" t="str">
        <f>HYPERLINK("https://drillhole.pir.sa.gov.au/Details.aspx?DRILLHOLE_NO=136310","Geol Survey Link")</f>
        <v>Geol Survey Link</v>
      </c>
      <c r="I1710">
        <v>-30.7088</v>
      </c>
      <c r="J1710">
        <v>134.536</v>
      </c>
      <c r="K1710" t="str">
        <f>HYPERLINK("https://sarigdata.pir.sa.gov.au/nvcl/NVCLDataServices/mosaic.html?datasetid=0e0ba5de-ece5-428f-a954-5fa04d696f7","136310_Tarcoola_L2-15_Core Image")</f>
        <v>136310_Tarcoola_L2-15_Core Image</v>
      </c>
    </row>
    <row r="1711" spans="1:11" x14ac:dyDescent="0.25">
      <c r="A1711" t="str">
        <f>HYPERLINK("http://www.corstruth.com.au/SA/136311_Tarcoola_L2-16_cs.png","136311_Tarcoola_L2-16_A4")</f>
        <v>136311_Tarcoola_L2-16_A4</v>
      </c>
      <c r="B1711" t="str">
        <f>HYPERLINK("http://www.corstruth.com.au/SA/PNG2/136311_Tarcoola_L2-16_cs.png","136311_Tarcoola_L2-16_0.25m Bins")</f>
        <v>136311_Tarcoola_L2-16_0.25m Bins</v>
      </c>
      <c r="C1711" t="str">
        <f>HYPERLINK("http://www.corstruth.com.au/SA/CSV/136311_Tarcoola_L2-16.csv","136311_Tarcoola_L2-16_CSV File 1m Bins")</f>
        <v>136311_Tarcoola_L2-16_CSV File 1m Bins</v>
      </c>
      <c r="D1711">
        <v>136311</v>
      </c>
      <c r="E1711" t="s">
        <v>2163</v>
      </c>
      <c r="F1711" t="str">
        <f>HYPERLINK("https://drillhole.pir.sa.gov.au/Details.aspx?DRILLHOLE_NO=136311","Geol Survey Link")</f>
        <v>Geol Survey Link</v>
      </c>
      <c r="I1711">
        <v>-30.709</v>
      </c>
      <c r="J1711">
        <v>134.536</v>
      </c>
      <c r="K1711" t="str">
        <f>HYPERLINK("https://sarigdata.pir.sa.gov.au/nvcl/NVCLDataServices/mosaic.html?datasetid=cc1c6511-4c9c-4ecb-920a-d89cd29e878","136311_Tarcoola_L2-16_Core Image")</f>
        <v>136311_Tarcoola_L2-16_Core Image</v>
      </c>
    </row>
    <row r="1712" spans="1:11" x14ac:dyDescent="0.25">
      <c r="A1712" t="str">
        <f>HYPERLINK("http://www.corstruth.com.au/SA/136316_Tarcoola_L2-22_cs.png","136316_Tarcoola_L2-22_A4")</f>
        <v>136316_Tarcoola_L2-22_A4</v>
      </c>
      <c r="B1712" t="str">
        <f>HYPERLINK("http://www.corstruth.com.au/SA/PNG2/136316_Tarcoola_L2-22_cs.png","136316_Tarcoola_L2-22_0.25m Bins")</f>
        <v>136316_Tarcoola_L2-22_0.25m Bins</v>
      </c>
      <c r="C1712" t="str">
        <f>HYPERLINK("http://www.corstruth.com.au/SA/CSV/136316_Tarcoola_L2-22.csv","136316_Tarcoola_L2-22_CSV File 1m Bins")</f>
        <v>136316_Tarcoola_L2-22_CSV File 1m Bins</v>
      </c>
      <c r="D1712">
        <v>136316</v>
      </c>
      <c r="E1712" t="s">
        <v>2163</v>
      </c>
      <c r="F1712" t="str">
        <f>HYPERLINK("https://drillhole.pir.sa.gov.au/Details.aspx?DRILLHOLE_NO=136316","Geol Survey Link")</f>
        <v>Geol Survey Link</v>
      </c>
      <c r="I1712">
        <v>-30.7088</v>
      </c>
      <c r="J1712">
        <v>134.536</v>
      </c>
      <c r="K1712" t="str">
        <f>HYPERLINK("https://sarigdata.pir.sa.gov.au/nvcl/NVCLDataServices/mosaic.html?datasetid=ee8c5f90-7d43-4cf4-814b-b9b23ee552c","136316_Tarcoola_L2-22_Core Image")</f>
        <v>136316_Tarcoola_L2-22_Core Image</v>
      </c>
    </row>
    <row r="1713" spans="1:11" x14ac:dyDescent="0.25">
      <c r="A1713" t="str">
        <f>HYPERLINK("http://www.corstruth.com.au/SA/136330_Tarcoola_L3-1_cs.png","136330_Tarcoola_L3-1_A4")</f>
        <v>136330_Tarcoola_L3-1_A4</v>
      </c>
      <c r="B1713" t="str">
        <f>HYPERLINK("http://www.corstruth.com.au/SA/PNG2/136330_Tarcoola_L3-1_cs.png","136330_Tarcoola_L3-1_0.25m Bins")</f>
        <v>136330_Tarcoola_L3-1_0.25m Bins</v>
      </c>
      <c r="C1713" t="str">
        <f>HYPERLINK("http://www.corstruth.com.au/SA/CSV/136330_Tarcoola_L3-1.csv","136330_Tarcoola_L3-1_CSV File 1m Bins")</f>
        <v>136330_Tarcoola_L3-1_CSV File 1m Bins</v>
      </c>
      <c r="D1713">
        <v>136330</v>
      </c>
      <c r="E1713" t="s">
        <v>2163</v>
      </c>
      <c r="F1713" t="str">
        <f>HYPERLINK("https://drillhole.pir.sa.gov.au/Details.aspx?DRILLHOLE_NO=136330","Geol Survey Link")</f>
        <v>Geol Survey Link</v>
      </c>
      <c r="I1713">
        <v>-30.7087</v>
      </c>
      <c r="J1713">
        <v>134.536</v>
      </c>
      <c r="K1713" t="str">
        <f>HYPERLINK("https://sarigdata.pir.sa.gov.au/nvcl/NVCLDataServices/mosaic.html?datasetid=7490d5e1-6f53-483a-80c4-6e159d31245","136330_Tarcoola_L3-1_Core Image")</f>
        <v>136330_Tarcoola_L3-1_Core Image</v>
      </c>
    </row>
    <row r="1714" spans="1:11" x14ac:dyDescent="0.25">
      <c r="A1714" t="str">
        <f>HYPERLINK("http://www.corstruth.com.au/SA/136331_Tarcoola_L3-2_cs.png","136331_Tarcoola_L3-2_A4")</f>
        <v>136331_Tarcoola_L3-2_A4</v>
      </c>
      <c r="B1714" t="str">
        <f>HYPERLINK("http://www.corstruth.com.au/SA/PNG2/136331_Tarcoola_L3-2_cs.png","136331_Tarcoola_L3-2_0.25m Bins")</f>
        <v>136331_Tarcoola_L3-2_0.25m Bins</v>
      </c>
      <c r="C1714" t="str">
        <f>HYPERLINK("http://www.corstruth.com.au/SA/CSV/136331_Tarcoola_L3-2.csv","136331_Tarcoola_L3-2_CSV File 1m Bins")</f>
        <v>136331_Tarcoola_L3-2_CSV File 1m Bins</v>
      </c>
      <c r="D1714">
        <v>136331</v>
      </c>
      <c r="E1714" t="s">
        <v>2163</v>
      </c>
      <c r="F1714" t="str">
        <f>HYPERLINK("https://drillhole.pir.sa.gov.au/Details.aspx?DRILLHOLE_NO=136331","Geol Survey Link")</f>
        <v>Geol Survey Link</v>
      </c>
      <c r="I1714">
        <v>-30.7088</v>
      </c>
      <c r="J1714">
        <v>134.536</v>
      </c>
      <c r="K1714" t="str">
        <f>HYPERLINK("https://sarigdata.pir.sa.gov.au/nvcl/NVCLDataServices/mosaic.html?datasetid=03006e17-3626-42ee-93c6-32d17e7c1ef","136331_Tarcoola_L3-2_Core Image")</f>
        <v>136331_Tarcoola_L3-2_Core Image</v>
      </c>
    </row>
    <row r="1715" spans="1:11" x14ac:dyDescent="0.25">
      <c r="A1715" t="str">
        <f>HYPERLINK("http://www.corstruth.com.au/SA/136334_Tarcoola_L3-3_cs.png","136334_Tarcoola_L3-3_A4")</f>
        <v>136334_Tarcoola_L3-3_A4</v>
      </c>
      <c r="B1715" t="str">
        <f>HYPERLINK("http://www.corstruth.com.au/SA/PNG2/136334_Tarcoola_L3-3_cs.png","136334_Tarcoola_L3-3_0.25m Bins")</f>
        <v>136334_Tarcoola_L3-3_0.25m Bins</v>
      </c>
      <c r="C1715" t="str">
        <f>HYPERLINK("http://www.corstruth.com.au/SA/CSV/136334_Tarcoola_L3-3.csv","136334_Tarcoola_L3-3_CSV File 1m Bins")</f>
        <v>136334_Tarcoola_L3-3_CSV File 1m Bins</v>
      </c>
      <c r="D1715">
        <v>136334</v>
      </c>
      <c r="E1715" t="s">
        <v>2163</v>
      </c>
      <c r="F1715" t="str">
        <f>HYPERLINK("https://drillhole.pir.sa.gov.au/Details.aspx?DRILLHOLE_NO=136334","Geol Survey Link")</f>
        <v>Geol Survey Link</v>
      </c>
      <c r="I1715">
        <v>-30.7088</v>
      </c>
      <c r="J1715">
        <v>134.536</v>
      </c>
      <c r="K1715" t="str">
        <f>HYPERLINK("https://sarigdata.pir.sa.gov.au/nvcl/NVCLDataServices/mosaic.html?datasetid=17c182a9-515d-4dad-875f-4709e6af7f4","136334_Tarcoola_L3-3_Core Image")</f>
        <v>136334_Tarcoola_L3-3_Core Image</v>
      </c>
    </row>
    <row r="1716" spans="1:11" x14ac:dyDescent="0.25">
      <c r="A1716" t="str">
        <f>HYPERLINK("http://www.corstruth.com.au/SA/136336_Tarcoola_L3-4_cs.png","136336_Tarcoola_L3-4_A4")</f>
        <v>136336_Tarcoola_L3-4_A4</v>
      </c>
      <c r="B1716" t="str">
        <f>HYPERLINK("http://www.corstruth.com.au/SA/PNG2/136336_Tarcoola_L3-4_cs.png","136336_Tarcoola_L3-4_0.25m Bins")</f>
        <v>136336_Tarcoola_L3-4_0.25m Bins</v>
      </c>
      <c r="C1716" t="str">
        <f>HYPERLINK("http://www.corstruth.com.au/SA/CSV/136336_Tarcoola_L3-4.csv","136336_Tarcoola_L3-4_CSV File 1m Bins")</f>
        <v>136336_Tarcoola_L3-4_CSV File 1m Bins</v>
      </c>
      <c r="D1716">
        <v>136336</v>
      </c>
      <c r="E1716" t="s">
        <v>2163</v>
      </c>
      <c r="F1716" t="str">
        <f>HYPERLINK("https://drillhole.pir.sa.gov.au/Details.aspx?DRILLHOLE_NO=136336","Geol Survey Link")</f>
        <v>Geol Survey Link</v>
      </c>
      <c r="I1716">
        <v>-30.7087</v>
      </c>
      <c r="J1716">
        <v>134.536</v>
      </c>
      <c r="K1716" t="str">
        <f>HYPERLINK("https://sarigdata.pir.sa.gov.au/nvcl/NVCLDataServices/mosaic.html?datasetid=8fe291dd-3765-40aa-8392-18715944a6c","136336_Tarcoola_L3-4_Core Image")</f>
        <v>136336_Tarcoola_L3-4_Core Image</v>
      </c>
    </row>
    <row r="1717" spans="1:11" x14ac:dyDescent="0.25">
      <c r="A1717" t="str">
        <f>HYPERLINK("http://www.corstruth.com.au/SA/136340_Tarcoola_L3-5_cs.png","136340_Tarcoola_L3-5_A4")</f>
        <v>136340_Tarcoola_L3-5_A4</v>
      </c>
      <c r="B1717" t="str">
        <f>HYPERLINK("http://www.corstruth.com.au/SA/PNG2/136340_Tarcoola_L3-5_cs.png","136340_Tarcoola_L3-5_0.25m Bins")</f>
        <v>136340_Tarcoola_L3-5_0.25m Bins</v>
      </c>
      <c r="C1717" t="str">
        <f>HYPERLINK("http://www.corstruth.com.au/SA/CSV/136340_Tarcoola_L3-5.csv","136340_Tarcoola_L3-5_CSV File 1m Bins")</f>
        <v>136340_Tarcoola_L3-5_CSV File 1m Bins</v>
      </c>
      <c r="D1717">
        <v>136340</v>
      </c>
      <c r="E1717" t="s">
        <v>2163</v>
      </c>
      <c r="F1717" t="str">
        <f>HYPERLINK("https://drillhole.pir.sa.gov.au/Details.aspx?DRILLHOLE_NO=136340","Geol Survey Link")</f>
        <v>Geol Survey Link</v>
      </c>
      <c r="I1717">
        <v>-30.7088</v>
      </c>
      <c r="J1717">
        <v>134.536</v>
      </c>
      <c r="K1717" t="str">
        <f>HYPERLINK("https://sarigdata.pir.sa.gov.au/nvcl/NVCLDataServices/mosaic.html?datasetid=3ebc9def-3a68-40a2-a20e-9e0b164363e","136340_Tarcoola_L3-5_Core Image")</f>
        <v>136340_Tarcoola_L3-5_Core Image</v>
      </c>
    </row>
    <row r="1718" spans="1:11" x14ac:dyDescent="0.25">
      <c r="A1718" t="str">
        <f>HYPERLINK("http://www.corstruth.com.au/SA/136341_Tarcoola_L3-6_cs.png","136341_Tarcoola_L3-6_A4")</f>
        <v>136341_Tarcoola_L3-6_A4</v>
      </c>
      <c r="B1718" t="str">
        <f>HYPERLINK("http://www.corstruth.com.au/SA/PNG2/136341_Tarcoola_L3-6_cs.png","136341_Tarcoola_L3-6_0.25m Bins")</f>
        <v>136341_Tarcoola_L3-6_0.25m Bins</v>
      </c>
      <c r="C1718" t="str">
        <f>HYPERLINK("http://www.corstruth.com.au/SA/CSV/136341_Tarcoola_L3-6.csv","136341_Tarcoola_L3-6_CSV File 1m Bins")</f>
        <v>136341_Tarcoola_L3-6_CSV File 1m Bins</v>
      </c>
      <c r="D1718">
        <v>136341</v>
      </c>
      <c r="E1718" t="s">
        <v>2163</v>
      </c>
      <c r="F1718" t="str">
        <f>HYPERLINK("https://drillhole.pir.sa.gov.au/Details.aspx?DRILLHOLE_NO=136341","Geol Survey Link")</f>
        <v>Geol Survey Link</v>
      </c>
      <c r="I1718">
        <v>-30.7087</v>
      </c>
      <c r="J1718">
        <v>134.536</v>
      </c>
      <c r="K1718" t="str">
        <f>HYPERLINK("https://sarigdata.pir.sa.gov.au/nvcl/NVCLDataServices/mosaic.html?datasetid=3b6aef94-88fd-4040-8598-27a65611ac4","136341_Tarcoola_L3-6_Core Image")</f>
        <v>136341_Tarcoola_L3-6_Core Image</v>
      </c>
    </row>
    <row r="1719" spans="1:11" x14ac:dyDescent="0.25">
      <c r="A1719" t="str">
        <f>HYPERLINK("http://www.corstruth.com.au/SA/136342_Tarcoola_L3-7_cs.png","136342_Tarcoola_L3-7_A4")</f>
        <v>136342_Tarcoola_L3-7_A4</v>
      </c>
      <c r="B1719" t="str">
        <f>HYPERLINK("http://www.corstruth.com.au/SA/PNG2/136342_Tarcoola_L3-7_cs.png","136342_Tarcoola_L3-7_0.25m Bins")</f>
        <v>136342_Tarcoola_L3-7_0.25m Bins</v>
      </c>
      <c r="C1719" t="str">
        <f>HYPERLINK("http://www.corstruth.com.au/SA/CSV/136342_Tarcoola_L3-7.csv","136342_Tarcoola_L3-7_CSV File 1m Bins")</f>
        <v>136342_Tarcoola_L3-7_CSV File 1m Bins</v>
      </c>
      <c r="D1719">
        <v>136342</v>
      </c>
      <c r="E1719" t="s">
        <v>2163</v>
      </c>
      <c r="F1719" t="str">
        <f>HYPERLINK("https://drillhole.pir.sa.gov.au/Details.aspx?DRILLHOLE_NO=136342","Geol Survey Link")</f>
        <v>Geol Survey Link</v>
      </c>
      <c r="I1719">
        <v>-30.7088</v>
      </c>
      <c r="J1719">
        <v>134.536</v>
      </c>
      <c r="K1719" t="str">
        <f>HYPERLINK("https://sarigdata.pir.sa.gov.au/nvcl/NVCLDataServices/mosaic.html?datasetid=81beddee-30ff-411a-a9fa-5a8c455617d","136342_Tarcoola_L3-7_Core Image")</f>
        <v>136342_Tarcoola_L3-7_Core Image</v>
      </c>
    </row>
    <row r="1720" spans="1:11" x14ac:dyDescent="0.25">
      <c r="A1720" t="str">
        <f>HYPERLINK("http://www.corstruth.com.au/SA/136343_Tarcoola_L3-8_cs.png","136343_Tarcoola_L3-8_A4")</f>
        <v>136343_Tarcoola_L3-8_A4</v>
      </c>
      <c r="B1720" t="str">
        <f>HYPERLINK("http://www.corstruth.com.au/SA/PNG2/136343_Tarcoola_L3-8_cs.png","136343_Tarcoola_L3-8_0.25m Bins")</f>
        <v>136343_Tarcoola_L3-8_0.25m Bins</v>
      </c>
      <c r="C1720" t="str">
        <f>HYPERLINK("http://www.corstruth.com.au/SA/CSV/136343_Tarcoola_L3-8.csv","136343_Tarcoola_L3-8_CSV File 1m Bins")</f>
        <v>136343_Tarcoola_L3-8_CSV File 1m Bins</v>
      </c>
      <c r="D1720">
        <v>136343</v>
      </c>
      <c r="E1720" t="s">
        <v>2163</v>
      </c>
      <c r="F1720" t="str">
        <f>HYPERLINK("https://drillhole.pir.sa.gov.au/Details.aspx?DRILLHOLE_NO=136343","Geol Survey Link")</f>
        <v>Geol Survey Link</v>
      </c>
      <c r="I1720">
        <v>-30.7087</v>
      </c>
      <c r="J1720">
        <v>134.536</v>
      </c>
      <c r="K1720" t="str">
        <f>HYPERLINK("https://sarigdata.pir.sa.gov.au/nvcl/NVCLDataServices/mosaic.html?datasetid=f64754fc-8eee-4c85-98f9-ffebe520c6b","136343_Tarcoola_L3-8_Core Image")</f>
        <v>136343_Tarcoola_L3-8_Core Image</v>
      </c>
    </row>
    <row r="1721" spans="1:11" x14ac:dyDescent="0.25">
      <c r="A1721" t="str">
        <f>HYPERLINK("http://www.corstruth.com.au/SA/136348_Tarcoola_L3-9_cs.png","136348_Tarcoola_L3-9_A4")</f>
        <v>136348_Tarcoola_L3-9_A4</v>
      </c>
      <c r="B1721" t="str">
        <f>HYPERLINK("http://www.corstruth.com.au/SA/PNG2/136348_Tarcoola_L3-9_cs.png","136348_Tarcoola_L3-9_0.25m Bins")</f>
        <v>136348_Tarcoola_L3-9_0.25m Bins</v>
      </c>
      <c r="C1721" t="str">
        <f>HYPERLINK("http://www.corstruth.com.au/SA/CSV/136348_Tarcoola_L3-9.csv","136348_Tarcoola_L3-9_CSV File 1m Bins")</f>
        <v>136348_Tarcoola_L3-9_CSV File 1m Bins</v>
      </c>
      <c r="D1721">
        <v>136348</v>
      </c>
      <c r="E1721" t="s">
        <v>2163</v>
      </c>
      <c r="F1721" t="str">
        <f>HYPERLINK("https://drillhole.pir.sa.gov.au/Details.aspx?DRILLHOLE_NO=136348","Geol Survey Link")</f>
        <v>Geol Survey Link</v>
      </c>
      <c r="I1721">
        <v>-30.7089</v>
      </c>
      <c r="J1721">
        <v>134.536</v>
      </c>
      <c r="K1721" t="str">
        <f>HYPERLINK("https://sarigdata.pir.sa.gov.au/nvcl/NVCLDataServices/mosaic.html?datasetid=e865e316-0d26-4e7d-863b-2385d799468","136348_Tarcoola_L3-9_Core Image")</f>
        <v>136348_Tarcoola_L3-9_Core Image</v>
      </c>
    </row>
    <row r="1722" spans="1:11" x14ac:dyDescent="0.25">
      <c r="A1722" t="str">
        <f>HYPERLINK("http://www.corstruth.com.au/SA/136349_Tarcoola_L3-10_cs.png","136349_Tarcoola_L3-10_A4")</f>
        <v>136349_Tarcoola_L3-10_A4</v>
      </c>
      <c r="B1722" t="str">
        <f>HYPERLINK("http://www.corstruth.com.au/SA/PNG2/136349_Tarcoola_L3-10_cs.png","136349_Tarcoola_L3-10_0.25m Bins")</f>
        <v>136349_Tarcoola_L3-10_0.25m Bins</v>
      </c>
      <c r="C1722" t="str">
        <f>HYPERLINK("http://www.corstruth.com.au/SA/CSV/136349_Tarcoola_L3-10.csv","136349_Tarcoola_L3-10_CSV File 1m Bins")</f>
        <v>136349_Tarcoola_L3-10_CSV File 1m Bins</v>
      </c>
      <c r="D1722">
        <v>136349</v>
      </c>
      <c r="E1722" t="s">
        <v>2163</v>
      </c>
      <c r="F1722" t="str">
        <f>HYPERLINK("https://drillhole.pir.sa.gov.au/Details.aspx?DRILLHOLE_NO=136349","Geol Survey Link")</f>
        <v>Geol Survey Link</v>
      </c>
      <c r="I1722">
        <v>-30.7087</v>
      </c>
      <c r="J1722">
        <v>134.536</v>
      </c>
      <c r="K1722" t="str">
        <f>HYPERLINK("https://sarigdata.pir.sa.gov.au/nvcl/NVCLDataServices/mosaic.html?datasetid=31b36fe9-25ac-41f7-ac87-ff4fae794e2","136349_Tarcoola_L3-10_Core Image")</f>
        <v>136349_Tarcoola_L3-10_Core Image</v>
      </c>
    </row>
    <row r="1723" spans="1:11" x14ac:dyDescent="0.25">
      <c r="A1723" t="str">
        <f>HYPERLINK("http://www.corstruth.com.au/SA/136350_Tarcoola_L3-11_cs.png","136350_Tarcoola_L3-11_A4")</f>
        <v>136350_Tarcoola_L3-11_A4</v>
      </c>
      <c r="B1723" t="str">
        <f>HYPERLINK("http://www.corstruth.com.au/SA/PNG2/136350_Tarcoola_L3-11_cs.png","136350_Tarcoola_L3-11_0.25m Bins")</f>
        <v>136350_Tarcoola_L3-11_0.25m Bins</v>
      </c>
      <c r="C1723" t="str">
        <f>HYPERLINK("http://www.corstruth.com.au/SA/CSV/136350_Tarcoola_L3-11.csv","136350_Tarcoola_L3-11_CSV File 1m Bins")</f>
        <v>136350_Tarcoola_L3-11_CSV File 1m Bins</v>
      </c>
      <c r="D1723">
        <v>136350</v>
      </c>
      <c r="E1723" t="s">
        <v>2163</v>
      </c>
      <c r="F1723" t="str">
        <f>HYPERLINK("https://drillhole.pir.sa.gov.au/Details.aspx?DRILLHOLE_NO=136350","Geol Survey Link")</f>
        <v>Geol Survey Link</v>
      </c>
      <c r="I1723">
        <v>-30.7089</v>
      </c>
      <c r="J1723">
        <v>134.535</v>
      </c>
      <c r="K1723" t="str">
        <f>HYPERLINK("https://sarigdata.pir.sa.gov.au/nvcl/NVCLDataServices/mosaic.html?datasetid=0be5dabc-b33f-4ce4-ac94-982891b1394","136350_Tarcoola_L3-11_Core Image")</f>
        <v>136350_Tarcoola_L3-11_Core Image</v>
      </c>
    </row>
    <row r="1724" spans="1:11" x14ac:dyDescent="0.25">
      <c r="A1724" t="str">
        <f>HYPERLINK("http://www.corstruth.com.au/SA/136351_Tarcoola_L3-12_cs.png","136351_Tarcoola_L3-12_A4")</f>
        <v>136351_Tarcoola_L3-12_A4</v>
      </c>
      <c r="B1724" t="str">
        <f>HYPERLINK("http://www.corstruth.com.au/SA/PNG2/136351_Tarcoola_L3-12_cs.png","136351_Tarcoola_L3-12_0.25m Bins")</f>
        <v>136351_Tarcoola_L3-12_0.25m Bins</v>
      </c>
      <c r="C1724" t="str">
        <f>HYPERLINK("http://www.corstruth.com.au/SA/CSV/136351_Tarcoola_L3-12.csv","136351_Tarcoola_L3-12_CSV File 1m Bins")</f>
        <v>136351_Tarcoola_L3-12_CSV File 1m Bins</v>
      </c>
      <c r="D1724">
        <v>136351</v>
      </c>
      <c r="E1724" t="s">
        <v>2163</v>
      </c>
      <c r="F1724" t="str">
        <f>HYPERLINK("https://drillhole.pir.sa.gov.au/Details.aspx?DRILLHOLE_NO=136351","Geol Survey Link")</f>
        <v>Geol Survey Link</v>
      </c>
      <c r="I1724">
        <v>-30.7088</v>
      </c>
      <c r="J1724">
        <v>134.536</v>
      </c>
      <c r="K1724" t="str">
        <f>HYPERLINK("https://sarigdata.pir.sa.gov.au/nvcl/NVCLDataServices/mosaic.html?datasetid=8948a625-7cb4-4a36-8b6b-961450420df","136351_Tarcoola_L3-12_Core Image")</f>
        <v>136351_Tarcoola_L3-12_Core Image</v>
      </c>
    </row>
    <row r="1725" spans="1:11" x14ac:dyDescent="0.25">
      <c r="A1725" t="str">
        <f>HYPERLINK("http://www.corstruth.com.au/SA/136352_Tarcoola_L3-14_cs.png","136352_Tarcoola_L3-14_A4")</f>
        <v>136352_Tarcoola_L3-14_A4</v>
      </c>
      <c r="B1725" t="str">
        <f>HYPERLINK("http://www.corstruth.com.au/SA/PNG2/136352_Tarcoola_L3-14_cs.png","136352_Tarcoola_L3-14_0.25m Bins")</f>
        <v>136352_Tarcoola_L3-14_0.25m Bins</v>
      </c>
      <c r="C1725" t="str">
        <f>HYPERLINK("http://www.corstruth.com.au/SA/CSV/136352_Tarcoola_L3-14.csv","136352_Tarcoola_L3-14_CSV File 1m Bins")</f>
        <v>136352_Tarcoola_L3-14_CSV File 1m Bins</v>
      </c>
      <c r="D1725">
        <v>136352</v>
      </c>
      <c r="E1725" t="s">
        <v>2163</v>
      </c>
      <c r="F1725" t="str">
        <f>HYPERLINK("https://drillhole.pir.sa.gov.au/Details.aspx?DRILLHOLE_NO=136352","Geol Survey Link")</f>
        <v>Geol Survey Link</v>
      </c>
      <c r="I1725">
        <v>-30.7088</v>
      </c>
      <c r="J1725">
        <v>134.536</v>
      </c>
      <c r="K1725" t="str">
        <f>HYPERLINK("https://sarigdata.pir.sa.gov.au/nvcl/NVCLDataServices/mosaic.html?datasetid=7e3083fa-bdcd-41d7-bc7a-adcc5787671","136352_Tarcoola_L3-14_Core Image")</f>
        <v>136352_Tarcoola_L3-14_Core Image</v>
      </c>
    </row>
    <row r="1726" spans="1:11" x14ac:dyDescent="0.25">
      <c r="A1726" t="str">
        <f>HYPERLINK("http://www.corstruth.com.au/SA/136587_TC51_cs.png","136587_TC51_A4")</f>
        <v>136587_TC51_A4</v>
      </c>
      <c r="D1726">
        <v>136587</v>
      </c>
      <c r="E1726" t="s">
        <v>2163</v>
      </c>
      <c r="F1726" t="str">
        <f>HYPERLINK("https://drillhole.pir.sa.gov.au/Details.aspx?DRILLHOLE_NO=136587","Geol Survey Link")</f>
        <v>Geol Survey Link</v>
      </c>
      <c r="I1726">
        <v>-30.606400000000001</v>
      </c>
      <c r="J1726">
        <v>134.029</v>
      </c>
    </row>
    <row r="1727" spans="1:11" x14ac:dyDescent="0.25">
      <c r="A1727" t="str">
        <f>HYPERLINK("http://www.corstruth.com.au/SA/136588_TC52_cs.png","136588_TC52_A4")</f>
        <v>136588_TC52_A4</v>
      </c>
      <c r="D1727">
        <v>136588</v>
      </c>
      <c r="E1727" t="s">
        <v>2163</v>
      </c>
      <c r="F1727" t="str">
        <f>HYPERLINK("https://drillhole.pir.sa.gov.au/Details.aspx?DRILLHOLE_NO=136588","Geol Survey Link")</f>
        <v>Geol Survey Link</v>
      </c>
      <c r="I1727">
        <v>-30.606000000000002</v>
      </c>
      <c r="J1727">
        <v>134.029</v>
      </c>
    </row>
    <row r="1728" spans="1:11" x14ac:dyDescent="0.25">
      <c r="A1728" t="str">
        <f>HYPERLINK("http://www.corstruth.com.au/SA/136589_TC53_cs.png","136589_TC53_A4")</f>
        <v>136589_TC53_A4</v>
      </c>
      <c r="D1728">
        <v>136589</v>
      </c>
      <c r="E1728" t="s">
        <v>2163</v>
      </c>
      <c r="F1728" t="str">
        <f>HYPERLINK("https://drillhole.pir.sa.gov.au/Details.aspx?DRILLHOLE_NO=136589","Geol Survey Link")</f>
        <v>Geol Survey Link</v>
      </c>
      <c r="I1728">
        <v>-30.6069</v>
      </c>
      <c r="J1728">
        <v>134.036</v>
      </c>
    </row>
    <row r="1729" spans="1:11" x14ac:dyDescent="0.25">
      <c r="A1729" t="str">
        <f>HYPERLINK("http://www.corstruth.com.au/SA/136594_TC58_cs.png","136594_TC58_A4")</f>
        <v>136594_TC58_A4</v>
      </c>
      <c r="D1729">
        <v>136594</v>
      </c>
      <c r="E1729" t="s">
        <v>2163</v>
      </c>
      <c r="F1729" t="str">
        <f>HYPERLINK("https://drillhole.pir.sa.gov.au/Details.aspx?DRILLHOLE_NO=136594","Geol Survey Link")</f>
        <v>Geol Survey Link</v>
      </c>
      <c r="I1729">
        <v>-30.597200000000001</v>
      </c>
      <c r="J1729">
        <v>134.03100000000001</v>
      </c>
    </row>
    <row r="1730" spans="1:11" x14ac:dyDescent="0.25">
      <c r="A1730" t="str">
        <f>HYPERLINK("http://www.corstruth.com.au/SA/136830_TWC1_cs.png","136830_TWC1_A4")</f>
        <v>136830_TWC1_A4</v>
      </c>
      <c r="D1730">
        <v>136830</v>
      </c>
      <c r="E1730" t="s">
        <v>2163</v>
      </c>
      <c r="F1730" t="str">
        <f>HYPERLINK("https://drillhole.pir.sa.gov.au/Details.aspx?DRILLHOLE_NO=136830","Geol Survey Link")</f>
        <v>Geol Survey Link</v>
      </c>
      <c r="I1730">
        <v>-30.4937</v>
      </c>
      <c r="J1730">
        <v>133.727</v>
      </c>
    </row>
    <row r="1731" spans="1:11" x14ac:dyDescent="0.25">
      <c r="A1731" t="str">
        <f>HYPERLINK("http://www.corstruth.com.au/SA/136943_PSHSAS1_cs.png","136943_PSHSAS1_A4")</f>
        <v>136943_PSHSAS1_A4</v>
      </c>
      <c r="B1731" t="str">
        <f>HYPERLINK("http://www.corstruth.com.au/SA/PNG2/136943_PSHSAS1_cs.png","136943_PSHSAS1_0.25m Bins")</f>
        <v>136943_PSHSAS1_0.25m Bins</v>
      </c>
      <c r="C1731" t="str">
        <f>HYPERLINK("http://www.corstruth.com.au/SA/CSV/136943_PSHSAS1.csv","136943_PSHSAS1_CSV File 1m Bins")</f>
        <v>136943_PSHSAS1_CSV File 1m Bins</v>
      </c>
      <c r="D1731">
        <v>136943</v>
      </c>
      <c r="E1731" t="s">
        <v>2163</v>
      </c>
      <c r="F1731" t="str">
        <f>HYPERLINK("https://drillhole.pir.sa.gov.au/Details.aspx?DRILLHOLE_NO=136943","Geol Survey Link")</f>
        <v>Geol Survey Link</v>
      </c>
      <c r="I1731">
        <v>-32.4253</v>
      </c>
      <c r="J1731">
        <v>137.49600000000001</v>
      </c>
      <c r="K1731" t="str">
        <f>HYPERLINK("https://sarigdata.pir.sa.gov.au/nvcl/NVCLDataServices/mosaic.html?datasetid=56d48a06-5ba2-47f1-bc5b-90f0e122131","136943_PSHSAS1_Core Image")</f>
        <v>136943_PSHSAS1_Core Image</v>
      </c>
    </row>
    <row r="1732" spans="1:11" x14ac:dyDescent="0.25">
      <c r="A1732" t="str">
        <f>HYPERLINK("http://www.corstruth.com.au/SA/136944_TR4_cs.png","136944_TR4_A4")</f>
        <v>136944_TR4_A4</v>
      </c>
      <c r="B1732" t="str">
        <f>HYPERLINK("http://www.corstruth.com.au/SA/PNG2/136944_TR4_cs.png","136944_TR4_0.25m Bins")</f>
        <v>136944_TR4_0.25m Bins</v>
      </c>
      <c r="C1732" t="str">
        <f>HYPERLINK("http://www.corstruth.com.au/SA/CSV/136944_TR4.csv","136944_TR4_CSV File 1m Bins")</f>
        <v>136944_TR4_CSV File 1m Bins</v>
      </c>
      <c r="D1732">
        <v>136944</v>
      </c>
      <c r="E1732" t="s">
        <v>2163</v>
      </c>
      <c r="F1732" t="str">
        <f>HYPERLINK("https://drillhole.pir.sa.gov.au/Details.aspx?DRILLHOLE_NO=136944","Geol Survey Link")</f>
        <v>Geol Survey Link</v>
      </c>
      <c r="I1732">
        <v>-32.289499999999997</v>
      </c>
      <c r="J1732">
        <v>137.47999999999999</v>
      </c>
      <c r="K1732" t="str">
        <f>HYPERLINK("https://sarigdata.pir.sa.gov.au/nvcl/NVCLDataServices/mosaic.html?datasetid=0065d22d-195f-471b-beea-9019d4e9bb0","136944_TR4_Core Image")</f>
        <v>136944_TR4_Core Image</v>
      </c>
    </row>
    <row r="1733" spans="1:11" x14ac:dyDescent="0.25">
      <c r="A1733" t="str">
        <f>HYPERLINK("http://www.corstruth.com.au/SA/137058_WC_2_cs.png","137058_WC_2_A4")</f>
        <v>137058_WC_2_A4</v>
      </c>
      <c r="B1733" t="str">
        <f>HYPERLINK("http://www.corstruth.com.au/SA/PNG2/137058_WC_2_cs.png","137058_WC_2_0.25m Bins")</f>
        <v>137058_WC_2_0.25m Bins</v>
      </c>
      <c r="C1733" t="str">
        <f>HYPERLINK("http://www.corstruth.com.au/SA/CSV/137058_WC_2.csv","137058_WC_2_CSV File 1m Bins")</f>
        <v>137058_WC_2_CSV File 1m Bins</v>
      </c>
      <c r="D1733">
        <v>137058</v>
      </c>
      <c r="E1733" t="s">
        <v>2163</v>
      </c>
      <c r="F1733" t="str">
        <f>HYPERLINK("https://drillhole.pir.sa.gov.au/Details.aspx?DRILLHOLE_NO=137058","Geol Survey Link")</f>
        <v>Geol Survey Link</v>
      </c>
      <c r="I1733">
        <v>-30.198699999999999</v>
      </c>
      <c r="J1733">
        <v>139.59700000000001</v>
      </c>
      <c r="K1733" t="str">
        <f>HYPERLINK("https://sarigdata.pir.sa.gov.au/nvcl/NVCLDataServices/mosaic.html?datasetid=0830ad4b-18be-4d3e-a454-5274ab0c362","137058_WC_2_Core Image")</f>
        <v>137058_WC_2_Core Image</v>
      </c>
    </row>
    <row r="1734" spans="1:11" x14ac:dyDescent="0.25">
      <c r="A1734" t="str">
        <f>HYPERLINK("http://www.corstruth.com.au/SA/137219_Quinyambie_C15_cs.png","137219_Quinyambie_C15_A4")</f>
        <v>137219_Quinyambie_C15_A4</v>
      </c>
      <c r="D1734">
        <v>137219</v>
      </c>
      <c r="E1734" t="s">
        <v>2163</v>
      </c>
      <c r="F1734" t="str">
        <f>HYPERLINK("https://drillhole.pir.sa.gov.au/Details.aspx?DRILLHOLE_NO=137219","Geol Survey Link")</f>
        <v>Geol Survey Link</v>
      </c>
      <c r="I1734">
        <v>-30.122199999999999</v>
      </c>
      <c r="J1734">
        <v>140.988</v>
      </c>
      <c r="K1734" t="str">
        <f>HYPERLINK("https://sarigdata.pir.sa.gov.au/nvcl/NVCLDataServices/mosaic.html?datasetid=869c41ff-0e9f-4586-8465-4d42ae70bca","137219_Quinyambie_C15_Core Image")</f>
        <v>137219_Quinyambie_C15_Core Image</v>
      </c>
    </row>
    <row r="1735" spans="1:11" x14ac:dyDescent="0.25">
      <c r="A1735" t="str">
        <f>HYPERLINK("http://www.corstruth.com.au/SA/137317_COL_37_cs.png","137317_COL_37_A4")</f>
        <v>137317_COL_37_A4</v>
      </c>
      <c r="B1735" t="str">
        <f>HYPERLINK("http://www.corstruth.com.au/SA/PNG2/137317_COL_37_cs.png","137317_COL_37_0.25m Bins")</f>
        <v>137317_COL_37_0.25m Bins</v>
      </c>
      <c r="C1735" t="str">
        <f>HYPERLINK("http://www.corstruth.com.au/SA/CSV/137317_COL_37.csv","137317_COL_37_CSV File 1m Bins")</f>
        <v>137317_COL_37_CSV File 1m Bins</v>
      </c>
      <c r="D1735">
        <v>137317</v>
      </c>
      <c r="E1735" t="s">
        <v>2163</v>
      </c>
      <c r="F1735" t="str">
        <f>HYPERLINK("https://drillhole.pir.sa.gov.au/Details.aspx?DRILLHOLE_NO=137317","Geol Survey Link")</f>
        <v>Geol Survey Link</v>
      </c>
      <c r="I1735">
        <v>-31.437999999999999</v>
      </c>
      <c r="J1735">
        <v>131.672</v>
      </c>
      <c r="K1735" t="str">
        <f>HYPERLINK("https://sarigdata.pir.sa.gov.au/nvcl/NVCLDataServices/mosaic.html?datasetid=b16e868a-4b1b-4999-b1bd-876e5b28d67","137317_COL_37_Core Image")</f>
        <v>137317_COL_37_Core Image</v>
      </c>
    </row>
    <row r="1736" spans="1:11" x14ac:dyDescent="0.25">
      <c r="A1736" t="str">
        <f>HYPERLINK("http://www.corstruth.com.au/SA/137872_SR16_cs.png","137872_SR16_A4")</f>
        <v>137872_SR16_A4</v>
      </c>
      <c r="B1736" t="str">
        <f>HYPERLINK("http://www.corstruth.com.au/SA/PNG2/137872_SR16_cs.png","137872_SR16_0.25m Bins")</f>
        <v>137872_SR16_0.25m Bins</v>
      </c>
      <c r="C1736" t="str">
        <f>HYPERLINK("http://www.corstruth.com.au/SA/CSV/137872_SR16.csv","137872_SR16_CSV File 1m Bins")</f>
        <v>137872_SR16_CSV File 1m Bins</v>
      </c>
      <c r="D1736">
        <v>137872</v>
      </c>
      <c r="E1736" t="s">
        <v>2163</v>
      </c>
      <c r="F1736" t="str">
        <f>HYPERLINK("https://drillhole.pir.sa.gov.au/Details.aspx?DRILLHOLE_NO=137872","Geol Survey Link")</f>
        <v>Geol Survey Link</v>
      </c>
      <c r="I1736">
        <v>-29.725200000000001</v>
      </c>
      <c r="J1736">
        <v>135.93100000000001</v>
      </c>
      <c r="K1736" t="str">
        <f>HYPERLINK("https://sarigdata.pir.sa.gov.au/nvcl/NVCLDataServices/mosaic.html?datasetid=f30ddff2-ee18-4854-bfec-b738a6f9c2a","137872_SR16_Core Image")</f>
        <v>137872_SR16_Core Image</v>
      </c>
    </row>
    <row r="1737" spans="1:11" x14ac:dyDescent="0.25">
      <c r="A1737" t="str">
        <f>HYPERLINK("http://www.corstruth.com.au/SA/138126_DD86EN29_cs.png","138126_DD86EN29_A4")</f>
        <v>138126_DD86EN29_A4</v>
      </c>
      <c r="B1737" t="str">
        <f>HYPERLINK("http://www.corstruth.com.au/SA/PNG2/138126_DD86EN29_cs.png","138126_DD86EN29_0.25m Bins")</f>
        <v>138126_DD86EN29_0.25m Bins</v>
      </c>
      <c r="C1737" t="str">
        <f>HYPERLINK("http://www.corstruth.com.au/SA/CSV/138126_DD86EN29.csv","138126_DD86EN29_CSV File 1m Bins")</f>
        <v>138126_DD86EN29_CSV File 1m Bins</v>
      </c>
      <c r="D1737">
        <v>138126</v>
      </c>
      <c r="E1737" t="s">
        <v>2163</v>
      </c>
      <c r="F1737" t="str">
        <f>HYPERLINK("https://drillhole.pir.sa.gov.au/Details.aspx?DRILLHOLE_NO=138126","Geol Survey Link")</f>
        <v>Geol Survey Link</v>
      </c>
      <c r="I1737">
        <v>-29.443100000000001</v>
      </c>
      <c r="J1737">
        <v>135.27500000000001</v>
      </c>
      <c r="K1737" t="str">
        <f>HYPERLINK("https://sarigdata.pir.sa.gov.au/nvcl/NVCLDataServices/mosaic.html?datasetid=07fff06f-ad26-4cf0-87be-70185ebac81","138126_DD86EN29_Core Image")</f>
        <v>138126_DD86EN29_Core Image</v>
      </c>
    </row>
    <row r="1738" spans="1:11" x14ac:dyDescent="0.25">
      <c r="A1738" t="str">
        <f>HYPERLINK("http://www.corstruth.com.au/SA/138127_DD86EN30_cs.png","138127_DD86EN30_A4")</f>
        <v>138127_DD86EN30_A4</v>
      </c>
      <c r="B1738" t="str">
        <f>HYPERLINK("http://www.corstruth.com.au/SA/PNG2/138127_DD86EN30_cs.png","138127_DD86EN30_0.25m Bins")</f>
        <v>138127_DD86EN30_0.25m Bins</v>
      </c>
      <c r="C1738" t="str">
        <f>HYPERLINK("http://www.corstruth.com.au/SA/CSV/138127_DD86EN30.csv","138127_DD86EN30_CSV File 1m Bins")</f>
        <v>138127_DD86EN30_CSV File 1m Bins</v>
      </c>
      <c r="D1738">
        <v>138127</v>
      </c>
      <c r="E1738" t="s">
        <v>2163</v>
      </c>
      <c r="F1738" t="str">
        <f>HYPERLINK("https://drillhole.pir.sa.gov.au/Details.aspx?DRILLHOLE_NO=138127","Geol Survey Link")</f>
        <v>Geol Survey Link</v>
      </c>
      <c r="I1738">
        <v>-29.501100000000001</v>
      </c>
      <c r="J1738">
        <v>135.249</v>
      </c>
      <c r="K1738" t="str">
        <f>HYPERLINK("https://sarigdata.pir.sa.gov.au/nvcl/NVCLDataServices/mosaic.html?datasetid=cc9a46c5-d188-4f23-b205-48b45fd7f61","138127_DD86EN30_Core Image")</f>
        <v>138127_DD86EN30_Core Image</v>
      </c>
    </row>
    <row r="1739" spans="1:11" x14ac:dyDescent="0.25">
      <c r="A1739" t="str">
        <f>HYPERLINK("http://www.corstruth.com.au/SA/138128_DD86EN31_cs.png","138128_DD86EN31_A4")</f>
        <v>138128_DD86EN31_A4</v>
      </c>
      <c r="B1739" t="str">
        <f>HYPERLINK("http://www.corstruth.com.au/SA/PNG2/138128_DD86EN31_cs.png","138128_DD86EN31_0.25m Bins")</f>
        <v>138128_DD86EN31_0.25m Bins</v>
      </c>
      <c r="C1739" t="str">
        <f>HYPERLINK("http://www.corstruth.com.au/SA/CSV/138128_DD86EN31.csv","138128_DD86EN31_CSV File 1m Bins")</f>
        <v>138128_DD86EN31_CSV File 1m Bins</v>
      </c>
      <c r="D1739">
        <v>138128</v>
      </c>
      <c r="E1739" t="s">
        <v>2163</v>
      </c>
      <c r="F1739" t="str">
        <f>HYPERLINK("https://drillhole.pir.sa.gov.au/Details.aspx?DRILLHOLE_NO=138128","Geol Survey Link")</f>
        <v>Geol Survey Link</v>
      </c>
      <c r="I1739">
        <v>-29.413699999999999</v>
      </c>
      <c r="J1739">
        <v>135.136</v>
      </c>
      <c r="K1739" t="str">
        <f>HYPERLINK("https://sarigdata.pir.sa.gov.au/nvcl/NVCLDataServices/mosaic.html?datasetid=d3ce0b69-0543-4af2-9146-4b2b1ad5c4c","138128_DD86EN31_Core Image")</f>
        <v>138128_DD86EN31_Core Image</v>
      </c>
    </row>
    <row r="1740" spans="1:11" x14ac:dyDescent="0.25">
      <c r="A1740" t="str">
        <f>HYPERLINK("http://www.corstruth.com.au/SA/138130_DD86EN33_cs.png","138130_DD86EN33_A4")</f>
        <v>138130_DD86EN33_A4</v>
      </c>
      <c r="B1740" t="str">
        <f>HYPERLINK("http://www.corstruth.com.au/SA/PNG2/138130_DD86EN33_cs.png","138130_DD86EN33_0.25m Bins")</f>
        <v>138130_DD86EN33_0.25m Bins</v>
      </c>
      <c r="C1740" t="str">
        <f>HYPERLINK("http://www.corstruth.com.au/SA/CSV/138130_DD86EN33.csv","138130_DD86EN33_CSV File 1m Bins")</f>
        <v>138130_DD86EN33_CSV File 1m Bins</v>
      </c>
      <c r="D1740">
        <v>138130</v>
      </c>
      <c r="E1740" t="s">
        <v>2163</v>
      </c>
      <c r="F1740" t="str">
        <f>HYPERLINK("https://drillhole.pir.sa.gov.au/Details.aspx?DRILLHOLE_NO=138130","Geol Survey Link")</f>
        <v>Geol Survey Link</v>
      </c>
      <c r="I1740">
        <v>-29.296299999999999</v>
      </c>
      <c r="J1740">
        <v>135.14500000000001</v>
      </c>
      <c r="K1740" t="str">
        <f>HYPERLINK("https://sarigdata.pir.sa.gov.au/nvcl/NVCLDataServices/mosaic.html?datasetid=9772be0f-ead4-4b1e-9cf8-3339fa45c95","138130_DD86EN33_Core Image")</f>
        <v>138130_DD86EN33_Core Image</v>
      </c>
    </row>
    <row r="1741" spans="1:11" x14ac:dyDescent="0.25">
      <c r="A1741" t="str">
        <f>HYPERLINK("http://www.corstruth.com.au/SA/138322_PPR5SAP1_cs.png","138322_PPR5SAP1_A4")</f>
        <v>138322_PPR5SAP1_A4</v>
      </c>
      <c r="D1741">
        <v>138322</v>
      </c>
      <c r="E1741" t="s">
        <v>2163</v>
      </c>
      <c r="F1741" t="str">
        <f>HYPERLINK("https://drillhole.pir.sa.gov.au/Details.aspx?DRILLHOLE_NO=138322","Geol Survey Link")</f>
        <v>Geol Survey Link</v>
      </c>
      <c r="I1741">
        <v>-30.5825</v>
      </c>
      <c r="J1741">
        <v>136.67599999999999</v>
      </c>
      <c r="K1741" t="str">
        <f>HYPERLINK("https://sarigdata.pir.sa.gov.au/nvcl/NVCLDataServices/mosaic.html?datasetid=1afd4073-bcd5-4147-ada3-89c1e8f66a4","138322_PPR5SAP1_Core Image")</f>
        <v>138322_PPR5SAP1_Core Image</v>
      </c>
    </row>
    <row r="1742" spans="1:11" x14ac:dyDescent="0.25">
      <c r="A1742" t="str">
        <f>HYPERLINK("http://www.corstruth.com.au/SA/13909_LY1_cs.png","13909_LY1_A4")</f>
        <v>13909_LY1_A4</v>
      </c>
      <c r="B1742" t="str">
        <f>HYPERLINK("http://www.corstruth.com.au/SA/PNG2/13909_LY1_cs.png","13909_LY1_0.25m Bins")</f>
        <v>13909_LY1_0.25m Bins</v>
      </c>
      <c r="C1742" t="str">
        <f>HYPERLINK("http://www.corstruth.com.au/SA/CSV/13909_LY1.csv","13909_LY1_CSV File 1m Bins")</f>
        <v>13909_LY1_CSV File 1m Bins</v>
      </c>
      <c r="D1742">
        <v>13909</v>
      </c>
      <c r="E1742" t="s">
        <v>2163</v>
      </c>
      <c r="F1742" t="str">
        <f>HYPERLINK("https://drillhole.pir.sa.gov.au/Details.aspx?DRILLHOLE_NO=13909","Geol Survey Link")</f>
        <v>Geol Survey Link</v>
      </c>
      <c r="I1742">
        <v>-30.8704</v>
      </c>
      <c r="J1742">
        <v>135.88999999999999</v>
      </c>
      <c r="K1742" t="str">
        <f>HYPERLINK("https://sarigdata.pir.sa.gov.au/nvcl/NVCLDataServices/mosaic.html?datasetid=bbd5a69b-adde-4153-bb96-5f353e37952","13909_LY1_Core Image")</f>
        <v>13909_LY1_Core Image</v>
      </c>
    </row>
    <row r="1743" spans="1:11" x14ac:dyDescent="0.25">
      <c r="A1743" t="str">
        <f>HYPERLINK("http://www.corstruth.com.au/SA/139201_CBH2_cs.png","139201_CBH2_A4")</f>
        <v>139201_CBH2_A4</v>
      </c>
      <c r="D1743">
        <v>139201</v>
      </c>
      <c r="E1743" t="s">
        <v>2163</v>
      </c>
      <c r="F1743" t="str">
        <f>HYPERLINK("https://drillhole.pir.sa.gov.au/Details.aspx?DRILLHOLE_NO=139201","Geol Survey Link")</f>
        <v>Geol Survey Link</v>
      </c>
      <c r="I1743">
        <v>-29.5791</v>
      </c>
      <c r="J1743">
        <v>139.501</v>
      </c>
      <c r="K1743" t="str">
        <f>HYPERLINK("https://sarigdata.pir.sa.gov.au/nvcl/NVCLDataServices/mosaic.html?datasetid=670ab3cd-f568-40a7-9b07-9225149914f","139201_CBH2_Core Image")</f>
        <v>139201_CBH2_Core Image</v>
      </c>
    </row>
    <row r="1744" spans="1:11" x14ac:dyDescent="0.25">
      <c r="A1744" t="str">
        <f>HYPERLINK("http://www.corstruth.com.au/SA/139202_PARADISE_DAM_cs.png","139202_PARADISE DAM_A4")</f>
        <v>139202_PARADISE DAM_A4</v>
      </c>
      <c r="D1744">
        <v>139202</v>
      </c>
      <c r="E1744" t="s">
        <v>2163</v>
      </c>
      <c r="F1744" t="str">
        <f>HYPERLINK("https://drillhole.pir.sa.gov.au/Details.aspx?DRILLHOLE_NO=139202","Geol Survey Link")</f>
        <v>Geol Survey Link</v>
      </c>
      <c r="I1744">
        <v>-30.124300000000002</v>
      </c>
      <c r="J1744">
        <v>140.304</v>
      </c>
    </row>
    <row r="1745" spans="1:11" x14ac:dyDescent="0.25">
      <c r="A1745" t="str">
        <f>HYPERLINK("http://www.corstruth.com.au/SA/139454_HITCHCOCK_PLAIN_cs.png","139454_HITCHCOCK_PLAIN_A4")</f>
        <v>139454_HITCHCOCK_PLAIN_A4</v>
      </c>
      <c r="D1745">
        <v>139454</v>
      </c>
      <c r="E1745" t="s">
        <v>2163</v>
      </c>
      <c r="F1745" t="str">
        <f>HYPERLINK("https://drillhole.pir.sa.gov.au/Details.aspx?DRILLHOLE_NO=139454","Geol Survey Link")</f>
        <v>Geol Survey Link</v>
      </c>
      <c r="I1745">
        <v>-33.578299999999999</v>
      </c>
      <c r="J1745">
        <v>137.94999999999999</v>
      </c>
    </row>
    <row r="1746" spans="1:11" x14ac:dyDescent="0.25">
      <c r="A1746" t="str">
        <f>HYPERLINK("http://www.corstruth.com.au/SA/139458_APB_PB8_cs.png","139458_APB_PB8_A4")</f>
        <v>139458_APB_PB8_A4</v>
      </c>
      <c r="D1746">
        <v>139458</v>
      </c>
      <c r="E1746" t="s">
        <v>2163</v>
      </c>
      <c r="F1746" t="str">
        <f>HYPERLINK("https://drillhole.pir.sa.gov.au/Details.aspx?DRILLHOLE_NO=139458","Geol Survey Link")</f>
        <v>Geol Survey Link</v>
      </c>
      <c r="I1746">
        <v>-33.786499999999997</v>
      </c>
      <c r="J1746">
        <v>137.84700000000001</v>
      </c>
    </row>
    <row r="1747" spans="1:11" x14ac:dyDescent="0.25">
      <c r="A1747" t="str">
        <f>HYPERLINK("http://www.corstruth.com.au/SA/139459_APB_PB9_cs.png","139459_APB_PB9_A4")</f>
        <v>139459_APB_PB9_A4</v>
      </c>
      <c r="D1747">
        <v>139459</v>
      </c>
      <c r="E1747" t="s">
        <v>2163</v>
      </c>
      <c r="F1747" t="str">
        <f>HYPERLINK("https://drillhole.pir.sa.gov.au/Details.aspx?DRILLHOLE_NO=139459","Geol Survey Link")</f>
        <v>Geol Survey Link</v>
      </c>
      <c r="I1747">
        <v>-33.789200000000001</v>
      </c>
      <c r="J1747">
        <v>137.858</v>
      </c>
    </row>
    <row r="1748" spans="1:11" x14ac:dyDescent="0.25">
      <c r="A1748" t="str">
        <f>HYPERLINK("http://www.corstruth.com.au/SA/139460_APB_PB10_cs.png","139460_APB_PB10_A4")</f>
        <v>139460_APB_PB10_A4</v>
      </c>
      <c r="D1748">
        <v>139460</v>
      </c>
      <c r="E1748" t="s">
        <v>2163</v>
      </c>
      <c r="F1748" t="str">
        <f>HYPERLINK("https://drillhole.pir.sa.gov.au/Details.aspx?DRILLHOLE_NO=139460","Geol Survey Link")</f>
        <v>Geol Survey Link</v>
      </c>
      <c r="I1748">
        <v>-33.795400000000001</v>
      </c>
      <c r="J1748">
        <v>137.86099999999999</v>
      </c>
    </row>
    <row r="1749" spans="1:11" x14ac:dyDescent="0.25">
      <c r="A1749" t="str">
        <f>HYPERLINK("http://www.corstruth.com.au/SA/139475_PB25_cs.png","139475_PB25_A4")</f>
        <v>139475_PB25_A4</v>
      </c>
      <c r="B1749" t="str">
        <f>HYPERLINK("http://www.corstruth.com.au/SA/PNG2/139475_PB25_cs.png","139475_PB25_0.25m Bins")</f>
        <v>139475_PB25_0.25m Bins</v>
      </c>
      <c r="C1749" t="str">
        <f>HYPERLINK("http://www.corstruth.com.au/SA/CSV/139475_PB25.csv","139475_PB25_CSV File 1m Bins")</f>
        <v>139475_PB25_CSV File 1m Bins</v>
      </c>
      <c r="D1749">
        <v>139475</v>
      </c>
      <c r="E1749" t="s">
        <v>2163</v>
      </c>
      <c r="F1749" t="str">
        <f>HYPERLINK("https://drillhole.pir.sa.gov.au/Details.aspx?DRILLHOLE_NO=139475","Geol Survey Link")</f>
        <v>Geol Survey Link</v>
      </c>
      <c r="I1749">
        <v>-33.716700000000003</v>
      </c>
      <c r="J1749">
        <v>137.93</v>
      </c>
      <c r="K1749" t="str">
        <f>HYPERLINK("https://sarigdata.pir.sa.gov.au/nvcl/NVCLDataServices/mosaic.html?datasetid=ec6e2fd7-5145-4457-a372-04bc77535af","139475_PB25_Core Image")</f>
        <v>139475_PB25_Core Image</v>
      </c>
    </row>
    <row r="1750" spans="1:11" x14ac:dyDescent="0.25">
      <c r="A1750" t="str">
        <f>HYPERLINK("http://www.corstruth.com.au/SA/139476_PB26_cs.png","139476_PB26_A4")</f>
        <v>139476_PB26_A4</v>
      </c>
      <c r="B1750" t="str">
        <f>HYPERLINK("http://www.corstruth.com.au/SA/PNG2/139476_PB26_cs.png","139476_PB26_0.25m Bins")</f>
        <v>139476_PB26_0.25m Bins</v>
      </c>
      <c r="C1750" t="str">
        <f>HYPERLINK("http://www.corstruth.com.au/SA/CSV/139476_PB26.csv","139476_PB26_CSV File 1m Bins")</f>
        <v>139476_PB26_CSV File 1m Bins</v>
      </c>
      <c r="D1750">
        <v>139476</v>
      </c>
      <c r="E1750" t="s">
        <v>2163</v>
      </c>
      <c r="F1750" t="str">
        <f>HYPERLINK("https://drillhole.pir.sa.gov.au/Details.aspx?DRILLHOLE_NO=139476","Geol Survey Link")</f>
        <v>Geol Survey Link</v>
      </c>
      <c r="I1750">
        <v>-33.786700000000003</v>
      </c>
      <c r="J1750">
        <v>137.84800000000001</v>
      </c>
      <c r="K1750" t="str">
        <f>HYPERLINK("https://sarigdata.pir.sa.gov.au/nvcl/NVCLDataServices/mosaic.html?datasetid=9e955cb1-9aef-485d-b9b5-2a0e05b6acc","139476_PB26_Core Image")</f>
        <v>139476_PB26_Core Image</v>
      </c>
    </row>
    <row r="1751" spans="1:11" x14ac:dyDescent="0.25">
      <c r="A1751" t="str">
        <f>HYPERLINK("http://www.corstruth.com.au/SA/139489_DD85WE1_cs.png","139489_DD85WE1_A4")</f>
        <v>139489_DD85WE1_A4</v>
      </c>
      <c r="B1751" t="str">
        <f>HYPERLINK("http://www.corstruth.com.au/SA/PNG2/139489_DD85WE1_cs.png","139489_DD85WE1_0.25m Bins")</f>
        <v>139489_DD85WE1_0.25m Bins</v>
      </c>
      <c r="C1751" t="str">
        <f>HYPERLINK("http://www.corstruth.com.au/SA/CSV/139489_DD85WE1.csv","139489_DD85WE1_CSV File 1m Bins")</f>
        <v>139489_DD85WE1_CSV File 1m Bins</v>
      </c>
      <c r="D1751">
        <v>139489</v>
      </c>
      <c r="E1751" t="s">
        <v>2163</v>
      </c>
      <c r="F1751" t="str">
        <f>HYPERLINK("https://drillhole.pir.sa.gov.au/Details.aspx?DRILLHOLE_NO=139489","Geol Survey Link")</f>
        <v>Geol Survey Link</v>
      </c>
      <c r="I1751">
        <v>-34.213700000000003</v>
      </c>
      <c r="J1751">
        <v>137.54599999999999</v>
      </c>
      <c r="K1751" t="str">
        <f>HYPERLINK("https://sarigdata.pir.sa.gov.au/nvcl/NVCLDataServices/mosaic.html?datasetid=bece50b0-2251-44ab-b6db-55bfa5b346b","139489_DD85WE1_Core Image")</f>
        <v>139489_DD85WE1_Core Image</v>
      </c>
    </row>
    <row r="1752" spans="1:11" x14ac:dyDescent="0.25">
      <c r="A1752" t="str">
        <f>HYPERLINK("http://www.corstruth.com.au/SA/139509_SAU18_cs.png","139509_SAU18_A4")</f>
        <v>139509_SAU18_A4</v>
      </c>
      <c r="B1752" t="str">
        <f>HYPERLINK("http://www.corstruth.com.au/SA/PNG2/139509_SAU18_cs.png","139509_SAU18_0.25m Bins")</f>
        <v>139509_SAU18_0.25m Bins</v>
      </c>
      <c r="C1752" t="str">
        <f>HYPERLINK("http://www.corstruth.com.au/SA/CSV/139509_SAU18.csv","139509_SAU18_CSV File 1m Bins")</f>
        <v>139509_SAU18_CSV File 1m Bins</v>
      </c>
      <c r="D1752">
        <v>139509</v>
      </c>
      <c r="E1752" t="s">
        <v>2163</v>
      </c>
      <c r="F1752" t="str">
        <f>HYPERLINK("https://drillhole.pir.sa.gov.au/Details.aspx?DRILLHOLE_NO=139509","Geol Survey Link")</f>
        <v>Geol Survey Link</v>
      </c>
      <c r="I1752">
        <v>-32.704500000000003</v>
      </c>
      <c r="J1752">
        <v>137.50899999999999</v>
      </c>
      <c r="K1752" t="str">
        <f>HYPERLINK("https://sarigdata.pir.sa.gov.au/nvcl/NVCLDataServices/mosaic.html?datasetid=d932a925-29e7-43da-8d0d-b518341d3cf","139509_SAU18_Core Image")</f>
        <v>139509_SAU18_Core Image</v>
      </c>
    </row>
    <row r="1753" spans="1:11" x14ac:dyDescent="0.25">
      <c r="A1753" t="str">
        <f>HYPERLINK("http://www.corstruth.com.au/SA/139511_PUB42SAU28_cs.png","139511_PUB42SAU28_A4")</f>
        <v>139511_PUB42SAU28_A4</v>
      </c>
      <c r="D1753">
        <v>139511</v>
      </c>
      <c r="E1753" t="s">
        <v>2163</v>
      </c>
      <c r="F1753" t="str">
        <f>HYPERLINK("https://drillhole.pir.sa.gov.au/Details.aspx?DRILLHOLE_NO=139511","Geol Survey Link")</f>
        <v>Geol Survey Link</v>
      </c>
      <c r="I1753">
        <v>-32.672899999999998</v>
      </c>
      <c r="J1753">
        <v>137.518</v>
      </c>
      <c r="K1753" t="str">
        <f>HYPERLINK("https://sarigdata.pir.sa.gov.au/nvcl/NVCLDataServices/mosaic.html?datasetid=a41bb0fa-ba8c-44b9-a600-fc5f835a456","139511_PUB42SAU28_Core Image")</f>
        <v>139511_PUB42SAU28_Core Image</v>
      </c>
    </row>
    <row r="1754" spans="1:11" x14ac:dyDescent="0.25">
      <c r="A1754" t="str">
        <f>HYPERLINK("http://www.corstruth.com.au/SA/139526_SAU17_cs.png","139526_SAU17_A4")</f>
        <v>139526_SAU17_A4</v>
      </c>
      <c r="B1754" t="str">
        <f>HYPERLINK("http://www.corstruth.com.au/SA/PNG2/139526_SAU17_cs.png","139526_SAU17_0.25m Bins")</f>
        <v>139526_SAU17_0.25m Bins</v>
      </c>
      <c r="C1754" t="str">
        <f>HYPERLINK("http://www.corstruth.com.au/SA/CSV/139526_SAU17.csv","139526_SAU17_CSV File 1m Bins")</f>
        <v>139526_SAU17_CSV File 1m Bins</v>
      </c>
      <c r="D1754">
        <v>139526</v>
      </c>
      <c r="E1754" t="s">
        <v>2163</v>
      </c>
      <c r="F1754" t="str">
        <f>HYPERLINK("https://drillhole.pir.sa.gov.au/Details.aspx?DRILLHOLE_NO=139526","Geol Survey Link")</f>
        <v>Geol Survey Link</v>
      </c>
      <c r="I1754">
        <v>-32.744799999999998</v>
      </c>
      <c r="J1754">
        <v>137.53100000000001</v>
      </c>
      <c r="K1754" t="str">
        <f>HYPERLINK("https://sarigdata.pir.sa.gov.au/nvcl/NVCLDataServices/mosaic.html?datasetid=2c9e0f1e-c557-4ef8-a1be-14a0c8357e4","139526_SAU17_Core Image")</f>
        <v>139526_SAU17_Core Image</v>
      </c>
    </row>
    <row r="1755" spans="1:11" x14ac:dyDescent="0.25">
      <c r="A1755" t="str">
        <f>HYPERLINK("http://www.corstruth.com.au/SA/139528_PUB51ASAU29_cs.png","139528_PUB51ASAU29_A4")</f>
        <v>139528_PUB51ASAU29_A4</v>
      </c>
      <c r="D1755">
        <v>139528</v>
      </c>
      <c r="E1755" t="s">
        <v>2163</v>
      </c>
      <c r="F1755" t="str">
        <f>HYPERLINK("https://drillhole.pir.sa.gov.au/Details.aspx?DRILLHOLE_NO=139528","Geol Survey Link")</f>
        <v>Geol Survey Link</v>
      </c>
      <c r="I1755">
        <v>-32.189399999999999</v>
      </c>
      <c r="J1755">
        <v>137.506</v>
      </c>
      <c r="K1755" t="str">
        <f>HYPERLINK("https://sarigdata.pir.sa.gov.au/nvcl/NVCLDataServices/mosaic.html?datasetid=6834231e-4004-43e0-aa91-07d3598d01c","139528_PUB51ASAU29_Core Image")</f>
        <v>139528_PUB51ASAU29_Core Image</v>
      </c>
    </row>
    <row r="1756" spans="1:11" x14ac:dyDescent="0.25">
      <c r="A1756" t="str">
        <f>HYPERLINK("http://www.corstruth.com.au/SA/139529_PUB49SAU30_cs.png","139529_PUB49SAU30_A4")</f>
        <v>139529_PUB49SAU30_A4</v>
      </c>
      <c r="D1756">
        <v>139529</v>
      </c>
      <c r="E1756" t="s">
        <v>2163</v>
      </c>
      <c r="F1756" t="str">
        <f>HYPERLINK("https://drillhole.pir.sa.gov.au/Details.aspx?DRILLHOLE_NO=139529","Geol Survey Link")</f>
        <v>Geol Survey Link</v>
      </c>
      <c r="I1756">
        <v>-32.262500000000003</v>
      </c>
      <c r="J1756">
        <v>137.56299999999999</v>
      </c>
      <c r="K1756" t="str">
        <f>HYPERLINK("https://sarigdata.pir.sa.gov.au/nvcl/NVCLDataServices/mosaic.html?datasetid=9d9f93a5-03b6-4422-92cd-5646aeb59a3","139529_PUB49SAU30_Core Image")</f>
        <v>139529_PUB49SAU30_Core Image</v>
      </c>
    </row>
    <row r="1757" spans="1:11" x14ac:dyDescent="0.25">
      <c r="A1757" t="str">
        <f>HYPERLINK("http://www.corstruth.com.au/SA/139533_LY4B_cs.png","139533_LY4B_A4")</f>
        <v>139533_LY4B_A4</v>
      </c>
      <c r="D1757">
        <v>139533</v>
      </c>
      <c r="E1757" t="s">
        <v>2163</v>
      </c>
      <c r="F1757" t="str">
        <f>HYPERLINK("https://drillhole.pir.sa.gov.au/Details.aspx?DRILLHOLE_NO=139533","Geol Survey Link")</f>
        <v>Geol Survey Link</v>
      </c>
      <c r="I1757">
        <v>-31.447700000000001</v>
      </c>
      <c r="J1757">
        <v>137.15600000000001</v>
      </c>
      <c r="K1757" t="str">
        <f>HYPERLINK("https://sarigdata.pir.sa.gov.au/nvcl/NVCLDataServices/mosaic.html?datasetid=072d614b-770a-41d3-a466-6658755eaed","139533_LY4B_Core Image")</f>
        <v>139533_LY4B_Core Image</v>
      </c>
    </row>
    <row r="1758" spans="1:11" x14ac:dyDescent="0.25">
      <c r="A1758" t="str">
        <f>HYPERLINK("http://www.corstruth.com.au/SA/139534_LY5_cs.png","139534_LY5_A4")</f>
        <v>139534_LY5_A4</v>
      </c>
      <c r="D1758">
        <v>139534</v>
      </c>
      <c r="E1758" t="s">
        <v>2163</v>
      </c>
      <c r="F1758" t="str">
        <f>HYPERLINK("https://drillhole.pir.sa.gov.au/Details.aspx?DRILLHOLE_NO=139534","Geol Survey Link")</f>
        <v>Geol Survey Link</v>
      </c>
      <c r="I1758">
        <v>-31.4495</v>
      </c>
      <c r="J1758">
        <v>137.15700000000001</v>
      </c>
      <c r="K1758" t="str">
        <f>HYPERLINK("https://sarigdata.pir.sa.gov.au/nvcl/NVCLDataServices/mosaic.html?datasetid=52cfbc84-4242-4ec3-b1f6-08a04218871","139534_LY5_Core Image")</f>
        <v>139534_LY5_Core Image</v>
      </c>
    </row>
    <row r="1759" spans="1:11" x14ac:dyDescent="0.25">
      <c r="A1759" t="str">
        <f>HYPERLINK("http://www.corstruth.com.au/SA/139536_SLT105_cs.png","139536_SLT105_A4")</f>
        <v>139536_SLT105_A4</v>
      </c>
      <c r="B1759" t="str">
        <f>HYPERLINK("http://www.corstruth.com.au/SA/PNG2/139536_SLT105_cs.png","139536_SLT105_0.25m Bins")</f>
        <v>139536_SLT105_0.25m Bins</v>
      </c>
      <c r="C1759" t="str">
        <f>HYPERLINK("http://www.corstruth.com.au/SA/CSV/139536_SLT105.csv","139536_SLT105_CSV File 1m Bins")</f>
        <v>139536_SLT105_CSV File 1m Bins</v>
      </c>
      <c r="D1759">
        <v>139536</v>
      </c>
      <c r="E1759" t="s">
        <v>2163</v>
      </c>
      <c r="F1759" t="str">
        <f>HYPERLINK("https://drillhole.pir.sa.gov.au/Details.aspx?DRILLHOLE_NO=139536","Geol Survey Link")</f>
        <v>Geol Survey Link</v>
      </c>
      <c r="I1759">
        <v>-31.561800000000002</v>
      </c>
      <c r="J1759">
        <v>137.67099999999999</v>
      </c>
      <c r="K1759" t="str">
        <f>HYPERLINK("https://sarigdata.pir.sa.gov.au/nvcl/NVCLDataServices/mosaic.html?datasetid=77cbba27-1a1e-4cbd-afee-97e63add69b","139536_SLT105_Core Image")</f>
        <v>139536_SLT105_Core Image</v>
      </c>
    </row>
    <row r="1760" spans="1:11" x14ac:dyDescent="0.25">
      <c r="A1760" t="str">
        <f>HYPERLINK("http://www.corstruth.com.au/SA/139547_BK8_cs.png","139547_BK8_A4")</f>
        <v>139547_BK8_A4</v>
      </c>
      <c r="D1760">
        <v>139547</v>
      </c>
      <c r="E1760" t="s">
        <v>2163</v>
      </c>
      <c r="F1760" t="str">
        <f>HYPERLINK("https://drillhole.pir.sa.gov.au/Details.aspx?DRILLHOLE_NO=139547","Geol Survey Link")</f>
        <v>Geol Survey Link</v>
      </c>
      <c r="I1760">
        <v>-31.988299999999999</v>
      </c>
      <c r="J1760">
        <v>137.33799999999999</v>
      </c>
      <c r="K1760" t="str">
        <f>HYPERLINK("https://sarigdata.pir.sa.gov.au/nvcl/NVCLDataServices/mosaic.html?datasetid=463f8fe7-0405-40a5-afb3-13fed653d65","139547_BK8_Core Image")</f>
        <v>139547_BK8_Core Image</v>
      </c>
    </row>
    <row r="1761" spans="1:11" x14ac:dyDescent="0.25">
      <c r="A1761" t="str">
        <f>HYPERLINK("http://www.corstruth.com.au/SA/139594_PSC4SASC2_cs.png","139594_PSC4SASC2_A4")</f>
        <v>139594_PSC4SASC2_A4</v>
      </c>
      <c r="D1761">
        <v>139594</v>
      </c>
      <c r="E1761" t="s">
        <v>2163</v>
      </c>
      <c r="F1761" t="str">
        <f>HYPERLINK("https://drillhole.pir.sa.gov.au/Details.aspx?DRILLHOLE_NO=139594","Geol Survey Link")</f>
        <v>Geol Survey Link</v>
      </c>
      <c r="I1761">
        <v>-31.173400000000001</v>
      </c>
      <c r="J1761">
        <v>137.41399999999999</v>
      </c>
      <c r="K1761" t="str">
        <f>HYPERLINK("https://sarigdata.pir.sa.gov.au/nvcl/NVCLDataServices/mosaic.html?datasetid=401f30e8-aa0e-4f45-9b79-4d5c681eeb3","139594_PSC4SASC2_Core Image")</f>
        <v>139594_PSC4SASC2_Core Image</v>
      </c>
    </row>
    <row r="1762" spans="1:11" x14ac:dyDescent="0.25">
      <c r="A1762" t="str">
        <f>HYPERLINK("http://www.corstruth.com.au/SA/139594_SASC2_cs.png","139594_SASC2_A4")</f>
        <v>139594_SASC2_A4</v>
      </c>
      <c r="B1762" t="str">
        <f>HYPERLINK("http://www.corstruth.com.au/SA/PNG2/139594_SASC2_cs.png","139594_SASC2_0.25m Bins")</f>
        <v>139594_SASC2_0.25m Bins</v>
      </c>
      <c r="C1762" t="str">
        <f>HYPERLINK("http://www.corstruth.com.au/SA/CSV/139594_SASC2.csv","139594_SASC2_CSV File 1m Bins")</f>
        <v>139594_SASC2_CSV File 1m Bins</v>
      </c>
      <c r="D1762">
        <v>139594</v>
      </c>
      <c r="E1762" t="s">
        <v>2163</v>
      </c>
      <c r="F1762" t="str">
        <f>HYPERLINK("https://drillhole.pir.sa.gov.au/Details.aspx?DRILLHOLE_NO=139594","Geol Survey Link")</f>
        <v>Geol Survey Link</v>
      </c>
      <c r="I1762">
        <v>-31.173400000000001</v>
      </c>
      <c r="J1762">
        <v>137.41399999999999</v>
      </c>
      <c r="K1762" t="str">
        <f>HYPERLINK("https://sarigdata.pir.sa.gov.au/nvcl/NVCLDataServices/mosaic.html?datasetid=401f30e8-aa0e-4f45-9b79-4d5c681eeb3","139594_SASC2_Core Image")</f>
        <v>139594_SASC2_Core Image</v>
      </c>
    </row>
    <row r="1763" spans="1:11" x14ac:dyDescent="0.25">
      <c r="A1763" t="str">
        <f>HYPERLINK("http://www.corstruth.com.au/SA/139595_PSC7SASC3_cs.png","139595_PSC7SASC3_A4")</f>
        <v>139595_PSC7SASC3_A4</v>
      </c>
      <c r="D1763">
        <v>139595</v>
      </c>
      <c r="E1763" t="s">
        <v>2163</v>
      </c>
      <c r="F1763" t="str">
        <f>HYPERLINK("https://drillhole.pir.sa.gov.au/Details.aspx?DRILLHOLE_NO=139595","Geol Survey Link")</f>
        <v>Geol Survey Link</v>
      </c>
      <c r="I1763">
        <v>-31.081700000000001</v>
      </c>
      <c r="J1763">
        <v>137.44800000000001</v>
      </c>
      <c r="K1763" t="str">
        <f>HYPERLINK("https://sarigdata.pir.sa.gov.au/nvcl/NVCLDataServices/mosaic.html?datasetid=b1234303-d1c1-4c23-811c-7964f433798","139595_PSC7SASC3_Core Image")</f>
        <v>139595_PSC7SASC3_Core Image</v>
      </c>
    </row>
    <row r="1764" spans="1:11" x14ac:dyDescent="0.25">
      <c r="A1764" t="str">
        <f>HYPERLINK("http://www.corstruth.com.au/SA/139595_SASC3_cs.png","139595_SASC3_A4")</f>
        <v>139595_SASC3_A4</v>
      </c>
      <c r="B1764" t="str">
        <f>HYPERLINK("http://www.corstruth.com.au/SA/PNG2/139595_SASC3_cs.png","139595_SASC3_0.25m Bins")</f>
        <v>139595_SASC3_0.25m Bins</v>
      </c>
      <c r="C1764" t="str">
        <f>HYPERLINK("http://www.corstruth.com.au/SA/CSV/139595_SASC3.csv","139595_SASC3_CSV File 1m Bins")</f>
        <v>139595_SASC3_CSV File 1m Bins</v>
      </c>
      <c r="D1764">
        <v>139595</v>
      </c>
      <c r="E1764" t="s">
        <v>2163</v>
      </c>
      <c r="F1764" t="str">
        <f>HYPERLINK("https://drillhole.pir.sa.gov.au/Details.aspx?DRILLHOLE_NO=139595","Geol Survey Link")</f>
        <v>Geol Survey Link</v>
      </c>
      <c r="I1764">
        <v>-31.081600000000002</v>
      </c>
      <c r="J1764">
        <v>137.44800000000001</v>
      </c>
      <c r="K1764" t="str">
        <f>HYPERLINK("https://sarigdata.pir.sa.gov.au/nvcl/NVCLDataServices/mosaic.html?datasetid=b1234303-d1c1-4c23-811c-7964f433798","139595_SASC3_Core Image")</f>
        <v>139595_SASC3_Core Image</v>
      </c>
    </row>
    <row r="1765" spans="1:11" x14ac:dyDescent="0.25">
      <c r="A1765" t="str">
        <f>HYPERLINK("http://www.corstruth.com.au/SA/139609_Yadlamalka2_cs.png","139609_Yadlamalka2_A4")</f>
        <v>139609_Yadlamalka2_A4</v>
      </c>
      <c r="B1765" t="str">
        <f>HYPERLINK("http://www.corstruth.com.au/SA/PNG2/139609_Yadlamalka2_cs.png","139609_Yadlamalka2_0.25m Bins")</f>
        <v>139609_Yadlamalka2_0.25m Bins</v>
      </c>
      <c r="C1765" t="str">
        <f>HYPERLINK("http://www.corstruth.com.au/SA/CSV/139609_Yadlamalka2.csv","139609_Yadlamalka2_CSV File 1m Bins")</f>
        <v>139609_Yadlamalka2_CSV File 1m Bins</v>
      </c>
      <c r="D1765">
        <v>139609</v>
      </c>
      <c r="E1765" t="s">
        <v>2163</v>
      </c>
      <c r="F1765" t="str">
        <f>HYPERLINK("https://drillhole.pir.sa.gov.au/Details.aspx?DRILLHOLE_NO=139609","Geol Survey Link")</f>
        <v>Geol Survey Link</v>
      </c>
      <c r="I1765">
        <v>-31.934699999999999</v>
      </c>
      <c r="J1765">
        <v>137.80099999999999</v>
      </c>
      <c r="K1765" t="str">
        <f>HYPERLINK("https://sarigdata.pir.sa.gov.au/nvcl/NVCLDataServices/mosaic.html?datasetid=5ba36d98-07c9-4fbf-8266-ef04888ae72","139609_Yadlamalka2_Core Image")</f>
        <v>139609_Yadlamalka2_Core Image</v>
      </c>
    </row>
    <row r="1766" spans="1:11" x14ac:dyDescent="0.25">
      <c r="A1766" t="str">
        <f>HYPERLINK("http://www.corstruth.com.au/SA/139627_CU1_cs.png","139627_CU1_A4")</f>
        <v>139627_CU1_A4</v>
      </c>
      <c r="B1766" t="str">
        <f>HYPERLINK("http://www.corstruth.com.au/SA/PNG2/139627_CU1_cs.png","139627_CU1_0.25m Bins")</f>
        <v>139627_CU1_0.25m Bins</v>
      </c>
      <c r="C1766" t="str">
        <f>HYPERLINK("http://www.corstruth.com.au/SA/CSV/139627_CU1.csv","139627_CU1_CSV File 1m Bins")</f>
        <v>139627_CU1_CSV File 1m Bins</v>
      </c>
      <c r="D1766">
        <v>139627</v>
      </c>
      <c r="E1766" t="s">
        <v>2163</v>
      </c>
      <c r="F1766" t="str">
        <f>HYPERLINK("https://drillhole.pir.sa.gov.au/Details.aspx?DRILLHOLE_NO=139627","Geol Survey Link")</f>
        <v>Geol Survey Link</v>
      </c>
      <c r="I1766">
        <v>-32.8063</v>
      </c>
      <c r="J1766">
        <v>137.60900000000001</v>
      </c>
      <c r="K1766" t="str">
        <f>HYPERLINK("https://sarigdata.pir.sa.gov.au/nvcl/NVCLDataServices/mosaic.html?datasetid=91d155a0-24ca-402f-89b4-cc0d56a21b2","139627_CU1_Core Image")</f>
        <v>139627_CU1_Core Image</v>
      </c>
    </row>
    <row r="1767" spans="1:11" x14ac:dyDescent="0.25">
      <c r="A1767" t="str">
        <f>HYPERLINK("http://www.corstruth.com.au/SA/139633_CU6_cs.png","139633_CU6_A4")</f>
        <v>139633_CU6_A4</v>
      </c>
      <c r="D1767">
        <v>139633</v>
      </c>
      <c r="E1767" t="s">
        <v>2163</v>
      </c>
      <c r="F1767" t="str">
        <f>HYPERLINK("https://drillhole.pir.sa.gov.au/Details.aspx?DRILLHOLE_NO=139633","Geol Survey Link")</f>
        <v>Geol Survey Link</v>
      </c>
      <c r="I1767">
        <v>-32.855400000000003</v>
      </c>
      <c r="J1767">
        <v>137.65</v>
      </c>
      <c r="K1767" t="str">
        <f>HYPERLINK("https://sarigdata.pir.sa.gov.au/nvcl/NVCLDataServices/mosaic.html?datasetid=fe51b86a-8dd4-4cba-b468-2ed3fbc0eda","139633_CU6_Core Image")</f>
        <v>139633_CU6_Core Image</v>
      </c>
    </row>
    <row r="1768" spans="1:11" x14ac:dyDescent="0.25">
      <c r="A1768" t="str">
        <f>HYPERLINK("http://www.corstruth.com.au/SA/139634_CU7_cs.png","139634_CU7_A4")</f>
        <v>139634_CU7_A4</v>
      </c>
      <c r="B1768" t="str">
        <f>HYPERLINK("http://www.corstruth.com.au/SA/PNG2/139634_CU7_cs.png","139634_CU7_0.25m Bins")</f>
        <v>139634_CU7_0.25m Bins</v>
      </c>
      <c r="C1768" t="str">
        <f>HYPERLINK("http://www.corstruth.com.au/SA/CSV/139634_CU7.csv","139634_CU7_CSV File 1m Bins")</f>
        <v>139634_CU7_CSV File 1m Bins</v>
      </c>
      <c r="D1768">
        <v>139634</v>
      </c>
      <c r="E1768" t="s">
        <v>2163</v>
      </c>
      <c r="F1768" t="str">
        <f>HYPERLINK("https://drillhole.pir.sa.gov.au/Details.aspx?DRILLHOLE_NO=139634","Geol Survey Link")</f>
        <v>Geol Survey Link</v>
      </c>
      <c r="I1768">
        <v>-32.868899999999996</v>
      </c>
      <c r="J1768">
        <v>137.63200000000001</v>
      </c>
      <c r="K1768" t="str">
        <f>HYPERLINK("https://sarigdata.pir.sa.gov.au/nvcl/NVCLDataServices/mosaic.html?datasetid=bf6024ff-8b22-474a-9cee-854aac9ac1c","139634_CU7_Core Image")</f>
        <v>139634_CU7_Core Image</v>
      </c>
    </row>
    <row r="1769" spans="1:11" x14ac:dyDescent="0.25">
      <c r="A1769" t="str">
        <f>HYPERLINK("http://www.corstruth.com.au/SA/139748_MG506_cs.png","139748_MG506_A4")</f>
        <v>139748_MG506_A4</v>
      </c>
      <c r="B1769" t="str">
        <f>HYPERLINK("http://www.corstruth.com.au/SA/PNG2/139748_MG506_cs.png","139748_MG506_0.25m Bins")</f>
        <v>139748_MG506_0.25m Bins</v>
      </c>
      <c r="C1769" t="str">
        <f>HYPERLINK("http://www.corstruth.com.au/SA/CSV/139748_MG506.csv","139748_MG506_CSV File 1m Bins")</f>
        <v>139748_MG506_CSV File 1m Bins</v>
      </c>
      <c r="D1769">
        <v>139748</v>
      </c>
      <c r="E1769" t="s">
        <v>2163</v>
      </c>
      <c r="F1769" t="str">
        <f>HYPERLINK("https://drillhole.pir.sa.gov.au/Details.aspx?DRILLHOLE_NO=139748","Geol Survey Link")</f>
        <v>Geol Survey Link</v>
      </c>
      <c r="I1769">
        <v>-31.433800000000002</v>
      </c>
      <c r="J1769">
        <v>137.155</v>
      </c>
      <c r="K1769" t="str">
        <f>HYPERLINK("https://sarigdata.pir.sa.gov.au/nvcl/NVCLDataServices/mosaic.html?datasetid=281940f2-f244-43cd-90bc-4416746b256","139748_MG506_Core Image")</f>
        <v>139748_MG506_Core Image</v>
      </c>
    </row>
    <row r="1770" spans="1:11" x14ac:dyDescent="0.25">
      <c r="A1770" t="str">
        <f>HYPERLINK("http://www.corstruth.com.au/SA/139753_MG511_cs.png","139753_MG511_A4")</f>
        <v>139753_MG511_A4</v>
      </c>
      <c r="B1770" t="str">
        <f>HYPERLINK("http://www.corstruth.com.au/SA/PNG2/139753_MG511_cs.png","139753_MG511_0.25m Bins")</f>
        <v>139753_MG511_0.25m Bins</v>
      </c>
      <c r="C1770" t="str">
        <f>HYPERLINK("http://www.corstruth.com.au/SA/CSV/139753_MG511.csv","139753_MG511_CSV File 1m Bins")</f>
        <v>139753_MG511_CSV File 1m Bins</v>
      </c>
      <c r="D1770">
        <v>139753</v>
      </c>
      <c r="E1770" t="s">
        <v>2163</v>
      </c>
      <c r="F1770" t="str">
        <f>HYPERLINK("https://drillhole.pir.sa.gov.au/Details.aspx?DRILLHOLE_NO=139753","Geol Survey Link")</f>
        <v>Geol Survey Link</v>
      </c>
      <c r="I1770">
        <v>-31.433800000000002</v>
      </c>
      <c r="J1770">
        <v>137.15</v>
      </c>
      <c r="K1770" t="str">
        <f>HYPERLINK("https://sarigdata.pir.sa.gov.au/nvcl/NVCLDataServices/mosaic.html?datasetid=3f64f4e8-ac29-4b2e-ac23-65ef9be4f55","139753_MG511_Core Image")</f>
        <v>139753_MG511_Core Image</v>
      </c>
    </row>
    <row r="1771" spans="1:11" x14ac:dyDescent="0.25">
      <c r="A1771" t="str">
        <f>HYPERLINK("http://www.corstruth.com.au/SA/139875_LY7_cs.png","139875_LY7_A4")</f>
        <v>139875_LY7_A4</v>
      </c>
      <c r="D1771">
        <v>139875</v>
      </c>
      <c r="E1771" t="s">
        <v>2163</v>
      </c>
      <c r="F1771" t="str">
        <f>HYPERLINK("https://drillhole.pir.sa.gov.au/Details.aspx?DRILLHOLE_NO=139875","Geol Survey Link")</f>
        <v>Geol Survey Link</v>
      </c>
      <c r="I1771">
        <v>-31.4405</v>
      </c>
      <c r="J1771">
        <v>137.15100000000001</v>
      </c>
      <c r="K1771" t="str">
        <f>HYPERLINK("https://sarigdata.pir.sa.gov.au/nvcl/NVCLDataServices/mosaic.html?datasetid=dcf1a258-ad60-4d37-b6a7-ed28e76f87a","139875_LY7_Core Image")</f>
        <v>139875_LY7_Core Image</v>
      </c>
    </row>
    <row r="1772" spans="1:11" x14ac:dyDescent="0.25">
      <c r="A1772" t="str">
        <f>HYPERLINK("http://www.corstruth.com.au/SA/139962_TR6_cs.png","139962_TR6_A4")</f>
        <v>139962_TR6_A4</v>
      </c>
      <c r="B1772" t="str">
        <f>HYPERLINK("http://www.corstruth.com.au/SA/PNG2/139962_TR6_cs.png","139962_TR6_0.25m Bins")</f>
        <v>139962_TR6_0.25m Bins</v>
      </c>
      <c r="C1772" t="str">
        <f>HYPERLINK("http://www.corstruth.com.au/SA/CSV/139962_TR6.csv","139962_TR6_CSV File 1m Bins")</f>
        <v>139962_TR6_CSV File 1m Bins</v>
      </c>
      <c r="D1772">
        <v>139962</v>
      </c>
      <c r="E1772" t="s">
        <v>2163</v>
      </c>
      <c r="F1772" t="str">
        <f>HYPERLINK("https://drillhole.pir.sa.gov.au/Details.aspx?DRILLHOLE_NO=139962","Geol Survey Link")</f>
        <v>Geol Survey Link</v>
      </c>
      <c r="I1772">
        <v>-32.345599999999997</v>
      </c>
      <c r="J1772">
        <v>137.495</v>
      </c>
      <c r="K1772" t="str">
        <f>HYPERLINK("https://sarigdata.pir.sa.gov.au/nvcl/NVCLDataServices/mosaic.html?datasetid=5fc1a976-02cb-424a-ad63-5ea6e0218b3","139962_TR6_Core Image")</f>
        <v>139962_TR6_Core Image</v>
      </c>
    </row>
    <row r="1773" spans="1:11" x14ac:dyDescent="0.25">
      <c r="A1773" t="str">
        <f>HYPERLINK("http://www.corstruth.com.au/SA/140289_ROD1_cs.png","140289_ROD1_A4")</f>
        <v>140289_ROD1_A4</v>
      </c>
      <c r="B1773" t="str">
        <f>HYPERLINK("http://www.corstruth.com.au/SA/PNG2/140289_ROD1_cs.png","140289_ROD1_0.25m Bins")</f>
        <v>140289_ROD1_0.25m Bins</v>
      </c>
      <c r="C1773" t="str">
        <f>HYPERLINK("http://www.corstruth.com.au/SA/CSV/140289_ROD1.csv","140289_ROD1_CSV File 1m Bins")</f>
        <v>140289_ROD1_CSV File 1m Bins</v>
      </c>
      <c r="D1773">
        <v>140289</v>
      </c>
      <c r="E1773" t="s">
        <v>2163</v>
      </c>
      <c r="F1773" t="str">
        <f>HYPERLINK("https://drillhole.pir.sa.gov.au/Details.aspx?DRILLHOLE_NO=140289","Geol Survey Link")</f>
        <v>Geol Survey Link</v>
      </c>
      <c r="I1773">
        <v>-32.740200000000002</v>
      </c>
      <c r="J1773">
        <v>137.358</v>
      </c>
      <c r="K1773" t="str">
        <f>HYPERLINK("https://sarigdata.pir.sa.gov.au/nvcl/NVCLDataServices/mosaic.html?datasetid=afaca2ae-21aa-4d16-83fb-862a591b145","140289_ROD1_Core Image")</f>
        <v>140289_ROD1_Core Image</v>
      </c>
    </row>
    <row r="1774" spans="1:11" x14ac:dyDescent="0.25">
      <c r="A1774" t="str">
        <f>HYPERLINK("http://www.corstruth.com.au/SA/140290_ROD2_cs.png","140290_ROD2_A4")</f>
        <v>140290_ROD2_A4</v>
      </c>
      <c r="B1774" t="str">
        <f>HYPERLINK("http://www.corstruth.com.au/SA/PNG2/140290_ROD2_cs.png","140290_ROD2_0.25m Bins")</f>
        <v>140290_ROD2_0.25m Bins</v>
      </c>
      <c r="C1774" t="str">
        <f>HYPERLINK("http://www.corstruth.com.au/SA/CSV/140290_ROD2.csv","140290_ROD2_CSV File 1m Bins")</f>
        <v>140290_ROD2_CSV File 1m Bins</v>
      </c>
      <c r="D1774">
        <v>140290</v>
      </c>
      <c r="E1774" t="s">
        <v>2163</v>
      </c>
      <c r="F1774" t="str">
        <f>HYPERLINK("https://drillhole.pir.sa.gov.au/Details.aspx?DRILLHOLE_NO=140290","Geol Survey Link")</f>
        <v>Geol Survey Link</v>
      </c>
      <c r="I1774">
        <v>-32.740200000000002</v>
      </c>
      <c r="J1774">
        <v>137.358</v>
      </c>
      <c r="K1774" t="str">
        <f>HYPERLINK("https://sarigdata.pir.sa.gov.au/nvcl/NVCLDataServices/mosaic.html?datasetid=25f1aabf-4252-47ec-829b-1c7910b548d","140290_ROD2_Core Image")</f>
        <v>140290_ROD2_Core Image</v>
      </c>
    </row>
    <row r="1775" spans="1:11" x14ac:dyDescent="0.25">
      <c r="A1775" t="str">
        <f>HYPERLINK("http://www.corstruth.com.au/SA/140293_ROD5_cs.png","140293_ROD5_A4")</f>
        <v>140293_ROD5_A4</v>
      </c>
      <c r="B1775" t="str">
        <f>HYPERLINK("http://www.corstruth.com.au/SA/PNG2/140293_ROD5_cs.png","140293_ROD5_0.25m Bins")</f>
        <v>140293_ROD5_0.25m Bins</v>
      </c>
      <c r="C1775" t="str">
        <f>HYPERLINK("http://www.corstruth.com.au/SA/CSV/140293_ROD5.csv","140293_ROD5_CSV File 1m Bins")</f>
        <v>140293_ROD5_CSV File 1m Bins</v>
      </c>
      <c r="D1775">
        <v>140293</v>
      </c>
      <c r="E1775" t="s">
        <v>2163</v>
      </c>
      <c r="F1775" t="str">
        <f>HYPERLINK("https://drillhole.pir.sa.gov.au/Details.aspx?DRILLHOLE_NO=140293","Geol Survey Link")</f>
        <v>Geol Survey Link</v>
      </c>
      <c r="I1775">
        <v>-32.712600000000002</v>
      </c>
      <c r="J1775">
        <v>137.37899999999999</v>
      </c>
      <c r="K1775" t="str">
        <f>HYPERLINK("https://sarigdata.pir.sa.gov.au/nvcl/NVCLDataServices/mosaic.html?datasetid=2b28651d-8fda-46f5-8c86-f256c03b93d","140293_ROD5_Core Image")</f>
        <v>140293_ROD5_Core Image</v>
      </c>
    </row>
    <row r="1776" spans="1:11" x14ac:dyDescent="0.25">
      <c r="A1776" t="str">
        <f>HYPERLINK("http://www.corstruth.com.au/SA/140474_Samedan_SOC1_cs.png","140474_Samedan_SOC1_A4")</f>
        <v>140474_Samedan_SOC1_A4</v>
      </c>
      <c r="B1776" t="str">
        <f>HYPERLINK("http://www.corstruth.com.au/SA/PNG2/140474_Samedan_SOC1_cs.png","140474_Samedan_SOC1_0.25m Bins")</f>
        <v>140474_Samedan_SOC1_0.25m Bins</v>
      </c>
      <c r="C1776" t="str">
        <f>HYPERLINK("http://www.corstruth.com.au/SA/CSV/140474_Samedan_SOC1.csv","140474_Samedan_SOC1_CSV File 1m Bins")</f>
        <v>140474_Samedan_SOC1_CSV File 1m Bins</v>
      </c>
      <c r="D1776">
        <v>140474</v>
      </c>
      <c r="E1776" t="s">
        <v>2163</v>
      </c>
      <c r="F1776" t="str">
        <f>HYPERLINK("https://drillhole.pir.sa.gov.au/Details.aspx?DRILLHOLE_NO=140474","Geol Survey Link")</f>
        <v>Geol Survey Link</v>
      </c>
      <c r="I1776">
        <v>-32.738399999999999</v>
      </c>
      <c r="J1776">
        <v>137.38399999999999</v>
      </c>
      <c r="K1776" t="str">
        <f>HYPERLINK("https://sarigdata.pir.sa.gov.au/nvcl/NVCLDataServices/mosaic.html?datasetid=f1c16027-d9c2-4b19-9591-ba53749fd48","140474_Samedan_SOC1_Core Image")</f>
        <v>140474_Samedan_SOC1_Core Image</v>
      </c>
    </row>
    <row r="1777" spans="1:11" x14ac:dyDescent="0.25">
      <c r="A1777" t="str">
        <f>HYPERLINK("http://www.corstruth.com.au/SA/140478_Samedan_SOC5_cs.png","140478_Samedan_SOC5_A4")</f>
        <v>140478_Samedan_SOC5_A4</v>
      </c>
      <c r="B1777" t="str">
        <f>HYPERLINK("http://www.corstruth.com.au/SA/PNG2/140478_Samedan_SOC5_cs.png","140478_Samedan_SOC5_0.25m Bins")</f>
        <v>140478_Samedan_SOC5_0.25m Bins</v>
      </c>
      <c r="C1777" t="str">
        <f>HYPERLINK("http://www.corstruth.com.au/SA/CSV/140478_Samedan_SOC5.csv","140478_Samedan_SOC5_CSV File 1m Bins")</f>
        <v>140478_Samedan_SOC5_CSV File 1m Bins</v>
      </c>
      <c r="D1777">
        <v>140478</v>
      </c>
      <c r="E1777" t="s">
        <v>2163</v>
      </c>
      <c r="F1777" t="str">
        <f>HYPERLINK("https://drillhole.pir.sa.gov.au/Details.aspx?DRILLHOLE_NO=140478","Geol Survey Link")</f>
        <v>Geol Survey Link</v>
      </c>
      <c r="I1777">
        <v>-32.752299999999998</v>
      </c>
      <c r="J1777">
        <v>137.36799999999999</v>
      </c>
      <c r="K1777" t="str">
        <f>HYPERLINK("https://sarigdata.pir.sa.gov.au/nvcl/NVCLDataServices/mosaic.html?datasetid=189c572b-a259-404a-8d7d-ecac3c3ea96","140478_Samedan_SOC5_Core Image")</f>
        <v>140478_Samedan_SOC5_Core Image</v>
      </c>
    </row>
    <row r="1778" spans="1:11" x14ac:dyDescent="0.25">
      <c r="A1778" t="str">
        <f>HYPERLINK("http://www.corstruth.com.au/SA/140481_Samedan_SOC9_cs.png","140481_Samedan_SOC9_A4")</f>
        <v>140481_Samedan_SOC9_A4</v>
      </c>
      <c r="B1778" t="str">
        <f>HYPERLINK("http://www.corstruth.com.au/SA/PNG2/140481_Samedan_SOC9_cs.png","140481_Samedan_SOC9_0.25m Bins")</f>
        <v>140481_Samedan_SOC9_0.25m Bins</v>
      </c>
      <c r="C1778" t="str">
        <f>HYPERLINK("http://www.corstruth.com.au/SA/CSV/140481_Samedan_SOC9.csv","140481_Samedan_SOC9_CSV File 1m Bins")</f>
        <v>140481_Samedan_SOC9_CSV File 1m Bins</v>
      </c>
      <c r="D1778">
        <v>140481</v>
      </c>
      <c r="E1778" t="s">
        <v>2163</v>
      </c>
      <c r="F1778" t="str">
        <f>HYPERLINK("https://drillhole.pir.sa.gov.au/Details.aspx?DRILLHOLE_NO=140481","Geol Survey Link")</f>
        <v>Geol Survey Link</v>
      </c>
      <c r="I1778">
        <v>-32.747399999999999</v>
      </c>
      <c r="J1778">
        <v>137.37899999999999</v>
      </c>
      <c r="K1778" t="str">
        <f>HYPERLINK("https://sarigdata.pir.sa.gov.au/nvcl/NVCLDataServices/mosaic.html?datasetid=634ec7d4-94a7-4e89-827a-b8cf721df49","140481_Samedan_SOC9_Core Image")</f>
        <v>140481_Samedan_SOC9_Core Image</v>
      </c>
    </row>
    <row r="1779" spans="1:11" x14ac:dyDescent="0.25">
      <c r="A1779" t="str">
        <f>HYPERLINK("http://www.corstruth.com.au/SA/140482_Samedan_SOC10_cs.png","140482_Samedan_SOC10_A4")</f>
        <v>140482_Samedan_SOC10_A4</v>
      </c>
      <c r="B1779" t="str">
        <f>HYPERLINK("http://www.corstruth.com.au/SA/PNG2/140482_Samedan_SOC10_cs.png","140482_Samedan_SOC10_0.25m Bins")</f>
        <v>140482_Samedan_SOC10_0.25m Bins</v>
      </c>
      <c r="C1779" t="str">
        <f>HYPERLINK("http://www.corstruth.com.au/SA/CSV/140482_Samedan_SOC10.csv","140482_Samedan_SOC10_CSV File 1m Bins")</f>
        <v>140482_Samedan_SOC10_CSV File 1m Bins</v>
      </c>
      <c r="D1779">
        <v>140482</v>
      </c>
      <c r="E1779" t="s">
        <v>2163</v>
      </c>
      <c r="F1779" t="str">
        <f>HYPERLINK("https://drillhole.pir.sa.gov.au/Details.aspx?DRILLHOLE_NO=140482","Geol Survey Link")</f>
        <v>Geol Survey Link</v>
      </c>
      <c r="I1779">
        <v>-32.747</v>
      </c>
      <c r="J1779">
        <v>137.37899999999999</v>
      </c>
      <c r="K1779" t="str">
        <f>HYPERLINK("https://sarigdata.pir.sa.gov.au/nvcl/NVCLDataServices/mosaic.html?datasetid=852b5fa2-7be0-4b00-a091-a6b29bfef5a","140482_Samedan_SOC10_Core Image")</f>
        <v>140482_Samedan_SOC10_Core Image</v>
      </c>
    </row>
    <row r="1780" spans="1:11" x14ac:dyDescent="0.25">
      <c r="A1780" t="str">
        <f>HYPERLINK("http://www.corstruth.com.au/SA/14057_DP1_cs.png","14057_DP1_A4")</f>
        <v>14057_DP1_A4</v>
      </c>
      <c r="B1780" t="str">
        <f>HYPERLINK("http://www.corstruth.com.au/SA/PNG2/14057_DP1_cs.png","14057_DP1_0.25m Bins")</f>
        <v>14057_DP1_0.25m Bins</v>
      </c>
      <c r="C1780" t="str">
        <f>HYPERLINK("http://www.corstruth.com.au/SA/CSV/14057_DP1.csv","14057_DP1_CSV File 1m Bins")</f>
        <v>14057_DP1_CSV File 1m Bins</v>
      </c>
      <c r="D1780">
        <v>14057</v>
      </c>
      <c r="E1780" t="s">
        <v>2163</v>
      </c>
      <c r="F1780" t="str">
        <f>HYPERLINK("https://drillhole.pir.sa.gov.au/Details.aspx?DRILLHOLE_NO=14057","Geol Survey Link")</f>
        <v>Geol Survey Link</v>
      </c>
      <c r="I1780">
        <v>-30.0137</v>
      </c>
      <c r="J1780">
        <v>135.84299999999999</v>
      </c>
      <c r="K1780" t="str">
        <f>HYPERLINK("https://sarigdata.pir.sa.gov.au/nvcl/NVCLDataServices/mosaic.html?datasetid=fd1b71dd-7d51-4646-90f7-3f6da875b13","14057_DP1_Core Image")</f>
        <v>14057_DP1_Core Image</v>
      </c>
    </row>
    <row r="1781" spans="1:11" x14ac:dyDescent="0.25">
      <c r="A1781" t="str">
        <f>HYPERLINK("http://www.corstruth.com.au/SA/14058_DP2_cs.png","14058_DP2_A4")</f>
        <v>14058_DP2_A4</v>
      </c>
      <c r="D1781">
        <v>14058</v>
      </c>
      <c r="E1781" t="s">
        <v>2163</v>
      </c>
      <c r="F1781" t="str">
        <f>HYPERLINK("https://drillhole.pir.sa.gov.au/Details.aspx?DRILLHOLE_NO=14058","Geol Survey Link")</f>
        <v>Geol Survey Link</v>
      </c>
      <c r="I1781">
        <v>-30.049199999999999</v>
      </c>
      <c r="J1781">
        <v>135.84200000000001</v>
      </c>
      <c r="K1781" t="str">
        <f>HYPERLINK("https://sarigdata.pir.sa.gov.au/nvcl/NVCLDataServices/mosaic.html?datasetid=b8a6dc8c-aa8f-45c0-b84f-2b2d11d33a9","14058_DP2_Core Image")</f>
        <v>14058_DP2_Core Image</v>
      </c>
    </row>
    <row r="1782" spans="1:11" x14ac:dyDescent="0.25">
      <c r="A1782" t="str">
        <f>HYPERLINK("http://www.corstruth.com.au/SA/140595_TIEYON_CUR1_cs.png","140595_TIEYON_CUR1_A4")</f>
        <v>140595_TIEYON_CUR1_A4</v>
      </c>
      <c r="D1782">
        <v>140595</v>
      </c>
      <c r="E1782" t="s">
        <v>2163</v>
      </c>
      <c r="F1782" t="str">
        <f>HYPERLINK("https://drillhole.pir.sa.gov.au/Details.aspx?DRILLHOLE_NO=140595","Geol Survey Link")</f>
        <v>Geol Survey Link</v>
      </c>
      <c r="I1782">
        <v>-26.435099999999998</v>
      </c>
      <c r="J1782">
        <v>134.03399999999999</v>
      </c>
    </row>
    <row r="1783" spans="1:11" x14ac:dyDescent="0.25">
      <c r="A1783" t="str">
        <f>HYPERLINK("http://www.corstruth.com.au/SA/140596_TIEYON_CUR2_cs.png","140596_TIEYON_CUR2_A4")</f>
        <v>140596_TIEYON_CUR2_A4</v>
      </c>
      <c r="D1783">
        <v>140596</v>
      </c>
      <c r="E1783" t="s">
        <v>2163</v>
      </c>
      <c r="F1783" t="str">
        <f>HYPERLINK("https://drillhole.pir.sa.gov.au/Details.aspx?DRILLHOLE_NO=140596","Geol Survey Link")</f>
        <v>Geol Survey Link</v>
      </c>
      <c r="I1783">
        <v>-26.506399999999999</v>
      </c>
      <c r="J1783">
        <v>134.041</v>
      </c>
    </row>
    <row r="1784" spans="1:11" x14ac:dyDescent="0.25">
      <c r="A1784" t="str">
        <f>HYPERLINK("http://www.corstruth.com.au/SA/140938_WANKAW1_cs.png","140938_WANKAW1_A4")</f>
        <v>140938_WANKAW1_A4</v>
      </c>
      <c r="D1784">
        <v>140938</v>
      </c>
      <c r="E1784" t="s">
        <v>2163</v>
      </c>
      <c r="F1784" t="str">
        <f>HYPERLINK("https://drillhole.pir.sa.gov.au/Details.aspx?DRILLHOLE_NO=140938","Geol Survey Link")</f>
        <v>Geol Survey Link</v>
      </c>
      <c r="I1784">
        <v>-26.776700000000002</v>
      </c>
      <c r="J1784">
        <v>132.767</v>
      </c>
    </row>
    <row r="1785" spans="1:11" x14ac:dyDescent="0.25">
      <c r="A1785" t="str">
        <f>HYPERLINK("http://www.corstruth.com.au/SA/140939_WANKAW2_cs.png","140939_WANKAW2_A4")</f>
        <v>140939_WANKAW2_A4</v>
      </c>
      <c r="D1785">
        <v>140939</v>
      </c>
      <c r="E1785" t="s">
        <v>2163</v>
      </c>
      <c r="F1785" t="str">
        <f>HYPERLINK("https://drillhole.pir.sa.gov.au/Details.aspx?DRILLHOLE_NO=140939","Geol Survey Link")</f>
        <v>Geol Survey Link</v>
      </c>
      <c r="I1785">
        <v>-26.779800000000002</v>
      </c>
      <c r="J1785">
        <v>132.761</v>
      </c>
    </row>
    <row r="1786" spans="1:11" x14ac:dyDescent="0.25">
      <c r="A1786" t="str">
        <f>HYPERLINK("http://www.corstruth.com.au/SA/140940_WANKAW3_cs.png","140940_WANKAW3_A4")</f>
        <v>140940_WANKAW3_A4</v>
      </c>
      <c r="D1786">
        <v>140940</v>
      </c>
      <c r="E1786" t="s">
        <v>2163</v>
      </c>
      <c r="F1786" t="str">
        <f>HYPERLINK("https://drillhole.pir.sa.gov.au/Details.aspx?DRILLHOLE_NO=140940","Geol Survey Link")</f>
        <v>Geol Survey Link</v>
      </c>
      <c r="I1786">
        <v>-26.7788</v>
      </c>
      <c r="J1786">
        <v>132.755</v>
      </c>
    </row>
    <row r="1787" spans="1:11" x14ac:dyDescent="0.25">
      <c r="A1787" t="str">
        <f>HYPERLINK("http://www.corstruth.com.au/SA/141107_PO_DDH_229_cs.png","141107_PO_DDH 229_A4")</f>
        <v>141107_PO_DDH 229_A4</v>
      </c>
      <c r="D1787">
        <v>141107</v>
      </c>
      <c r="E1787" t="s">
        <v>2163</v>
      </c>
      <c r="F1787" t="str">
        <f>HYPERLINK("https://drillhole.pir.sa.gov.au/Details.aspx?DRILLHOLE_NO=141107","Geol Survey Link")</f>
        <v>Geol Survey Link</v>
      </c>
      <c r="I1787">
        <v>-34.0396</v>
      </c>
      <c r="J1787">
        <v>137.61600000000001</v>
      </c>
    </row>
    <row r="1788" spans="1:11" x14ac:dyDescent="0.25">
      <c r="A1788" t="str">
        <f>HYPERLINK("http://www.corstruth.com.au/SA/141108_PO_DDH_230_cs.png","141108_PO_DDH 230_A4")</f>
        <v>141108_PO_DDH 230_A4</v>
      </c>
      <c r="D1788">
        <v>141108</v>
      </c>
      <c r="E1788" t="s">
        <v>2163</v>
      </c>
      <c r="F1788" t="str">
        <f>HYPERLINK("https://drillhole.pir.sa.gov.au/Details.aspx?DRILLHOLE_NO=141108","Geol Survey Link")</f>
        <v>Geol Survey Link</v>
      </c>
      <c r="I1788">
        <v>-34.04</v>
      </c>
      <c r="J1788">
        <v>137.61699999999999</v>
      </c>
    </row>
    <row r="1789" spans="1:11" x14ac:dyDescent="0.25">
      <c r="A1789" t="str">
        <f>HYPERLINK("http://www.corstruth.com.au/SA/141109_PO_DDH_231_cs.png","141109_PO_DDH 231_A4")</f>
        <v>141109_PO_DDH 231_A4</v>
      </c>
      <c r="D1789">
        <v>141109</v>
      </c>
      <c r="E1789" t="s">
        <v>2163</v>
      </c>
      <c r="F1789" t="str">
        <f>HYPERLINK("https://drillhole.pir.sa.gov.au/Details.aspx?DRILLHOLE_NO=141109","Geol Survey Link")</f>
        <v>Geol Survey Link</v>
      </c>
      <c r="I1789">
        <v>-34.039900000000003</v>
      </c>
      <c r="J1789">
        <v>137.61699999999999</v>
      </c>
    </row>
    <row r="1790" spans="1:11" x14ac:dyDescent="0.25">
      <c r="A1790" t="str">
        <f>HYPERLINK("http://www.corstruth.com.au/SA/141110_PO_DDH_232_cs.png","141110_PO_DDH 232_A4")</f>
        <v>141110_PO_DDH 232_A4</v>
      </c>
      <c r="D1790">
        <v>141110</v>
      </c>
      <c r="E1790" t="s">
        <v>2163</v>
      </c>
      <c r="F1790" t="str">
        <f>HYPERLINK("https://drillhole.pir.sa.gov.au/Details.aspx?DRILLHOLE_NO=141110","Geol Survey Link")</f>
        <v>Geol Survey Link</v>
      </c>
      <c r="I1790">
        <v>-34.04</v>
      </c>
      <c r="J1790">
        <v>137.61699999999999</v>
      </c>
    </row>
    <row r="1791" spans="1:11" x14ac:dyDescent="0.25">
      <c r="A1791" t="str">
        <f>HYPERLINK("http://www.corstruth.com.au/SA/141111_PO_DDH_233_cs.png","141111_PO_DDH 233_A4")</f>
        <v>141111_PO_DDH 233_A4</v>
      </c>
      <c r="D1791">
        <v>141111</v>
      </c>
      <c r="E1791" t="s">
        <v>2163</v>
      </c>
      <c r="F1791" t="str">
        <f>HYPERLINK("https://drillhole.pir.sa.gov.au/Details.aspx?DRILLHOLE_NO=141111","Geol Survey Link")</f>
        <v>Geol Survey Link</v>
      </c>
      <c r="I1791">
        <v>-34.0396</v>
      </c>
      <c r="J1791">
        <v>137.61500000000001</v>
      </c>
    </row>
    <row r="1792" spans="1:11" x14ac:dyDescent="0.25">
      <c r="A1792" t="str">
        <f>HYPERLINK("http://www.corstruth.com.au/SA/141112_PO_DDH_234_cs.png","141112_PO_DDH 234_A4")</f>
        <v>141112_PO_DDH 234_A4</v>
      </c>
      <c r="D1792">
        <v>141112</v>
      </c>
      <c r="E1792" t="s">
        <v>2163</v>
      </c>
      <c r="F1792" t="str">
        <f>HYPERLINK("https://drillhole.pir.sa.gov.au/Details.aspx?DRILLHOLE_NO=141112","Geol Survey Link")</f>
        <v>Geol Survey Link</v>
      </c>
      <c r="I1792">
        <v>-34.0396</v>
      </c>
      <c r="J1792">
        <v>137.61600000000001</v>
      </c>
    </row>
    <row r="1793" spans="1:10" x14ac:dyDescent="0.25">
      <c r="A1793" t="str">
        <f>HYPERLINK("http://www.corstruth.com.au/SA/141113_PO_DDH_235_cs.png","141113_PO_DDH 235_A4")</f>
        <v>141113_PO_DDH 235_A4</v>
      </c>
      <c r="D1793">
        <v>141113</v>
      </c>
      <c r="E1793" t="s">
        <v>2163</v>
      </c>
      <c r="F1793" t="str">
        <f>HYPERLINK("https://drillhole.pir.sa.gov.au/Details.aspx?DRILLHOLE_NO=141113","Geol Survey Link")</f>
        <v>Geol Survey Link</v>
      </c>
      <c r="I1793">
        <v>-34.040300000000002</v>
      </c>
      <c r="J1793">
        <v>137.61600000000001</v>
      </c>
    </row>
    <row r="1794" spans="1:10" x14ac:dyDescent="0.25">
      <c r="A1794" t="str">
        <f>HYPERLINK("http://www.corstruth.com.au/SA/141114_PO_DDH_236_cs.png","141114_PO_DDH 236_A4")</f>
        <v>141114_PO_DDH 236_A4</v>
      </c>
      <c r="D1794">
        <v>141114</v>
      </c>
      <c r="E1794" t="s">
        <v>2163</v>
      </c>
      <c r="F1794" t="str">
        <f>HYPERLINK("https://drillhole.pir.sa.gov.au/Details.aspx?DRILLHOLE_NO=141114","Geol Survey Link")</f>
        <v>Geol Survey Link</v>
      </c>
      <c r="I1794">
        <v>-34.040100000000002</v>
      </c>
      <c r="J1794">
        <v>137.61600000000001</v>
      </c>
    </row>
    <row r="1795" spans="1:10" x14ac:dyDescent="0.25">
      <c r="A1795" t="str">
        <f>HYPERLINK("http://www.corstruth.com.au/SA/141116_PO_DDH_238_cs.png","141116_PO_DDH 238_A4")</f>
        <v>141116_PO_DDH 238_A4</v>
      </c>
      <c r="D1795">
        <v>141116</v>
      </c>
      <c r="E1795" t="s">
        <v>2163</v>
      </c>
      <c r="F1795" t="str">
        <f>HYPERLINK("https://drillhole.pir.sa.gov.au/Details.aspx?DRILLHOLE_NO=141116","Geol Survey Link")</f>
        <v>Geol Survey Link</v>
      </c>
      <c r="I1795">
        <v>-34.039700000000003</v>
      </c>
      <c r="J1795">
        <v>137.61600000000001</v>
      </c>
    </row>
    <row r="1796" spans="1:10" x14ac:dyDescent="0.25">
      <c r="A1796" t="str">
        <f>HYPERLINK("http://www.corstruth.com.au/SA/141117_PO_DDH_239_cs.png","141117_PO_DDH 239_A4")</f>
        <v>141117_PO_DDH 239_A4</v>
      </c>
      <c r="D1796">
        <v>141117</v>
      </c>
      <c r="E1796" t="s">
        <v>2163</v>
      </c>
      <c r="F1796" t="str">
        <f>HYPERLINK("https://drillhole.pir.sa.gov.au/Details.aspx?DRILLHOLE_NO=141117","Geol Survey Link")</f>
        <v>Geol Survey Link</v>
      </c>
      <c r="I1796">
        <v>-34.0398</v>
      </c>
      <c r="J1796">
        <v>137.61600000000001</v>
      </c>
    </row>
    <row r="1797" spans="1:10" x14ac:dyDescent="0.25">
      <c r="A1797" t="str">
        <f>HYPERLINK("http://www.corstruth.com.au/SA/141118_PO_DDH_240_cs.png","141118_PO_DDH 240_A4")</f>
        <v>141118_PO_DDH 240_A4</v>
      </c>
      <c r="D1797">
        <v>141118</v>
      </c>
      <c r="E1797" t="s">
        <v>2163</v>
      </c>
      <c r="F1797" t="str">
        <f>HYPERLINK("https://drillhole.pir.sa.gov.au/Details.aspx?DRILLHOLE_NO=141118","Geol Survey Link")</f>
        <v>Geol Survey Link</v>
      </c>
      <c r="I1797">
        <v>-34.040100000000002</v>
      </c>
      <c r="J1797">
        <v>137.61500000000001</v>
      </c>
    </row>
    <row r="1798" spans="1:10" x14ac:dyDescent="0.25">
      <c r="A1798" t="str">
        <f>HYPERLINK("http://www.corstruth.com.au/SA/141119_PO_DDH_241_cs.png","141119_PO_DDH 241_A4")</f>
        <v>141119_PO_DDH 241_A4</v>
      </c>
      <c r="D1798">
        <v>141119</v>
      </c>
      <c r="E1798" t="s">
        <v>2163</v>
      </c>
      <c r="F1798" t="str">
        <f>HYPERLINK("https://drillhole.pir.sa.gov.au/Details.aspx?DRILLHOLE_NO=141119","Geol Survey Link")</f>
        <v>Geol Survey Link</v>
      </c>
      <c r="I1798">
        <v>-34.040399999999998</v>
      </c>
      <c r="J1798">
        <v>137.61500000000001</v>
      </c>
    </row>
    <row r="1799" spans="1:10" x14ac:dyDescent="0.25">
      <c r="A1799" t="str">
        <f>HYPERLINK("http://www.corstruth.com.au/SA/141121_PO_DDH_243_cs.png","141121_PO_DDH 243_A4")</f>
        <v>141121_PO_DDH 243_A4</v>
      </c>
      <c r="D1799">
        <v>141121</v>
      </c>
      <c r="E1799" t="s">
        <v>2163</v>
      </c>
      <c r="F1799" t="str">
        <f>HYPERLINK("https://drillhole.pir.sa.gov.au/Details.aspx?DRILLHOLE_NO=141121","Geol Survey Link")</f>
        <v>Geol Survey Link</v>
      </c>
      <c r="I1799">
        <v>-34.0398</v>
      </c>
      <c r="J1799">
        <v>137.61600000000001</v>
      </c>
    </row>
    <row r="1800" spans="1:10" x14ac:dyDescent="0.25">
      <c r="A1800" t="str">
        <f>HYPERLINK("http://www.corstruth.com.au/SA/141122_PO_DDH_244_cs.png","141122_PO_DDH 244_A4")</f>
        <v>141122_PO_DDH 244_A4</v>
      </c>
      <c r="D1800">
        <v>141122</v>
      </c>
      <c r="E1800" t="s">
        <v>2163</v>
      </c>
      <c r="F1800" t="str">
        <f>HYPERLINK("https://drillhole.pir.sa.gov.au/Details.aspx?DRILLHOLE_NO=141122","Geol Survey Link")</f>
        <v>Geol Survey Link</v>
      </c>
      <c r="I1800">
        <v>-34.04</v>
      </c>
      <c r="J1800">
        <v>137.61699999999999</v>
      </c>
    </row>
    <row r="1801" spans="1:10" x14ac:dyDescent="0.25">
      <c r="A1801" t="str">
        <f>HYPERLINK("http://www.corstruth.com.au/SA/141123_PO_DDH_245_cs.png","141123_PO_DDH 245_A4")</f>
        <v>141123_PO_DDH 245_A4</v>
      </c>
      <c r="D1801">
        <v>141123</v>
      </c>
      <c r="E1801" t="s">
        <v>2163</v>
      </c>
      <c r="F1801" t="str">
        <f>HYPERLINK("https://drillhole.pir.sa.gov.au/Details.aspx?DRILLHOLE_NO=141123","Geol Survey Link")</f>
        <v>Geol Survey Link</v>
      </c>
      <c r="I1801">
        <v>-34.0398</v>
      </c>
      <c r="J1801">
        <v>137.61699999999999</v>
      </c>
    </row>
    <row r="1802" spans="1:10" x14ac:dyDescent="0.25">
      <c r="A1802" t="str">
        <f>HYPERLINK("http://www.corstruth.com.au/SA/141124_PO_DDH_246_cs.png","141124_PO_DDH 246_A4")</f>
        <v>141124_PO_DDH 246_A4</v>
      </c>
      <c r="D1802">
        <v>141124</v>
      </c>
      <c r="E1802" t="s">
        <v>2163</v>
      </c>
      <c r="F1802" t="str">
        <f>HYPERLINK("https://drillhole.pir.sa.gov.au/Details.aspx?DRILLHOLE_NO=141124","Geol Survey Link")</f>
        <v>Geol Survey Link</v>
      </c>
      <c r="I1802">
        <v>-34.04</v>
      </c>
      <c r="J1802">
        <v>137.61699999999999</v>
      </c>
    </row>
    <row r="1803" spans="1:10" x14ac:dyDescent="0.25">
      <c r="A1803" t="str">
        <f>HYPERLINK("http://www.corstruth.com.au/SA/141125_PO_DDH_247_cs.png","141125_PO_DDH 247_A4")</f>
        <v>141125_PO_DDH 247_A4</v>
      </c>
      <c r="D1803">
        <v>141125</v>
      </c>
      <c r="E1803" t="s">
        <v>2163</v>
      </c>
      <c r="F1803" t="str">
        <f>HYPERLINK("https://drillhole.pir.sa.gov.au/Details.aspx?DRILLHOLE_NO=141125","Geol Survey Link")</f>
        <v>Geol Survey Link</v>
      </c>
      <c r="I1803">
        <v>-34.039900000000003</v>
      </c>
      <c r="J1803">
        <v>137.61799999999999</v>
      </c>
    </row>
    <row r="1804" spans="1:10" x14ac:dyDescent="0.25">
      <c r="A1804" t="str">
        <f>HYPERLINK("http://www.corstruth.com.au/SA/141126_PO_DDH_248_cs.png","141126_PO_DDH 248_A4")</f>
        <v>141126_PO_DDH 248_A4</v>
      </c>
      <c r="D1804">
        <v>141126</v>
      </c>
      <c r="E1804" t="s">
        <v>2163</v>
      </c>
      <c r="F1804" t="str">
        <f>HYPERLINK("https://drillhole.pir.sa.gov.au/Details.aspx?DRILLHOLE_NO=141126","Geol Survey Link")</f>
        <v>Geol Survey Link</v>
      </c>
      <c r="I1804">
        <v>-34.039700000000003</v>
      </c>
      <c r="J1804">
        <v>137.61799999999999</v>
      </c>
    </row>
    <row r="1805" spans="1:10" x14ac:dyDescent="0.25">
      <c r="A1805" t="str">
        <f>HYPERLINK("http://www.corstruth.com.au/SA/141127_WH_DDH249_cs.png","141127_WH_DDH249_A4")</f>
        <v>141127_WH_DDH249_A4</v>
      </c>
      <c r="D1805">
        <v>141127</v>
      </c>
      <c r="E1805" t="s">
        <v>2163</v>
      </c>
      <c r="F1805" t="str">
        <f>HYPERLINK("https://drillhole.pir.sa.gov.au/Details.aspx?DRILLHOLE_NO=141127","Geol Survey Link")</f>
        <v>Geol Survey Link</v>
      </c>
      <c r="I1805">
        <v>-34.055799999999998</v>
      </c>
      <c r="J1805">
        <v>137.614</v>
      </c>
    </row>
    <row r="1806" spans="1:10" x14ac:dyDescent="0.25">
      <c r="A1806" t="str">
        <f>HYPERLINK("http://www.corstruth.com.au/SA/141128_WH_DDH250_cs.png","141128_WH_DDH250_A4")</f>
        <v>141128_WH_DDH250_A4</v>
      </c>
      <c r="D1806">
        <v>141128</v>
      </c>
      <c r="E1806" t="s">
        <v>2163</v>
      </c>
      <c r="F1806" t="str">
        <f>HYPERLINK("https://drillhole.pir.sa.gov.au/Details.aspx?DRILLHOLE_NO=141128","Geol Survey Link")</f>
        <v>Geol Survey Link</v>
      </c>
      <c r="I1806">
        <v>-34.055799999999998</v>
      </c>
      <c r="J1806">
        <v>137.614</v>
      </c>
    </row>
    <row r="1807" spans="1:10" x14ac:dyDescent="0.25">
      <c r="A1807" t="str">
        <f>HYPERLINK("http://www.corstruth.com.au/SA/141129_WH_DDH251_cs.png","141129_WH_DDH251_A4")</f>
        <v>141129_WH_DDH251_A4</v>
      </c>
      <c r="D1807">
        <v>141129</v>
      </c>
      <c r="E1807" t="s">
        <v>2163</v>
      </c>
      <c r="F1807" t="str">
        <f>HYPERLINK("https://drillhole.pir.sa.gov.au/Details.aspx?DRILLHOLE_NO=141129","Geol Survey Link")</f>
        <v>Geol Survey Link</v>
      </c>
      <c r="I1807">
        <v>-34.055999999999997</v>
      </c>
      <c r="J1807">
        <v>137.614</v>
      </c>
    </row>
    <row r="1808" spans="1:10" x14ac:dyDescent="0.25">
      <c r="A1808" t="str">
        <f>HYPERLINK("http://www.corstruth.com.au/SA/141130_WH_DDH252_cs.png","141130_WH_DDH252_A4")</f>
        <v>141130_WH_DDH252_A4</v>
      </c>
      <c r="D1808">
        <v>141130</v>
      </c>
      <c r="E1808" t="s">
        <v>2163</v>
      </c>
      <c r="F1808" t="str">
        <f>HYPERLINK("https://drillhole.pir.sa.gov.au/Details.aspx?DRILLHOLE_NO=141130","Geol Survey Link")</f>
        <v>Geol Survey Link</v>
      </c>
      <c r="I1808">
        <v>-34.055999999999997</v>
      </c>
      <c r="J1808">
        <v>137.614</v>
      </c>
    </row>
    <row r="1809" spans="1:11" x14ac:dyDescent="0.25">
      <c r="A1809" t="str">
        <f>HYPERLINK("http://www.corstruth.com.au/SA/14114_SR01_cs.png","14114_SR01_A4")</f>
        <v>14114_SR01_A4</v>
      </c>
      <c r="B1809" t="str">
        <f>HYPERLINK("http://www.corstruth.com.au/SA/PNG2/14114_SR01_cs.png","14114_SR01_0.25m Bins")</f>
        <v>14114_SR01_0.25m Bins</v>
      </c>
      <c r="C1809" t="str">
        <f>HYPERLINK("http://www.corstruth.com.au/SA/CSV/14114_SR01.csv","14114_SR01_CSV File 1m Bins")</f>
        <v>14114_SR01_CSV File 1m Bins</v>
      </c>
      <c r="D1809">
        <v>14114</v>
      </c>
      <c r="E1809" t="s">
        <v>2163</v>
      </c>
      <c r="F1809" t="str">
        <f>HYPERLINK("https://drillhole.pir.sa.gov.au/Details.aspx?DRILLHOLE_NO=14114","Geol Survey Link")</f>
        <v>Geol Survey Link</v>
      </c>
      <c r="I1809">
        <v>-29.751799999999999</v>
      </c>
      <c r="J1809">
        <v>135.905</v>
      </c>
      <c r="K1809" t="str">
        <f>HYPERLINK("https://sarigdata.pir.sa.gov.au/nvcl/NVCLDataServices/mosaic.html?datasetid=c16d2b67-528a-4c18-a64f-8102a7c11d3","14114_SR01_Core Image")</f>
        <v>14114_SR01_Core Image</v>
      </c>
    </row>
    <row r="1810" spans="1:11" x14ac:dyDescent="0.25">
      <c r="A1810" t="str">
        <f>HYPERLINK("http://www.corstruth.com.au/SA/14123_WarrinerCreek1_cs.png","14123_WarrinerCreek1_A4")</f>
        <v>14123_WarrinerCreek1_A4</v>
      </c>
      <c r="B1810" t="str">
        <f>HYPERLINK("http://www.corstruth.com.au/SA/PNG2/14123_WarrinerCreek1_cs.png","14123_WarrinerCreek1_0.25m Bins")</f>
        <v>14123_WarrinerCreek1_0.25m Bins</v>
      </c>
      <c r="C1810" t="str">
        <f>HYPERLINK("http://www.corstruth.com.au/SA/CSV/14123_WarrinerCreek1.csv","14123_WarrinerCreek1_CSV File 1m Bins")</f>
        <v>14123_WarrinerCreek1_CSV File 1m Bins</v>
      </c>
      <c r="D1810">
        <v>14123</v>
      </c>
      <c r="E1810" t="s">
        <v>2163</v>
      </c>
      <c r="F1810" t="str">
        <f>HYPERLINK("https://drillhole.pir.sa.gov.au/Details.aspx?DRILLHOLE_NO=14123","Geol Survey Link")</f>
        <v>Geol Survey Link</v>
      </c>
      <c r="I1810">
        <v>-29.458500000000001</v>
      </c>
      <c r="J1810">
        <v>135.76599999999999</v>
      </c>
      <c r="K1810" t="str">
        <f>HYPERLINK("https://sarigdata.pir.sa.gov.au/nvcl/NVCLDataServices/mosaic.html?datasetid=080843f6-841a-49a3-b382-ad7be8b3bab","14123_WarrinerCreek1_Core Image")</f>
        <v>14123_WarrinerCreek1_Core Image</v>
      </c>
    </row>
    <row r="1811" spans="1:11" x14ac:dyDescent="0.25">
      <c r="A1811" t="str">
        <f>HYPERLINK("http://www.corstruth.com.au/SA/141498_CD2_cs.png","141498_CD2_A4")</f>
        <v>141498_CD2_A4</v>
      </c>
      <c r="B1811" t="str">
        <f>HYPERLINK("http://www.corstruth.com.au/SA/PNG2/141498_CD2_cs.png","141498_CD2_0.25m Bins")</f>
        <v>141498_CD2_0.25m Bins</v>
      </c>
      <c r="C1811" t="str">
        <f>HYPERLINK("http://www.corstruth.com.au/SA/CSV/141498_CD2.csv","141498_CD2_CSV File 1m Bins")</f>
        <v>141498_CD2_CSV File 1m Bins</v>
      </c>
      <c r="D1811">
        <v>141498</v>
      </c>
      <c r="E1811" t="s">
        <v>2163</v>
      </c>
      <c r="F1811" t="str">
        <f>HYPERLINK("https://drillhole.pir.sa.gov.au/Details.aspx?DRILLHOLE_NO=141498","Geol Survey Link")</f>
        <v>Geol Survey Link</v>
      </c>
      <c r="I1811">
        <v>-32.546100000000003</v>
      </c>
      <c r="J1811">
        <v>140.245</v>
      </c>
      <c r="K1811" t="str">
        <f>HYPERLINK("https://sarigdata.pir.sa.gov.au/nvcl/NVCLDataServices/mosaic.html?datasetid=9b0ba4a4-955a-4baf-a55c-252d30e80f6","141498_CD2_Core Image")</f>
        <v>141498_CD2_Core Image</v>
      </c>
    </row>
    <row r="1812" spans="1:11" x14ac:dyDescent="0.25">
      <c r="A1812" t="str">
        <f>HYPERLINK("http://www.corstruth.com.au/SA/141499_CD3_cs.png","141499_CD3_A4")</f>
        <v>141499_CD3_A4</v>
      </c>
      <c r="B1812" t="str">
        <f>HYPERLINK("http://www.corstruth.com.au/SA/PNG2/141499_CD3_cs.png","141499_CD3_0.25m Bins")</f>
        <v>141499_CD3_0.25m Bins</v>
      </c>
      <c r="C1812" t="str">
        <f>HYPERLINK("http://www.corstruth.com.au/SA/CSV/141499_CD3.csv","141499_CD3_CSV File 1m Bins")</f>
        <v>141499_CD3_CSV File 1m Bins</v>
      </c>
      <c r="D1812">
        <v>141499</v>
      </c>
      <c r="E1812" t="s">
        <v>2163</v>
      </c>
      <c r="F1812" t="str">
        <f>HYPERLINK("https://drillhole.pir.sa.gov.au/Details.aspx?DRILLHOLE_NO=141499","Geol Survey Link")</f>
        <v>Geol Survey Link</v>
      </c>
      <c r="I1812">
        <v>-32.555100000000003</v>
      </c>
      <c r="J1812">
        <v>140.24600000000001</v>
      </c>
      <c r="K1812" t="str">
        <f>HYPERLINK("https://sarigdata.pir.sa.gov.au/nvcl/NVCLDataServices/mosaic.html?datasetid=41da1dbc-928c-44ef-96ee-70dab5f0f29","141499_CD3_Core Image")</f>
        <v>141499_CD3_Core Image</v>
      </c>
    </row>
    <row r="1813" spans="1:11" x14ac:dyDescent="0.25">
      <c r="A1813" t="str">
        <f>HYPERLINK("http://www.corstruth.com.au/SA/141500_CD4_cs.png","141500_CD4_A4")</f>
        <v>141500_CD4_A4</v>
      </c>
      <c r="B1813" t="str">
        <f>HYPERLINK("http://www.corstruth.com.au/SA/PNG2/141500_CD4_cs.png","141500_CD4_0.25m Bins")</f>
        <v>141500_CD4_0.25m Bins</v>
      </c>
      <c r="C1813" t="str">
        <f>HYPERLINK("http://www.corstruth.com.au/SA/CSV/141500_CD4.csv","141500_CD4_CSV File 1m Bins")</f>
        <v>141500_CD4_CSV File 1m Bins</v>
      </c>
      <c r="D1813">
        <v>141500</v>
      </c>
      <c r="E1813" t="s">
        <v>2163</v>
      </c>
      <c r="F1813" t="str">
        <f>HYPERLINK("https://drillhole.pir.sa.gov.au/Details.aspx?DRILLHOLE_NO=141500","Geol Survey Link")</f>
        <v>Geol Survey Link</v>
      </c>
      <c r="I1813">
        <v>-32.547899999999998</v>
      </c>
      <c r="J1813">
        <v>140.239</v>
      </c>
      <c r="K1813" t="str">
        <f>HYPERLINK("https://sarigdata.pir.sa.gov.au/nvcl/NVCLDataServices/mosaic.html?datasetid=8db71fca-3f27-4a25-822a-093f455b239","141500_CD4_Core Image")</f>
        <v>141500_CD4_Core Image</v>
      </c>
    </row>
    <row r="1814" spans="1:11" x14ac:dyDescent="0.25">
      <c r="A1814" t="str">
        <f>HYPERLINK("http://www.corstruth.com.au/SA/141501_CD1_cs.png","141501_CD1_A4")</f>
        <v>141501_CD1_A4</v>
      </c>
      <c r="B1814" t="str">
        <f>HYPERLINK("http://www.corstruth.com.au/SA/PNG2/141501_CD1_cs.png","141501_CD1_0.25m Bins")</f>
        <v>141501_CD1_0.25m Bins</v>
      </c>
      <c r="C1814" t="str">
        <f>HYPERLINK("http://www.corstruth.com.au/SA/CSV/141501_CD1.csv","141501_CD1_CSV File 1m Bins")</f>
        <v>141501_CD1_CSV File 1m Bins</v>
      </c>
      <c r="D1814">
        <v>141501</v>
      </c>
      <c r="E1814" t="s">
        <v>2163</v>
      </c>
      <c r="F1814" t="str">
        <f>HYPERLINK("https://drillhole.pir.sa.gov.au/Details.aspx?DRILLHOLE_NO=141501","Geol Survey Link")</f>
        <v>Geol Survey Link</v>
      </c>
      <c r="I1814">
        <v>-32.415500000000002</v>
      </c>
      <c r="J1814">
        <v>140.251</v>
      </c>
      <c r="K1814" t="str">
        <f>HYPERLINK("https://sarigdata.pir.sa.gov.au/nvcl/NVCLDataServices/mosaic.html?datasetid=7d904972-9089-4788-b1e5-5867a54c8ea","141501_CD1_Core Image")</f>
        <v>141501_CD1_Core Image</v>
      </c>
    </row>
    <row r="1815" spans="1:11" x14ac:dyDescent="0.25">
      <c r="A1815" t="str">
        <f>HYPERLINK("http://www.corstruth.com.au/SA/141747_DD86EN24_cs.png","141747_DD86EN24_A4")</f>
        <v>141747_DD86EN24_A4</v>
      </c>
      <c r="B1815" t="str">
        <f>HYPERLINK("http://www.corstruth.com.au/SA/PNG2/141747_DD86EN24_cs.png","141747_DD86EN24_0.25m Bins")</f>
        <v>141747_DD86EN24_0.25m Bins</v>
      </c>
      <c r="C1815" t="str">
        <f>HYPERLINK("http://www.corstruth.com.au/SA/CSV/141747_DD86EN24.csv","141747_DD86EN24_CSV File 1m Bins")</f>
        <v>141747_DD86EN24_CSV File 1m Bins</v>
      </c>
      <c r="D1815">
        <v>141747</v>
      </c>
      <c r="E1815" t="s">
        <v>2163</v>
      </c>
      <c r="F1815" t="str">
        <f>HYPERLINK("https://drillhole.pir.sa.gov.au/Details.aspx?DRILLHOLE_NO=141747","Geol Survey Link")</f>
        <v>Geol Survey Link</v>
      </c>
      <c r="I1815">
        <v>-29.6677</v>
      </c>
      <c r="J1815">
        <v>135.39400000000001</v>
      </c>
      <c r="K1815" t="str">
        <f>HYPERLINK("https://sarigdata.pir.sa.gov.au/nvcl/NVCLDataServices/mosaic.html?datasetid=e1106961-47d6-40bd-acc8-4ca3b84e981","141747_DD86EN24_Core Image")</f>
        <v>141747_DD86EN24_Core Image</v>
      </c>
    </row>
    <row r="1816" spans="1:11" x14ac:dyDescent="0.25">
      <c r="A1816" t="str">
        <f>HYPERLINK("http://www.corstruth.com.au/SA/141760_DD86EN34_cs.png","141760_DD86EN34_A4")</f>
        <v>141760_DD86EN34_A4</v>
      </c>
      <c r="B1816" t="str">
        <f>HYPERLINK("http://www.corstruth.com.au/SA/PNG2/141760_DD86EN34_cs.png","141760_DD86EN34_0.25m Bins")</f>
        <v>141760_DD86EN34_0.25m Bins</v>
      </c>
      <c r="C1816" t="str">
        <f>HYPERLINK("http://www.corstruth.com.au/SA/CSV/141760_DD86EN34.csv","141760_DD86EN34_CSV File 1m Bins")</f>
        <v>141760_DD86EN34_CSV File 1m Bins</v>
      </c>
      <c r="D1816">
        <v>141760</v>
      </c>
      <c r="E1816" t="s">
        <v>2163</v>
      </c>
      <c r="F1816" t="str">
        <f>HYPERLINK("https://drillhole.pir.sa.gov.au/Details.aspx?DRILLHOLE_NO=141760","Geol Survey Link")</f>
        <v>Geol Survey Link</v>
      </c>
      <c r="I1816">
        <v>-29.691500000000001</v>
      </c>
      <c r="J1816">
        <v>135.392</v>
      </c>
      <c r="K1816" t="str">
        <f>HYPERLINK("https://sarigdata.pir.sa.gov.au/nvcl/NVCLDataServices/mosaic.html?datasetid=c5639c0a-cef5-40de-b0b3-89090169fe1","141760_DD86EN34_Core Image")</f>
        <v>141760_DD86EN34_Core Image</v>
      </c>
    </row>
    <row r="1817" spans="1:11" x14ac:dyDescent="0.25">
      <c r="A1817" t="str">
        <f>HYPERLINK("http://www.corstruth.com.au/SA/141761_DD86EN35_cs.png","141761_DD86EN35_A4")</f>
        <v>141761_DD86EN35_A4</v>
      </c>
      <c r="B1817" t="str">
        <f>HYPERLINK("http://www.corstruth.com.au/SA/PNG2/141761_DD86EN35_cs.png","141761_DD86EN35_0.25m Bins")</f>
        <v>141761_DD86EN35_0.25m Bins</v>
      </c>
      <c r="C1817" t="str">
        <f>HYPERLINK("http://www.corstruth.com.au/SA/CSV/141761_DD86EN35.csv","141761_DD86EN35_CSV File 1m Bins")</f>
        <v>141761_DD86EN35_CSV File 1m Bins</v>
      </c>
      <c r="D1817">
        <v>141761</v>
      </c>
      <c r="E1817" t="s">
        <v>2163</v>
      </c>
      <c r="F1817" t="str">
        <f>HYPERLINK("https://drillhole.pir.sa.gov.au/Details.aspx?DRILLHOLE_NO=141761","Geol Survey Link")</f>
        <v>Geol Survey Link</v>
      </c>
      <c r="I1817">
        <v>-29.6693</v>
      </c>
      <c r="J1817">
        <v>135.39400000000001</v>
      </c>
      <c r="K1817" t="str">
        <f>HYPERLINK("https://sarigdata.pir.sa.gov.au/nvcl/NVCLDataServices/mosaic.html?datasetid=f7f899db-8b77-452e-a9bf-18bb41f80ac","141761_DD86EN35_Core Image")</f>
        <v>141761_DD86EN35_Core Image</v>
      </c>
    </row>
    <row r="1818" spans="1:11" x14ac:dyDescent="0.25">
      <c r="A1818" t="str">
        <f>HYPERLINK("http://www.corstruth.com.au/SA/141762_DD86EN36_cs.png","141762_DD86EN36_A4")</f>
        <v>141762_DD86EN36_A4</v>
      </c>
      <c r="D1818">
        <v>141762</v>
      </c>
      <c r="E1818" t="s">
        <v>2163</v>
      </c>
      <c r="F1818" t="str">
        <f>HYPERLINK("https://drillhole.pir.sa.gov.au/Details.aspx?DRILLHOLE_NO=141762","Geol Survey Link")</f>
        <v>Geol Survey Link</v>
      </c>
      <c r="I1818">
        <v>-29.671700000000001</v>
      </c>
      <c r="J1818">
        <v>135.39599999999999</v>
      </c>
    </row>
    <row r="1819" spans="1:11" x14ac:dyDescent="0.25">
      <c r="A1819" t="str">
        <f>HYPERLINK("http://www.corstruth.com.au/SA/141763_DD86EN37_cs.png","141763_DD86EN37_A4")</f>
        <v>141763_DD86EN37_A4</v>
      </c>
      <c r="B1819" t="str">
        <f>HYPERLINK("http://www.corstruth.com.au/SA/PNG2/141763_DD86EN37_cs.png","141763_DD86EN37_0.25m Bins")</f>
        <v>141763_DD86EN37_0.25m Bins</v>
      </c>
      <c r="C1819" t="str">
        <f>HYPERLINK("http://www.corstruth.com.au/SA/CSV/141763_DD86EN37.csv","141763_DD86EN37_CSV File 1m Bins")</f>
        <v>141763_DD86EN37_CSV File 1m Bins</v>
      </c>
      <c r="D1819">
        <v>141763</v>
      </c>
      <c r="E1819" t="s">
        <v>2163</v>
      </c>
      <c r="F1819" t="str">
        <f>HYPERLINK("https://drillhole.pir.sa.gov.au/Details.aspx?DRILLHOLE_NO=141763","Geol Survey Link")</f>
        <v>Geol Survey Link</v>
      </c>
      <c r="I1819">
        <v>-29.687899999999999</v>
      </c>
      <c r="J1819">
        <v>135.392</v>
      </c>
      <c r="K1819" t="str">
        <f>HYPERLINK("https://sarigdata.pir.sa.gov.au/nvcl/NVCLDataServices/mosaic.html?datasetid=1fc79eba-a9bb-48cd-9f4f-a2cc63074fb","141763_DD86EN37_Core Image")</f>
        <v>141763_DD86EN37_Core Image</v>
      </c>
    </row>
    <row r="1820" spans="1:11" x14ac:dyDescent="0.25">
      <c r="A1820" t="str">
        <f>HYPERLINK("http://www.corstruth.com.au/SA/141764_DD86EN38_cs.png","141764_DD86EN38_A4")</f>
        <v>141764_DD86EN38_A4</v>
      </c>
      <c r="B1820" t="str">
        <f>HYPERLINK("http://www.corstruth.com.au/SA/PNG2/141764_DD86EN38_cs.png","141764_DD86EN38_0.25m Bins")</f>
        <v>141764_DD86EN38_0.25m Bins</v>
      </c>
      <c r="C1820" t="str">
        <f>HYPERLINK("http://www.corstruth.com.au/SA/CSV/141764_DD86EN38.csv","141764_DD86EN38_CSV File 1m Bins")</f>
        <v>141764_DD86EN38_CSV File 1m Bins</v>
      </c>
      <c r="D1820">
        <v>141764</v>
      </c>
      <c r="E1820" t="s">
        <v>2163</v>
      </c>
      <c r="F1820" t="str">
        <f>HYPERLINK("https://drillhole.pir.sa.gov.au/Details.aspx?DRILLHOLE_NO=141764","Geol Survey Link")</f>
        <v>Geol Survey Link</v>
      </c>
      <c r="I1820">
        <v>-29.633600000000001</v>
      </c>
      <c r="J1820">
        <v>135.43100000000001</v>
      </c>
      <c r="K1820" t="str">
        <f>HYPERLINK("https://sarigdata.pir.sa.gov.au/nvcl/NVCLDataServices/mosaic.html?datasetid=e85f7837-2c15-4e39-99b6-87e5cdd980e","141764_DD86EN38_Core Image")</f>
        <v>141764_DD86EN38_Core Image</v>
      </c>
    </row>
    <row r="1821" spans="1:11" x14ac:dyDescent="0.25">
      <c r="A1821" t="str">
        <f>HYPERLINK("http://www.corstruth.com.au/SA/141766_DDEN17_cs.png","141766_DDEN17_A4")</f>
        <v>141766_DDEN17_A4</v>
      </c>
      <c r="B1821" t="str">
        <f>HYPERLINK("http://www.corstruth.com.au/SA/PNG2/141766_DDEN17_cs.png","141766_DDEN17_0.25m Bins")</f>
        <v>141766_DDEN17_0.25m Bins</v>
      </c>
      <c r="C1821" t="str">
        <f>HYPERLINK("http://www.corstruth.com.au/SA/CSV/141766_DDEN17.csv","141766_DDEN17_CSV File 1m Bins")</f>
        <v>141766_DDEN17_CSV File 1m Bins</v>
      </c>
      <c r="D1821">
        <v>141766</v>
      </c>
      <c r="E1821" t="s">
        <v>2163</v>
      </c>
      <c r="F1821" t="str">
        <f>HYPERLINK("https://drillhole.pir.sa.gov.au/Details.aspx?DRILLHOLE_NO=141766","Geol Survey Link")</f>
        <v>Geol Survey Link</v>
      </c>
      <c r="I1821">
        <v>-29.667100000000001</v>
      </c>
      <c r="J1821">
        <v>135.43899999999999</v>
      </c>
      <c r="K1821" t="str">
        <f>HYPERLINK("https://sarigdata.pir.sa.gov.au/nvcl/NVCLDataServices/mosaic.html?datasetid=ba250638-6d4e-4227-84cc-a18926e94fa","141766_DDEN17_Core Image")</f>
        <v>141766_DDEN17_Core Image</v>
      </c>
    </row>
    <row r="1822" spans="1:11" x14ac:dyDescent="0.25">
      <c r="A1822" t="str">
        <f>HYPERLINK("http://www.corstruth.com.au/SA/141767_DDEN18_cs.png","141767_DDEN18_A4")</f>
        <v>141767_DDEN18_A4</v>
      </c>
      <c r="B1822" t="str">
        <f>HYPERLINK("http://www.corstruth.com.au/SA/PNG2/141767_DDEN18_cs.png","141767_DDEN18_0.25m Bins")</f>
        <v>141767_DDEN18_0.25m Bins</v>
      </c>
      <c r="C1822" t="str">
        <f>HYPERLINK("http://www.corstruth.com.au/SA/CSV/141767_DDEN18.csv","141767_DDEN18_CSV File 1m Bins")</f>
        <v>141767_DDEN18_CSV File 1m Bins</v>
      </c>
      <c r="D1822">
        <v>141767</v>
      </c>
      <c r="E1822" t="s">
        <v>2163</v>
      </c>
      <c r="F1822" t="str">
        <f>HYPERLINK("https://drillhole.pir.sa.gov.au/Details.aspx?DRILLHOLE_NO=141767","Geol Survey Link")</f>
        <v>Geol Survey Link</v>
      </c>
      <c r="I1822">
        <v>-29.668399999999998</v>
      </c>
      <c r="J1822">
        <v>135.44</v>
      </c>
      <c r="K1822" t="str">
        <f>HYPERLINK("https://sarigdata.pir.sa.gov.au/nvcl/NVCLDataServices/mosaic.html?datasetid=129aa401-ea2a-474f-b740-f4c1abae10c","141767_DDEN18_Core Image")</f>
        <v>141767_DDEN18_Core Image</v>
      </c>
    </row>
    <row r="1823" spans="1:11" x14ac:dyDescent="0.25">
      <c r="A1823" t="str">
        <f>HYPERLINK("http://www.corstruth.com.au/SA/141768_DD85EN19_cs.png","141768_DD85EN19_A4")</f>
        <v>141768_DD85EN19_A4</v>
      </c>
      <c r="B1823" t="str">
        <f>HYPERLINK("http://www.corstruth.com.au/SA/PNG2/141768_DD85EN19_cs.png","141768_DD85EN19_0.25m Bins")</f>
        <v>141768_DD85EN19_0.25m Bins</v>
      </c>
      <c r="C1823" t="str">
        <f>HYPERLINK("http://www.corstruth.com.au/SA/CSV/141768_DD85EN19.csv","141768_DD85EN19_CSV File 1m Bins")</f>
        <v>141768_DD85EN19_CSV File 1m Bins</v>
      </c>
      <c r="D1823">
        <v>141768</v>
      </c>
      <c r="E1823" t="s">
        <v>2163</v>
      </c>
      <c r="F1823" t="str">
        <f>HYPERLINK("https://drillhole.pir.sa.gov.au/Details.aspx?DRILLHOLE_NO=141768","Geol Survey Link")</f>
        <v>Geol Survey Link</v>
      </c>
      <c r="I1823">
        <v>-29.5869</v>
      </c>
      <c r="J1823">
        <v>135.38300000000001</v>
      </c>
      <c r="K1823" t="str">
        <f>HYPERLINK("https://sarigdata.pir.sa.gov.au/nvcl/NVCLDataServices/mosaic.html?datasetid=9bea6a81-e15a-4593-885e-cf06c1bbc1f","141768_DD85EN19_Core Image")</f>
        <v>141768_DD85EN19_Core Image</v>
      </c>
    </row>
    <row r="1824" spans="1:11" x14ac:dyDescent="0.25">
      <c r="A1824" t="str">
        <f>HYPERLINK("http://www.corstruth.com.au/SA/141770_DD85EN21_cs.png","141770_DD85EN21_A4")</f>
        <v>141770_DD85EN21_A4</v>
      </c>
      <c r="B1824" t="str">
        <f>HYPERLINK("http://www.corstruth.com.au/SA/PNG2/141770_DD85EN21_cs.png","141770_DD85EN21_0.25m Bins")</f>
        <v>141770_DD85EN21_0.25m Bins</v>
      </c>
      <c r="C1824" t="str">
        <f>HYPERLINK("http://www.corstruth.com.au/SA/CSV/141770_DD85EN21.csv","141770_DD85EN21_CSV File 1m Bins")</f>
        <v>141770_DD85EN21_CSV File 1m Bins</v>
      </c>
      <c r="D1824">
        <v>141770</v>
      </c>
      <c r="E1824" t="s">
        <v>2163</v>
      </c>
      <c r="F1824" t="str">
        <f>HYPERLINK("https://drillhole.pir.sa.gov.au/Details.aspx?DRILLHOLE_NO=141770","Geol Survey Link")</f>
        <v>Geol Survey Link</v>
      </c>
      <c r="I1824">
        <v>-29.585100000000001</v>
      </c>
      <c r="J1824">
        <v>135.38200000000001</v>
      </c>
      <c r="K1824" t="str">
        <f>HYPERLINK("https://sarigdata.pir.sa.gov.au/nvcl/NVCLDataServices/mosaic.html?datasetid=1ba53378-1fd3-4381-9303-0d5979e61fd","141770_DD85EN21_Core Image")</f>
        <v>141770_DD85EN21_Core Image</v>
      </c>
    </row>
    <row r="1825" spans="1:11" x14ac:dyDescent="0.25">
      <c r="A1825" t="str">
        <f>HYPERLINK("http://www.corstruth.com.au/SA/141773_DD86EN25_cs.png","141773_DD86EN25_A4")</f>
        <v>141773_DD86EN25_A4</v>
      </c>
      <c r="B1825" t="str">
        <f>HYPERLINK("http://www.corstruth.com.au/SA/PNG2/141773_DD86EN25_cs.png","141773_DD86EN25_0.25m Bins")</f>
        <v>141773_DD86EN25_0.25m Bins</v>
      </c>
      <c r="C1825" t="str">
        <f>HYPERLINK("http://www.corstruth.com.au/SA/CSV/141773_DD86EN25.csv","141773_DD86EN25_CSV File 1m Bins")</f>
        <v>141773_DD86EN25_CSV File 1m Bins</v>
      </c>
      <c r="D1825">
        <v>141773</v>
      </c>
      <c r="E1825" t="s">
        <v>2163</v>
      </c>
      <c r="F1825" t="str">
        <f>HYPERLINK("https://drillhole.pir.sa.gov.au/Details.aspx?DRILLHOLE_NO=141773","Geol Survey Link")</f>
        <v>Geol Survey Link</v>
      </c>
      <c r="I1825">
        <v>-29.671099999999999</v>
      </c>
      <c r="J1825">
        <v>135.39400000000001</v>
      </c>
      <c r="K1825" t="str">
        <f>HYPERLINK("https://sarigdata.pir.sa.gov.au/nvcl/NVCLDataServices/mosaic.html?datasetid=da2d6d9d-37c1-4ea9-85c5-953f4de977f","141773_DD86EN25_Core Image")</f>
        <v>141773_DD86EN25_Core Image</v>
      </c>
    </row>
    <row r="1826" spans="1:11" x14ac:dyDescent="0.25">
      <c r="A1826" t="str">
        <f>HYPERLINK("http://www.corstruth.com.au/SA/141775_DD86EN27_cs.png","141775_DD86EN27_A4")</f>
        <v>141775_DD86EN27_A4</v>
      </c>
      <c r="B1826" t="str">
        <f>HYPERLINK("http://www.corstruth.com.au/SA/PNG2/141775_DD86EN27_cs.png","141775_DD86EN27_0.25m Bins")</f>
        <v>141775_DD86EN27_0.25m Bins</v>
      </c>
      <c r="C1826" t="str">
        <f>HYPERLINK("http://www.corstruth.com.au/SA/CSV/141775_DD86EN27.csv","141775_DD86EN27_CSV File 1m Bins")</f>
        <v>141775_DD86EN27_CSV File 1m Bins</v>
      </c>
      <c r="D1826">
        <v>141775</v>
      </c>
      <c r="E1826" t="s">
        <v>2163</v>
      </c>
      <c r="F1826" t="str">
        <f>HYPERLINK("https://drillhole.pir.sa.gov.au/Details.aspx?DRILLHOLE_NO=141775","Geol Survey Link")</f>
        <v>Geol Survey Link</v>
      </c>
      <c r="I1826">
        <v>-29.538599999999999</v>
      </c>
      <c r="J1826">
        <v>135.404</v>
      </c>
      <c r="K1826" t="str">
        <f>HYPERLINK("https://sarigdata.pir.sa.gov.au/nvcl/NVCLDataServices/mosaic.html?datasetid=908ed09a-a10d-4cbb-be85-c9bb291e088","141775_DD86EN27_Core Image")</f>
        <v>141775_DD86EN27_Core Image</v>
      </c>
    </row>
    <row r="1827" spans="1:11" x14ac:dyDescent="0.25">
      <c r="A1827" t="str">
        <f>HYPERLINK("http://www.corstruth.com.au/SA/141776_DD87EN40_cs.png","141776_DD87EN40_A4")</f>
        <v>141776_DD87EN40_A4</v>
      </c>
      <c r="B1827" t="str">
        <f>HYPERLINK("http://www.corstruth.com.au/SA/PNG2/141776_DD87EN40_cs.png","141776_DD87EN40_0.25m Bins")</f>
        <v>141776_DD87EN40_0.25m Bins</v>
      </c>
      <c r="C1827" t="str">
        <f>HYPERLINK("http://www.corstruth.com.au/SA/CSV/141776_DD87EN40.csv","141776_DD87EN40_CSV File 1m Bins")</f>
        <v>141776_DD87EN40_CSV File 1m Bins</v>
      </c>
      <c r="D1827">
        <v>141776</v>
      </c>
      <c r="E1827" t="s">
        <v>2163</v>
      </c>
      <c r="F1827" t="str">
        <f>HYPERLINK("https://drillhole.pir.sa.gov.au/Details.aspx?DRILLHOLE_NO=141776","Geol Survey Link")</f>
        <v>Geol Survey Link</v>
      </c>
      <c r="I1827">
        <v>-29.654599999999999</v>
      </c>
      <c r="J1827">
        <v>135.37700000000001</v>
      </c>
      <c r="K1827" t="str">
        <f>HYPERLINK("https://sarigdata.pir.sa.gov.au/nvcl/NVCLDataServices/mosaic.html?datasetid=2c14df65-bb11-4526-a130-1b363e7f691","141776_DD87EN40_Core Image")</f>
        <v>141776_DD87EN40_Core Image</v>
      </c>
    </row>
    <row r="1828" spans="1:11" x14ac:dyDescent="0.25">
      <c r="A1828" t="str">
        <f>HYPERLINK("http://www.corstruth.com.au/SA/141778_DD88EN43_cs.png","141778_DD88EN43_A4")</f>
        <v>141778_DD88EN43_A4</v>
      </c>
      <c r="B1828" t="str">
        <f>HYPERLINK("http://www.corstruth.com.au/SA/PNG2/141778_DD88EN43_cs.png","141778_DD88EN43_0.25m Bins")</f>
        <v>141778_DD88EN43_0.25m Bins</v>
      </c>
      <c r="C1828" t="str">
        <f>HYPERLINK("http://www.corstruth.com.au/SA/CSV/141778_DD88EN43.csv","141778_DD88EN43_CSV File 1m Bins")</f>
        <v>141778_DD88EN43_CSV File 1m Bins</v>
      </c>
      <c r="D1828">
        <v>141778</v>
      </c>
      <c r="E1828" t="s">
        <v>2163</v>
      </c>
      <c r="F1828" t="str">
        <f>HYPERLINK("https://drillhole.pir.sa.gov.au/Details.aspx?DRILLHOLE_NO=141778","Geol Survey Link")</f>
        <v>Geol Survey Link</v>
      </c>
      <c r="I1828">
        <v>-29.6709</v>
      </c>
      <c r="J1828">
        <v>135.392</v>
      </c>
      <c r="K1828" t="str">
        <f>HYPERLINK("https://sarigdata.pir.sa.gov.au/nvcl/NVCLDataServices/mosaic.html?datasetid=8ad9d2b4-57a2-42e1-8c2b-51329dc841f","141778_DD88EN43_Core Image")</f>
        <v>141778_DD88EN43_Core Image</v>
      </c>
    </row>
    <row r="1829" spans="1:11" x14ac:dyDescent="0.25">
      <c r="A1829" t="str">
        <f>HYPERLINK("http://www.corstruth.com.au/SA/141780_DD88EN44_cs.png","141780_DD88EN44_A4")</f>
        <v>141780_DD88EN44_A4</v>
      </c>
      <c r="B1829" t="str">
        <f>HYPERLINK("http://www.corstruth.com.au/SA/PNG2/141780_DD88EN44_cs.png","141780_DD88EN44_0.25m Bins")</f>
        <v>141780_DD88EN44_0.25m Bins</v>
      </c>
      <c r="C1829" t="str">
        <f>HYPERLINK("http://www.corstruth.com.au/SA/CSV/141780_DD88EN44.csv","141780_DD88EN44_CSV File 1m Bins")</f>
        <v>141780_DD88EN44_CSV File 1m Bins</v>
      </c>
      <c r="D1829">
        <v>141780</v>
      </c>
      <c r="E1829" t="s">
        <v>2163</v>
      </c>
      <c r="F1829" t="str">
        <f>HYPERLINK("https://drillhole.pir.sa.gov.au/Details.aspx?DRILLHOLE_NO=141780","Geol Survey Link")</f>
        <v>Geol Survey Link</v>
      </c>
      <c r="I1829">
        <v>-29.6572</v>
      </c>
      <c r="J1829">
        <v>135.4</v>
      </c>
      <c r="K1829" t="str">
        <f>HYPERLINK("https://sarigdata.pir.sa.gov.au/nvcl/NVCLDataServices/mosaic.html?datasetid=868945d3-1e9b-40a8-aa5e-045cfa31a27","141780_DD88EN44_Core Image")</f>
        <v>141780_DD88EN44_Core Image</v>
      </c>
    </row>
    <row r="1830" spans="1:11" x14ac:dyDescent="0.25">
      <c r="A1830" t="str">
        <f>HYPERLINK("http://www.corstruth.com.au/SA/141782_DD89EN46_cs.png","141782_DD89EN46_A4")</f>
        <v>141782_DD89EN46_A4</v>
      </c>
      <c r="B1830" t="str">
        <f>HYPERLINK("http://www.corstruth.com.au/SA/PNG2/141782_DD89EN46_cs.png","141782_DD89EN46_0.25m Bins")</f>
        <v>141782_DD89EN46_0.25m Bins</v>
      </c>
      <c r="C1830" t="str">
        <f>HYPERLINK("http://www.corstruth.com.au/SA/CSV/141782_DD89EN46.csv","141782_DD89EN46_CSV File 1m Bins")</f>
        <v>141782_DD89EN46_CSV File 1m Bins</v>
      </c>
      <c r="D1830">
        <v>141782</v>
      </c>
      <c r="E1830" t="s">
        <v>2163</v>
      </c>
      <c r="F1830" t="str">
        <f>HYPERLINK("https://drillhole.pir.sa.gov.au/Details.aspx?DRILLHOLE_NO=141782","Geol Survey Link")</f>
        <v>Geol Survey Link</v>
      </c>
      <c r="I1830">
        <v>-29.165099999999999</v>
      </c>
      <c r="J1830">
        <v>135.084</v>
      </c>
      <c r="K1830" t="str">
        <f>HYPERLINK("https://sarigdata.pir.sa.gov.au/nvcl/NVCLDataServices/mosaic.html?datasetid=d6602a0a-617a-4bc9-88e6-e0cf25da92f","141782_DD89EN46_Core Image")</f>
        <v>141782_DD89EN46_Core Image</v>
      </c>
    </row>
    <row r="1831" spans="1:11" x14ac:dyDescent="0.25">
      <c r="A1831" t="str">
        <f>HYPERLINK("http://www.corstruth.com.au/SA/141784_DD88EN90_cs.png","141784_DD88EN90_A4")</f>
        <v>141784_DD88EN90_A4</v>
      </c>
      <c r="B1831" t="str">
        <f>HYPERLINK("http://www.corstruth.com.au/SA/PNG2/141784_DD88EN90_cs.png","141784_DD88EN90_0.25m Bins")</f>
        <v>141784_DD88EN90_0.25m Bins</v>
      </c>
      <c r="C1831" t="str">
        <f>HYPERLINK("http://www.corstruth.com.au/SA/CSV/141784_DD88EN90.csv","141784_DD88EN90_CSV File 1m Bins")</f>
        <v>141784_DD88EN90_CSV File 1m Bins</v>
      </c>
      <c r="D1831">
        <v>141784</v>
      </c>
      <c r="E1831" t="s">
        <v>2163</v>
      </c>
      <c r="F1831" t="str">
        <f>HYPERLINK("https://drillhole.pir.sa.gov.au/Details.aspx?DRILLHOLE_NO=141784","Geol Survey Link")</f>
        <v>Geol Survey Link</v>
      </c>
      <c r="I1831">
        <v>-29.669899999999998</v>
      </c>
      <c r="J1831">
        <v>135.392</v>
      </c>
      <c r="K1831" t="str">
        <f>HYPERLINK("https://sarigdata.pir.sa.gov.au/nvcl/NVCLDataServices/mosaic.html?datasetid=6dc872a1-ba5c-4bfb-9466-c43e15ad728","141784_DD88EN90_Core Image")</f>
        <v>141784_DD88EN90_Core Image</v>
      </c>
    </row>
    <row r="1832" spans="1:11" x14ac:dyDescent="0.25">
      <c r="A1832" t="str">
        <f>HYPERLINK("http://www.corstruth.com.au/SA/141785_DD89EN61_cs.png","141785_DD89EN61_A4")</f>
        <v>141785_DD89EN61_A4</v>
      </c>
      <c r="B1832" t="str">
        <f>HYPERLINK("http://www.corstruth.com.au/SA/PNG2/141785_DD89EN61_cs.png","141785_DD89EN61_0.25m Bins")</f>
        <v>141785_DD89EN61_0.25m Bins</v>
      </c>
      <c r="C1832" t="str">
        <f>HYPERLINK("http://www.corstruth.com.au/SA/CSV/141785_DD89EN61.csv","141785_DD89EN61_CSV File 1m Bins")</f>
        <v>141785_DD89EN61_CSV File 1m Bins</v>
      </c>
      <c r="D1832">
        <v>141785</v>
      </c>
      <c r="E1832" t="s">
        <v>2163</v>
      </c>
      <c r="F1832" t="str">
        <f>HYPERLINK("https://drillhole.pir.sa.gov.au/Details.aspx?DRILLHOLE_NO=141785","Geol Survey Link")</f>
        <v>Geol Survey Link</v>
      </c>
      <c r="I1832">
        <v>-29.669899999999998</v>
      </c>
      <c r="J1832">
        <v>135.38800000000001</v>
      </c>
      <c r="K1832" t="str">
        <f>HYPERLINK("https://sarigdata.pir.sa.gov.au/nvcl/NVCLDataServices/mosaic.html?datasetid=7878214b-e12d-4df4-869b-1adb974773b","141785_DD89EN61_Core Image")</f>
        <v>141785_DD89EN61_Core Image</v>
      </c>
    </row>
    <row r="1833" spans="1:11" x14ac:dyDescent="0.25">
      <c r="A1833" t="str">
        <f>HYPERLINK("http://www.corstruth.com.au/SA/141786_DD92EN64_cs.png","141786_DD92EN64_A4")</f>
        <v>141786_DD92EN64_A4</v>
      </c>
      <c r="B1833" t="str">
        <f>HYPERLINK("http://www.corstruth.com.au/SA/PNG2/141786_DD92EN64_cs.png","141786_DD92EN64_0.25m Bins")</f>
        <v>141786_DD92EN64_0.25m Bins</v>
      </c>
      <c r="C1833" t="str">
        <f>HYPERLINK("http://www.corstruth.com.au/SA/CSV/141786_DD92EN64.csv","141786_DD92EN64_CSV File 1m Bins")</f>
        <v>141786_DD92EN64_CSV File 1m Bins</v>
      </c>
      <c r="D1833">
        <v>141786</v>
      </c>
      <c r="E1833" t="s">
        <v>2163</v>
      </c>
      <c r="F1833" t="str">
        <f>HYPERLINK("https://drillhole.pir.sa.gov.au/Details.aspx?DRILLHOLE_NO=141786","Geol Survey Link")</f>
        <v>Geol Survey Link</v>
      </c>
      <c r="I1833">
        <v>-29.703900000000001</v>
      </c>
      <c r="J1833">
        <v>135.523</v>
      </c>
      <c r="K1833" t="str">
        <f>HYPERLINK("https://sarigdata.pir.sa.gov.au/nvcl/NVCLDataServices/mosaic.html?datasetid=eadf46e0-1f6a-464a-846d-bd9be7a0b4d","141786_DD92EN64_Core Image")</f>
        <v>141786_DD92EN64_Core Image</v>
      </c>
    </row>
    <row r="1834" spans="1:11" x14ac:dyDescent="0.25">
      <c r="A1834" t="str">
        <f>HYPERLINK("http://www.corstruth.com.au/SA/141789_DD85EN15_cs.png","141789_DD85EN15_A4")</f>
        <v>141789_DD85EN15_A4</v>
      </c>
      <c r="B1834" t="str">
        <f>HYPERLINK("http://www.corstruth.com.au/SA/PNG2/141789_DD85EN15_cs.png","141789_DD85EN15_0.25m Bins")</f>
        <v>141789_DD85EN15_0.25m Bins</v>
      </c>
      <c r="C1834" t="str">
        <f>HYPERLINK("http://www.corstruth.com.au/SA/CSV/141789_DD85EN15.csv","141789_DD85EN15_CSV File 1m Bins")</f>
        <v>141789_DD85EN15_CSV File 1m Bins</v>
      </c>
      <c r="D1834">
        <v>141789</v>
      </c>
      <c r="E1834" t="s">
        <v>2163</v>
      </c>
      <c r="F1834" t="str">
        <f>HYPERLINK("https://drillhole.pir.sa.gov.au/Details.aspx?DRILLHOLE_NO=141789","Geol Survey Link")</f>
        <v>Geol Survey Link</v>
      </c>
      <c r="I1834">
        <v>-29.665700000000001</v>
      </c>
      <c r="J1834">
        <v>135.434</v>
      </c>
      <c r="K1834" t="str">
        <f>HYPERLINK("https://sarigdata.pir.sa.gov.au/nvcl/NVCLDataServices/mosaic.html?datasetid=f4c5063f-3339-4e24-b235-3b5febfd17f","141789_DD85EN15_Core Image")</f>
        <v>141789_DD85EN15_Core Image</v>
      </c>
    </row>
    <row r="1835" spans="1:11" x14ac:dyDescent="0.25">
      <c r="A1835" t="str">
        <f>HYPERLINK("http://www.corstruth.com.au/SA/143970_CURD2_cs.png","143970_CURD2_A4")</f>
        <v>143970_CURD2_A4</v>
      </c>
      <c r="B1835" t="str">
        <f>HYPERLINK("http://www.corstruth.com.au/SA/PNG2/143970_CURD2_cs.png","143970_CURD2_0.25m Bins")</f>
        <v>143970_CURD2_0.25m Bins</v>
      </c>
      <c r="C1835" t="str">
        <f>HYPERLINK("http://www.corstruth.com.au/SA/CSV/143970_CURD2.csv","143970_CURD2_CSV File 1m Bins")</f>
        <v>143970_CURD2_CSV File 1m Bins</v>
      </c>
      <c r="D1835">
        <v>143970</v>
      </c>
      <c r="E1835" t="s">
        <v>2163</v>
      </c>
      <c r="F1835" t="str">
        <f>HYPERLINK("https://drillhole.pir.sa.gov.au/Details.aspx?DRILLHOLE_NO=143970","Geol Survey Link")</f>
        <v>Geol Survey Link</v>
      </c>
      <c r="I1835">
        <v>-34.627299999999998</v>
      </c>
      <c r="J1835">
        <v>137.703</v>
      </c>
      <c r="K1835" t="str">
        <f>HYPERLINK("https://sarigdata.pir.sa.gov.au/nvcl/NVCLDataServices/mosaic.html?datasetid=bf0375f5-e882-48c6-8abc-dc581ae0715","143970_CURD2_Core Image")</f>
        <v>143970_CURD2_Core Image</v>
      </c>
    </row>
    <row r="1836" spans="1:11" x14ac:dyDescent="0.25">
      <c r="A1836" t="str">
        <f>HYPERLINK("http://www.corstruth.com.au/SA/144355_DDHAN7_cs.png","144355_DDHAN7_A4")</f>
        <v>144355_DDHAN7_A4</v>
      </c>
      <c r="B1836" t="str">
        <f>HYPERLINK("http://www.corstruth.com.au/SA/PNG2/144355_DDHAN7_cs.png","144355_DDHAN7_0.25m Bins")</f>
        <v>144355_DDHAN7_0.25m Bins</v>
      </c>
      <c r="C1836" t="str">
        <f>HYPERLINK("http://www.corstruth.com.au/SA/CSV/144355_DDHAN7.csv","144355_DDHAN7_CSV File 1m Bins")</f>
        <v>144355_DDHAN7_CSV File 1m Bins</v>
      </c>
      <c r="D1836">
        <v>144355</v>
      </c>
      <c r="E1836" t="s">
        <v>2163</v>
      </c>
      <c r="F1836" t="str">
        <f>HYPERLINK("https://drillhole.pir.sa.gov.au/Details.aspx?DRILLHOLE_NO=144355","Geol Survey Link")</f>
        <v>Geol Survey Link</v>
      </c>
      <c r="I1836">
        <v>-32.722700000000003</v>
      </c>
      <c r="J1836">
        <v>140.20699999999999</v>
      </c>
      <c r="K1836" t="str">
        <f>HYPERLINK("https://sarigdata.pir.sa.gov.au/nvcl/NVCLDataServices/mosaic.html?datasetid=0a018d4a-8270-4475-afaa-c84ff988061","144355_DDHAN7_Core Image")</f>
        <v>144355_DDHAN7_Core Image</v>
      </c>
    </row>
    <row r="1837" spans="1:11" x14ac:dyDescent="0.25">
      <c r="A1837" t="str">
        <f>HYPERLINK("http://www.corstruth.com.au/SA/144369_DomeRock_DR4_cs.png","144369_DomeRock_DR4_A4")</f>
        <v>144369_DomeRock_DR4_A4</v>
      </c>
      <c r="B1837" t="str">
        <f>HYPERLINK("http://www.corstruth.com.au/SA/PNG2/144369_DomeRock_DR4_cs.png","144369_DomeRock_DR4_0.25m Bins")</f>
        <v>144369_DomeRock_DR4_0.25m Bins</v>
      </c>
      <c r="C1837" t="str">
        <f>HYPERLINK("http://www.corstruth.com.au/SA/CSV/144369_DomeRock_DR4.csv","144369_DomeRock_DR4_CSV File 1m Bins")</f>
        <v>144369_DomeRock_DR4_CSV File 1m Bins</v>
      </c>
      <c r="D1837">
        <v>144369</v>
      </c>
      <c r="E1837" t="s">
        <v>2163</v>
      </c>
      <c r="F1837" t="str">
        <f>HYPERLINK("https://drillhole.pir.sa.gov.au/Details.aspx?DRILLHOLE_NO=144369","Geol Survey Link")</f>
        <v>Geol Survey Link</v>
      </c>
      <c r="I1837">
        <v>-31.903099999999998</v>
      </c>
      <c r="J1837">
        <v>140.46100000000001</v>
      </c>
      <c r="K1837" t="str">
        <f>HYPERLINK("https://sarigdata.pir.sa.gov.au/nvcl/NVCLDataServices/mosaic.html?datasetid=a3c4ad56-141b-4ce9-a518-9151a4dd6cc","144369_DomeRock_DR4_Core Image")</f>
        <v>144369_DomeRock_DR4_Core Image</v>
      </c>
    </row>
    <row r="1838" spans="1:11" x14ac:dyDescent="0.25">
      <c r="A1838" t="str">
        <f>HYPERLINK("http://www.corstruth.com.au/SA/145202_Gibralter1_cs.png","145202_Gibralter1_A4")</f>
        <v>145202_Gibralter1_A4</v>
      </c>
      <c r="B1838" t="str">
        <f>HYPERLINK("http://www.corstruth.com.au/SA/PNG2/145202_Gibralter1_cs.png","145202_Gibralter1_0.25m Bins")</f>
        <v>145202_Gibralter1_0.25m Bins</v>
      </c>
      <c r="C1838" t="str">
        <f>HYPERLINK("http://www.corstruth.com.au/SA/CSV/145202_Gibralter1.csv","145202_Gibralter1_CSV File 1m Bins")</f>
        <v>145202_Gibralter1_CSV File 1m Bins</v>
      </c>
      <c r="D1838">
        <v>145202</v>
      </c>
      <c r="E1838" t="s">
        <v>2163</v>
      </c>
      <c r="F1838" t="str">
        <f>HYPERLINK("https://drillhole.pir.sa.gov.au/Details.aspx?DRILLHOLE_NO=145202","Geol Survey Link")</f>
        <v>Geol Survey Link</v>
      </c>
      <c r="I1838">
        <v>-30.417200000000001</v>
      </c>
      <c r="J1838">
        <v>134.334</v>
      </c>
      <c r="K1838" t="str">
        <f>HYPERLINK("https://sarigdata.pir.sa.gov.au/nvcl/NVCLDataServices/mosaic.html?datasetid=8753cce4-8651-478d-b88d-3a3b8fdeb35","145202_Gibralter1_Core Image")</f>
        <v>145202_Gibralter1_Core Image</v>
      </c>
    </row>
    <row r="1839" spans="1:11" x14ac:dyDescent="0.25">
      <c r="A1839" t="str">
        <f>HYPERLINK("http://www.corstruth.com.au/SA/145249_HYMOON_SE190C_cs.png","145249_HYMOON_SE190C_A4")</f>
        <v>145249_HYMOON_SE190C_A4</v>
      </c>
      <c r="D1839">
        <v>145249</v>
      </c>
      <c r="E1839" t="s">
        <v>2163</v>
      </c>
      <c r="F1839" t="str">
        <f>HYPERLINK("https://drillhole.pir.sa.gov.au/Details.aspx?DRILLHOLE_NO=145249","Geol Survey Link")</f>
        <v>Geol Survey Link</v>
      </c>
      <c r="I1839">
        <v>-31.7288</v>
      </c>
      <c r="J1839">
        <v>140.69300000000001</v>
      </c>
    </row>
    <row r="1840" spans="1:11" x14ac:dyDescent="0.25">
      <c r="A1840" t="str">
        <f>HYPERLINK("http://www.corstruth.com.au/SA/145354_WAL_DDHWP4_cs.png","145354_WAL_DDHWP4_A4")</f>
        <v>145354_WAL_DDHWP4_A4</v>
      </c>
      <c r="D1840">
        <v>145354</v>
      </c>
      <c r="E1840" t="s">
        <v>2163</v>
      </c>
      <c r="F1840" t="str">
        <f>HYPERLINK("https://drillhole.pir.sa.gov.au/Details.aspx?DRILLHOLE_NO=145354","Geol Survey Link")</f>
        <v>Geol Survey Link</v>
      </c>
      <c r="I1840">
        <v>-32.233499999999999</v>
      </c>
      <c r="J1840">
        <v>140.04499999999999</v>
      </c>
    </row>
    <row r="1841" spans="1:11" x14ac:dyDescent="0.25">
      <c r="A1841" t="str">
        <f>HYPERLINK("http://www.corstruth.com.au/SA/145360_Tarcoola_L2-1_cs.png","145360_Tarcoola_L2-1_A4")</f>
        <v>145360_Tarcoola_L2-1_A4</v>
      </c>
      <c r="B1841" t="str">
        <f>HYPERLINK("http://www.corstruth.com.au/SA/PNG2/145360_Tarcoola_L2-1_cs.png","145360_Tarcoola_L2-1_0.25m Bins")</f>
        <v>145360_Tarcoola_L2-1_0.25m Bins</v>
      </c>
      <c r="C1841" t="str">
        <f>HYPERLINK("http://www.corstruth.com.au/SA/CSV/145360_Tarcoola_L2-1.csv","145360_Tarcoola_L2-1_CSV File 1m Bins")</f>
        <v>145360_Tarcoola_L2-1_CSV File 1m Bins</v>
      </c>
      <c r="D1841">
        <v>145360</v>
      </c>
      <c r="E1841" t="s">
        <v>2163</v>
      </c>
      <c r="F1841" t="str">
        <f>HYPERLINK("https://drillhole.pir.sa.gov.au/Details.aspx?DRILLHOLE_NO=145360","Geol Survey Link")</f>
        <v>Geol Survey Link</v>
      </c>
      <c r="I1841">
        <v>-30.7102</v>
      </c>
      <c r="J1841">
        <v>134.535</v>
      </c>
      <c r="K1841" t="str">
        <f>HYPERLINK("https://sarigdata.pir.sa.gov.au/nvcl/NVCLDataServices/mosaic.html?datasetid=acfc61c3-9048-44f0-ac55-7435421b671","145360_Tarcoola_L2-1_Core Image")</f>
        <v>145360_Tarcoola_L2-1_Core Image</v>
      </c>
    </row>
    <row r="1842" spans="1:11" x14ac:dyDescent="0.25">
      <c r="A1842" t="str">
        <f>HYPERLINK("http://www.corstruth.com.au/SA/145362_Tarcoola_L2-2A_cs.png","145362_Tarcoola_L2-2A_A4")</f>
        <v>145362_Tarcoola_L2-2A_A4</v>
      </c>
      <c r="B1842" t="str">
        <f>HYPERLINK("http://www.corstruth.com.au/SA/PNG2/145362_Tarcoola_L2-2A_cs.png","145362_Tarcoola_L2-2A_0.25m Bins")</f>
        <v>145362_Tarcoola_L2-2A_0.25m Bins</v>
      </c>
      <c r="C1842" t="str">
        <f>HYPERLINK("http://www.corstruth.com.au/SA/CSV/145362_Tarcoola_L2-2A.csv","145362_Tarcoola_L2-2A_CSV File 1m Bins")</f>
        <v>145362_Tarcoola_L2-2A_CSV File 1m Bins</v>
      </c>
      <c r="D1842">
        <v>145362</v>
      </c>
      <c r="E1842" t="s">
        <v>2163</v>
      </c>
      <c r="F1842" t="str">
        <f>HYPERLINK("https://drillhole.pir.sa.gov.au/Details.aspx?DRILLHOLE_NO=145362","Geol Survey Link")</f>
        <v>Geol Survey Link</v>
      </c>
      <c r="I1842">
        <v>-30.7102</v>
      </c>
      <c r="J1842">
        <v>134.535</v>
      </c>
      <c r="K1842" t="str">
        <f>HYPERLINK("https://sarigdata.pir.sa.gov.au/nvcl/NVCLDataServices/mosaic.html?datasetid=42a73748-e481-4742-9923-088a52a85ad","145362_Tarcoola_L2-2A_Core Image")</f>
        <v>145362_Tarcoola_L2-2A_Core Image</v>
      </c>
    </row>
    <row r="1843" spans="1:11" x14ac:dyDescent="0.25">
      <c r="A1843" t="str">
        <f>HYPERLINK("http://www.corstruth.com.au/SA/145364_Tarcoola_L2-3_cs.png","145364_Tarcoola_L2-3_A4")</f>
        <v>145364_Tarcoola_L2-3_A4</v>
      </c>
      <c r="B1843" t="str">
        <f>HYPERLINK("http://www.corstruth.com.au/SA/PNG2/145364_Tarcoola_L2-3_cs.png","145364_Tarcoola_L2-3_0.25m Bins")</f>
        <v>145364_Tarcoola_L2-3_0.25m Bins</v>
      </c>
      <c r="C1843" t="str">
        <f>HYPERLINK("http://www.corstruth.com.au/SA/CSV/145364_Tarcoola_L2-3.csv","145364_Tarcoola_L2-3_CSV File 1m Bins")</f>
        <v>145364_Tarcoola_L2-3_CSV File 1m Bins</v>
      </c>
      <c r="D1843">
        <v>145364</v>
      </c>
      <c r="E1843" t="s">
        <v>2163</v>
      </c>
      <c r="F1843" t="str">
        <f>HYPERLINK("https://drillhole.pir.sa.gov.au/Details.aspx?DRILLHOLE_NO=145364","Geol Survey Link")</f>
        <v>Geol Survey Link</v>
      </c>
      <c r="I1843">
        <v>-30.7102</v>
      </c>
      <c r="J1843">
        <v>134.535</v>
      </c>
      <c r="K1843" t="str">
        <f>HYPERLINK("https://sarigdata.pir.sa.gov.au/nvcl/NVCLDataServices/mosaic.html?datasetid=86495ac1-570f-456b-a4a6-b300e253600","145364_Tarcoola_L2-3_Core Image")</f>
        <v>145364_Tarcoola_L2-3_Core Image</v>
      </c>
    </row>
    <row r="1844" spans="1:11" x14ac:dyDescent="0.25">
      <c r="A1844" t="str">
        <f>HYPERLINK("http://www.corstruth.com.au/SA/145365_Tarcoola_L2-5_cs.png","145365_Tarcoola_L2-5_A4")</f>
        <v>145365_Tarcoola_L2-5_A4</v>
      </c>
      <c r="B1844" t="str">
        <f>HYPERLINK("http://www.corstruth.com.au/SA/PNG2/145365_Tarcoola_L2-5_cs.png","145365_Tarcoola_L2-5_0.25m Bins")</f>
        <v>145365_Tarcoola_L2-5_0.25m Bins</v>
      </c>
      <c r="C1844" t="str">
        <f>HYPERLINK("http://www.corstruth.com.au/SA/CSV/145365_Tarcoola_L2-5.csv","145365_Tarcoola_L2-5_CSV File 1m Bins")</f>
        <v>145365_Tarcoola_L2-5_CSV File 1m Bins</v>
      </c>
      <c r="D1844">
        <v>145365</v>
      </c>
      <c r="E1844" t="s">
        <v>2163</v>
      </c>
      <c r="F1844" t="str">
        <f>HYPERLINK("https://drillhole.pir.sa.gov.au/Details.aspx?DRILLHOLE_NO=145365","Geol Survey Link")</f>
        <v>Geol Survey Link</v>
      </c>
      <c r="I1844">
        <v>-30.7102</v>
      </c>
      <c r="J1844">
        <v>134.535</v>
      </c>
      <c r="K1844" t="str">
        <f>HYPERLINK("https://sarigdata.pir.sa.gov.au/nvcl/NVCLDataServices/mosaic.html?datasetid=754213ac-0190-41dc-bf28-8fd2b20dfe3","145365_Tarcoola_L2-5_Core Image")</f>
        <v>145365_Tarcoola_L2-5_Core Image</v>
      </c>
    </row>
    <row r="1845" spans="1:11" x14ac:dyDescent="0.25">
      <c r="A1845" t="str">
        <f>HYPERLINK("http://www.corstruth.com.au/SA/145366_Tarcoola_L2-6_cs.png","145366_Tarcoola_L2-6_A4")</f>
        <v>145366_Tarcoola_L2-6_A4</v>
      </c>
      <c r="B1845" t="str">
        <f>HYPERLINK("http://www.corstruth.com.au/SA/PNG2/145366_Tarcoola_L2-6_cs.png","145366_Tarcoola_L2-6_0.25m Bins")</f>
        <v>145366_Tarcoola_L2-6_0.25m Bins</v>
      </c>
      <c r="C1845" t="str">
        <f>HYPERLINK("http://www.corstruth.com.au/SA/CSV/145366_Tarcoola_L2-6.csv","145366_Tarcoola_L2-6_CSV File 1m Bins")</f>
        <v>145366_Tarcoola_L2-6_CSV File 1m Bins</v>
      </c>
      <c r="D1845">
        <v>145366</v>
      </c>
      <c r="E1845" t="s">
        <v>2163</v>
      </c>
      <c r="F1845" t="str">
        <f>HYPERLINK("https://drillhole.pir.sa.gov.au/Details.aspx?DRILLHOLE_NO=145366","Geol Survey Link")</f>
        <v>Geol Survey Link</v>
      </c>
      <c r="I1845">
        <v>-30.7102</v>
      </c>
      <c r="J1845">
        <v>134.535</v>
      </c>
      <c r="K1845" t="str">
        <f>HYPERLINK("https://sarigdata.pir.sa.gov.au/nvcl/NVCLDataServices/mosaic.html?datasetid=3d67c659-ffea-4fac-b58e-e9433adf961","145366_Tarcoola_L2-6_Core Image")</f>
        <v>145366_Tarcoola_L2-6_Core Image</v>
      </c>
    </row>
    <row r="1846" spans="1:11" x14ac:dyDescent="0.25">
      <c r="A1846" t="str">
        <f>HYPERLINK("http://www.corstruth.com.au/SA/145367_Tarcoola_L2-9_cs.png","145367_Tarcoola_L2-9_A4")</f>
        <v>145367_Tarcoola_L2-9_A4</v>
      </c>
      <c r="B1846" t="str">
        <f>HYPERLINK("http://www.corstruth.com.au/SA/PNG2/145367_Tarcoola_L2-9_cs.png","145367_Tarcoola_L2-9_0.25m Bins")</f>
        <v>145367_Tarcoola_L2-9_0.25m Bins</v>
      </c>
      <c r="C1846" t="str">
        <f>HYPERLINK("http://www.corstruth.com.au/SA/CSV/145367_Tarcoola_L2-9.csv","145367_Tarcoola_L2-9_CSV File 1m Bins")</f>
        <v>145367_Tarcoola_L2-9_CSV File 1m Bins</v>
      </c>
      <c r="D1846">
        <v>145367</v>
      </c>
      <c r="E1846" t="s">
        <v>2163</v>
      </c>
      <c r="F1846" t="str">
        <f>HYPERLINK("https://drillhole.pir.sa.gov.au/Details.aspx?DRILLHOLE_NO=145367","Geol Survey Link")</f>
        <v>Geol Survey Link</v>
      </c>
      <c r="I1846">
        <v>-30.7102</v>
      </c>
      <c r="J1846">
        <v>134.535</v>
      </c>
      <c r="K1846" t="str">
        <f>HYPERLINK("https://sarigdata.pir.sa.gov.au/nvcl/NVCLDataServices/mosaic.html?datasetid=8f3015ad-5886-4661-b53f-b584333f492","145367_Tarcoola_L2-9_Core Image")</f>
        <v>145367_Tarcoola_L2-9_Core Image</v>
      </c>
    </row>
    <row r="1847" spans="1:11" x14ac:dyDescent="0.25">
      <c r="A1847" t="str">
        <f>HYPERLINK("http://www.corstruth.com.au/SA/145368_Tarcoola_L2-10_cs.png","145368_Tarcoola_L2-10_A4")</f>
        <v>145368_Tarcoola_L2-10_A4</v>
      </c>
      <c r="B1847" t="str">
        <f>HYPERLINK("http://www.corstruth.com.au/SA/PNG2/145368_Tarcoola_L2-10_cs.png","145368_Tarcoola_L2-10_0.25m Bins")</f>
        <v>145368_Tarcoola_L2-10_0.25m Bins</v>
      </c>
      <c r="C1847" t="str">
        <f>HYPERLINK("http://www.corstruth.com.au/SA/CSV/145368_Tarcoola_L2-10.csv","145368_Tarcoola_L2-10_CSV File 1m Bins")</f>
        <v>145368_Tarcoola_L2-10_CSV File 1m Bins</v>
      </c>
      <c r="D1847">
        <v>145368</v>
      </c>
      <c r="E1847" t="s">
        <v>2163</v>
      </c>
      <c r="F1847" t="str">
        <f>HYPERLINK("https://drillhole.pir.sa.gov.au/Details.aspx?DRILLHOLE_NO=145368","Geol Survey Link")</f>
        <v>Geol Survey Link</v>
      </c>
      <c r="I1847">
        <v>-30.7102</v>
      </c>
      <c r="J1847">
        <v>134.535</v>
      </c>
      <c r="K1847" t="str">
        <f>HYPERLINK("https://sarigdata.pir.sa.gov.au/nvcl/NVCLDataServices/mosaic.html?datasetid=bab95a03-c025-4300-9f41-1397b39ad0d","145368_Tarcoola_L2-10_Core Image")</f>
        <v>145368_Tarcoola_L2-10_Core Image</v>
      </c>
    </row>
    <row r="1848" spans="1:11" x14ac:dyDescent="0.25">
      <c r="A1848" t="str">
        <f>HYPERLINK("http://www.corstruth.com.au/SA/145369_Tarcoola_L2-11_cs.png","145369_Tarcoola_L2-11_A4")</f>
        <v>145369_Tarcoola_L2-11_A4</v>
      </c>
      <c r="B1848" t="str">
        <f>HYPERLINK("http://www.corstruth.com.au/SA/PNG2/145369_Tarcoola_L2-11_cs.png","145369_Tarcoola_L2-11_0.25m Bins")</f>
        <v>145369_Tarcoola_L2-11_0.25m Bins</v>
      </c>
      <c r="C1848" t="str">
        <f>HYPERLINK("http://www.corstruth.com.au/SA/CSV/145369_Tarcoola_L2-11.csv","145369_Tarcoola_L2-11_CSV File 1m Bins")</f>
        <v>145369_Tarcoola_L2-11_CSV File 1m Bins</v>
      </c>
      <c r="D1848">
        <v>145369</v>
      </c>
      <c r="E1848" t="s">
        <v>2163</v>
      </c>
      <c r="F1848" t="str">
        <f>HYPERLINK("https://drillhole.pir.sa.gov.au/Details.aspx?DRILLHOLE_NO=145369","Geol Survey Link")</f>
        <v>Geol Survey Link</v>
      </c>
      <c r="I1848">
        <v>-30.7102</v>
      </c>
      <c r="J1848">
        <v>134.535</v>
      </c>
      <c r="K1848" t="str">
        <f>HYPERLINK("https://sarigdata.pir.sa.gov.au/nvcl/NVCLDataServices/mosaic.html?datasetid=f828856b-97b5-4539-82c8-8680582086a","145369_Tarcoola_L2-11_Core Image")</f>
        <v>145369_Tarcoola_L2-11_Core Image</v>
      </c>
    </row>
    <row r="1849" spans="1:11" x14ac:dyDescent="0.25">
      <c r="A1849" t="str">
        <f>HYPERLINK("http://www.corstruth.com.au/SA/145370_Tarcoola_L2-13_cs.png","145370_Tarcoola_L2-13_A4")</f>
        <v>145370_Tarcoola_L2-13_A4</v>
      </c>
      <c r="B1849" t="str">
        <f>HYPERLINK("http://www.corstruth.com.au/SA/PNG2/145370_Tarcoola_L2-13_cs.png","145370_Tarcoola_L2-13_0.25m Bins")</f>
        <v>145370_Tarcoola_L2-13_0.25m Bins</v>
      </c>
      <c r="C1849" t="str">
        <f>HYPERLINK("http://www.corstruth.com.au/SA/CSV/145370_Tarcoola_L2-13.csv","145370_Tarcoola_L2-13_CSV File 1m Bins")</f>
        <v>145370_Tarcoola_L2-13_CSV File 1m Bins</v>
      </c>
      <c r="D1849">
        <v>145370</v>
      </c>
      <c r="E1849" t="s">
        <v>2163</v>
      </c>
      <c r="F1849" t="str">
        <f>HYPERLINK("https://drillhole.pir.sa.gov.au/Details.aspx?DRILLHOLE_NO=145370","Geol Survey Link")</f>
        <v>Geol Survey Link</v>
      </c>
      <c r="I1849">
        <v>-30.7102</v>
      </c>
      <c r="J1849">
        <v>134.535</v>
      </c>
      <c r="K1849" t="str">
        <f>HYPERLINK("https://sarigdata.pir.sa.gov.au/nvcl/NVCLDataServices/mosaic.html?datasetid=36dd729c-343c-4fbe-8b0b-ce16d10ff95","145370_Tarcoola_L2-13_Core Image")</f>
        <v>145370_Tarcoola_L2-13_Core Image</v>
      </c>
    </row>
    <row r="1850" spans="1:11" x14ac:dyDescent="0.25">
      <c r="A1850" t="str">
        <f>HYPERLINK("http://www.corstruth.com.au/SA/145371_Tarcoola_L2-17_cs.png","145371_Tarcoola_L2-17_A4")</f>
        <v>145371_Tarcoola_L2-17_A4</v>
      </c>
      <c r="B1850" t="str">
        <f>HYPERLINK("http://www.corstruth.com.au/SA/PNG2/145371_Tarcoola_L2-17_cs.png","145371_Tarcoola_L2-17_0.25m Bins")</f>
        <v>145371_Tarcoola_L2-17_0.25m Bins</v>
      </c>
      <c r="C1850" t="str">
        <f>HYPERLINK("http://www.corstruth.com.au/SA/CSV/145371_Tarcoola_L2-17.csv","145371_Tarcoola_L2-17_CSV File 1m Bins")</f>
        <v>145371_Tarcoola_L2-17_CSV File 1m Bins</v>
      </c>
      <c r="D1850">
        <v>145371</v>
      </c>
      <c r="E1850" t="s">
        <v>2163</v>
      </c>
      <c r="F1850" t="str">
        <f>HYPERLINK("https://drillhole.pir.sa.gov.au/Details.aspx?DRILLHOLE_NO=145371","Geol Survey Link")</f>
        <v>Geol Survey Link</v>
      </c>
      <c r="I1850">
        <v>-30.7102</v>
      </c>
      <c r="J1850">
        <v>134.535</v>
      </c>
      <c r="K1850" t="str">
        <f>HYPERLINK("https://sarigdata.pir.sa.gov.au/nvcl/NVCLDataServices/mosaic.html?datasetid=37972768-a867-4ac9-8d41-67d9e681a85","145371_Tarcoola_L2-17_Core Image")</f>
        <v>145371_Tarcoola_L2-17_Core Image</v>
      </c>
    </row>
    <row r="1851" spans="1:11" x14ac:dyDescent="0.25">
      <c r="A1851" t="str">
        <f>HYPERLINK("http://www.corstruth.com.au/SA/145372_Tarcoola_L2-18_cs.png","145372_Tarcoola_L2-18_A4")</f>
        <v>145372_Tarcoola_L2-18_A4</v>
      </c>
      <c r="B1851" t="str">
        <f>HYPERLINK("http://www.corstruth.com.au/SA/PNG2/145372_Tarcoola_L2-18_cs.png","145372_Tarcoola_L2-18_0.25m Bins")</f>
        <v>145372_Tarcoola_L2-18_0.25m Bins</v>
      </c>
      <c r="C1851" t="str">
        <f>HYPERLINK("http://www.corstruth.com.au/SA/CSV/145372_Tarcoola_L2-18.csv","145372_Tarcoola_L2-18_CSV File 1m Bins")</f>
        <v>145372_Tarcoola_L2-18_CSV File 1m Bins</v>
      </c>
      <c r="D1851">
        <v>145372</v>
      </c>
      <c r="E1851" t="s">
        <v>2163</v>
      </c>
      <c r="F1851" t="str">
        <f>HYPERLINK("https://drillhole.pir.sa.gov.au/Details.aspx?DRILLHOLE_NO=145372","Geol Survey Link")</f>
        <v>Geol Survey Link</v>
      </c>
      <c r="I1851">
        <v>-30.7102</v>
      </c>
      <c r="J1851">
        <v>134.535</v>
      </c>
      <c r="K1851" t="str">
        <f>HYPERLINK("https://sarigdata.pir.sa.gov.au/nvcl/NVCLDataServices/mosaic.html?datasetid=688407c0-6996-4915-bbb6-36d6b533269","145372_Tarcoola_L2-18_Core Image")</f>
        <v>145372_Tarcoola_L2-18_Core Image</v>
      </c>
    </row>
    <row r="1852" spans="1:11" x14ac:dyDescent="0.25">
      <c r="A1852" t="str">
        <f>HYPERLINK("http://www.corstruth.com.au/SA/145373_Tarcoola_L2-19_cs.png","145373_Tarcoola_L2-19_A4")</f>
        <v>145373_Tarcoola_L2-19_A4</v>
      </c>
      <c r="B1852" t="str">
        <f>HYPERLINK("http://www.corstruth.com.au/SA/PNG2/145373_Tarcoola_L2-19_cs.png","145373_Tarcoola_L2-19_0.25m Bins")</f>
        <v>145373_Tarcoola_L2-19_0.25m Bins</v>
      </c>
      <c r="C1852" t="str">
        <f>HYPERLINK("http://www.corstruth.com.au/SA/CSV/145373_Tarcoola_L2-19.csv","145373_Tarcoola_L2-19_CSV File 1m Bins")</f>
        <v>145373_Tarcoola_L2-19_CSV File 1m Bins</v>
      </c>
      <c r="D1852">
        <v>145373</v>
      </c>
      <c r="E1852" t="s">
        <v>2163</v>
      </c>
      <c r="F1852" t="str">
        <f>HYPERLINK("https://drillhole.pir.sa.gov.au/Details.aspx?DRILLHOLE_NO=145373","Geol Survey Link")</f>
        <v>Geol Survey Link</v>
      </c>
      <c r="I1852">
        <v>-30.7102</v>
      </c>
      <c r="J1852">
        <v>134.535</v>
      </c>
      <c r="K1852" t="str">
        <f>HYPERLINK("https://sarigdata.pir.sa.gov.au/nvcl/NVCLDataServices/mosaic.html?datasetid=07971ca2-8df4-411a-b7d7-f17ae68ad21","145373_Tarcoola_L2-19_Core Image")</f>
        <v>145373_Tarcoola_L2-19_Core Image</v>
      </c>
    </row>
    <row r="1853" spans="1:11" x14ac:dyDescent="0.25">
      <c r="A1853" t="str">
        <f>HYPERLINK("http://www.corstruth.com.au/SA/145376_Tarcoola_L2-21_cs.png","145376_Tarcoola_L2-21_A4")</f>
        <v>145376_Tarcoola_L2-21_A4</v>
      </c>
      <c r="B1853" t="str">
        <f>HYPERLINK("http://www.corstruth.com.au/SA/PNG2/145376_Tarcoola_L2-21_cs.png","145376_Tarcoola_L2-21_0.25m Bins")</f>
        <v>145376_Tarcoola_L2-21_0.25m Bins</v>
      </c>
      <c r="C1853" t="str">
        <f>HYPERLINK("http://www.corstruth.com.au/SA/CSV/145376_Tarcoola_L2-21.csv","145376_Tarcoola_L2-21_CSV File 1m Bins")</f>
        <v>145376_Tarcoola_L2-21_CSV File 1m Bins</v>
      </c>
      <c r="D1853">
        <v>145376</v>
      </c>
      <c r="E1853" t="s">
        <v>2163</v>
      </c>
      <c r="F1853" t="str">
        <f>HYPERLINK("https://drillhole.pir.sa.gov.au/Details.aspx?DRILLHOLE_NO=145376","Geol Survey Link")</f>
        <v>Geol Survey Link</v>
      </c>
      <c r="I1853">
        <v>-30.7102</v>
      </c>
      <c r="J1853">
        <v>134.535</v>
      </c>
      <c r="K1853" t="str">
        <f>HYPERLINK("https://sarigdata.pir.sa.gov.au/nvcl/NVCLDataServices/mosaic.html?datasetid=2358a825-c221-46fc-b104-ac36a3e16a8","145376_Tarcoola_L2-21_Core Image")</f>
        <v>145376_Tarcoola_L2-21_Core Image</v>
      </c>
    </row>
    <row r="1854" spans="1:11" x14ac:dyDescent="0.25">
      <c r="A1854" t="str">
        <f>HYPERLINK("http://www.corstruth.com.au/SA/145377_Tarcoola_L2-24_cs.png","145377_Tarcoola_L2-24_A4")</f>
        <v>145377_Tarcoola_L2-24_A4</v>
      </c>
      <c r="B1854" t="str">
        <f>HYPERLINK("http://www.corstruth.com.au/SA/PNG2/145377_Tarcoola_L2-24_cs.png","145377_Tarcoola_L2-24_0.25m Bins")</f>
        <v>145377_Tarcoola_L2-24_0.25m Bins</v>
      </c>
      <c r="C1854" t="str">
        <f>HYPERLINK("http://www.corstruth.com.au/SA/CSV/145377_Tarcoola_L2-24.csv","145377_Tarcoola_L2-24_CSV File 1m Bins")</f>
        <v>145377_Tarcoola_L2-24_CSV File 1m Bins</v>
      </c>
      <c r="D1854">
        <v>145377</v>
      </c>
      <c r="E1854" t="s">
        <v>2163</v>
      </c>
      <c r="F1854" t="str">
        <f>HYPERLINK("https://drillhole.pir.sa.gov.au/Details.aspx?DRILLHOLE_NO=145377","Geol Survey Link")</f>
        <v>Geol Survey Link</v>
      </c>
      <c r="I1854">
        <v>-30.7102</v>
      </c>
      <c r="J1854">
        <v>134.535</v>
      </c>
      <c r="K1854" t="str">
        <f>HYPERLINK("https://sarigdata.pir.sa.gov.au/nvcl/NVCLDataServices/mosaic.html?datasetid=a3d529db-2097-4552-8311-f752d760bc8","145377_Tarcoola_L2-24_Core Image")</f>
        <v>145377_Tarcoola_L2-24_Core Image</v>
      </c>
    </row>
    <row r="1855" spans="1:11" x14ac:dyDescent="0.25">
      <c r="A1855" t="str">
        <f>HYPERLINK("http://www.corstruth.com.au/SA/145894_LNM10_cs.png","145894_LNM10_A4")</f>
        <v>145894_LNM10_A4</v>
      </c>
      <c r="B1855" t="str">
        <f>HYPERLINK("http://www.corstruth.com.au/SA/PNG2/145894_LNM10_cs.png","145894_LNM10_0.25m Bins")</f>
        <v>145894_LNM10_0.25m Bins</v>
      </c>
      <c r="C1855" t="str">
        <f>HYPERLINK("http://www.corstruth.com.au/SA/CSV/145894_LNM10.csv","145894_LNM10_CSV File 1m Bins")</f>
        <v>145894_LNM10_CSV File 1m Bins</v>
      </c>
      <c r="D1855">
        <v>145894</v>
      </c>
      <c r="E1855" t="s">
        <v>2163</v>
      </c>
      <c r="F1855" t="str">
        <f>HYPERLINK("https://drillhole.pir.sa.gov.au/Details.aspx?DRILLHOLE_NO=145894","Geol Survey Link")</f>
        <v>Geol Survey Link</v>
      </c>
      <c r="I1855">
        <v>-31.116800000000001</v>
      </c>
      <c r="J1855">
        <v>140.16999999999999</v>
      </c>
      <c r="K1855" t="str">
        <f>HYPERLINK("https://sarigdata.pir.sa.gov.au/nvcl/NVCLDataServices/mosaic.html?datasetid=35e0981e-3f56-41fb-8012-4f51011d77d","145894_LNM10_Core Image")</f>
        <v>145894_LNM10_Core Image</v>
      </c>
    </row>
    <row r="1856" spans="1:11" x14ac:dyDescent="0.25">
      <c r="A1856" t="str">
        <f>HYPERLINK("http://www.corstruth.com.au/SA/145983_DOME1_69_cs.png","145983_DOME1_69_A4")</f>
        <v>145983_DOME1_69_A4</v>
      </c>
      <c r="D1856">
        <v>145983</v>
      </c>
      <c r="E1856" t="s">
        <v>2163</v>
      </c>
      <c r="F1856" t="str">
        <f>HYPERLINK("https://drillhole.pir.sa.gov.au/Details.aspx?DRILLHOLE_NO=145983","Geol Survey Link")</f>
        <v>Geol Survey Link</v>
      </c>
      <c r="I1856">
        <v>-31.900200000000002</v>
      </c>
      <c r="J1856">
        <v>140.46199999999999</v>
      </c>
    </row>
    <row r="1857" spans="1:11" x14ac:dyDescent="0.25">
      <c r="A1857" t="str">
        <f>HYPERLINK("http://www.corstruth.com.au/SA/145984_DOME2_69_cs.png","145984_DOME2_69_A4")</f>
        <v>145984_DOME2_69_A4</v>
      </c>
      <c r="D1857">
        <v>145984</v>
      </c>
      <c r="E1857" t="s">
        <v>2163</v>
      </c>
      <c r="F1857" t="str">
        <f>HYPERLINK("https://drillhole.pir.sa.gov.au/Details.aspx?DRILLHOLE_NO=145984","Geol Survey Link")</f>
        <v>Geol Survey Link</v>
      </c>
      <c r="I1857">
        <v>-31.9023</v>
      </c>
      <c r="J1857">
        <v>140.46100000000001</v>
      </c>
    </row>
    <row r="1858" spans="1:11" x14ac:dyDescent="0.25">
      <c r="A1858" t="str">
        <f>HYPERLINK("http://www.corstruth.com.au/SA/145985_DOME3_69_cs.png","145985_DOME3_69_A4")</f>
        <v>145985_DOME3_69_A4</v>
      </c>
      <c r="D1858">
        <v>145985</v>
      </c>
      <c r="E1858" t="s">
        <v>2163</v>
      </c>
      <c r="F1858" t="str">
        <f>HYPERLINK("https://drillhole.pir.sa.gov.au/Details.aspx?DRILLHOLE_NO=145985","Geol Survey Link")</f>
        <v>Geol Survey Link</v>
      </c>
      <c r="I1858">
        <v>-31.8977</v>
      </c>
      <c r="J1858">
        <v>140.465</v>
      </c>
    </row>
    <row r="1859" spans="1:11" x14ac:dyDescent="0.25">
      <c r="A1859" t="str">
        <f>HYPERLINK("http://www.corstruth.com.au/SA/146082_MutoorooRidgeDDH1_cs.png","146082_MutoorooRidgeDDH1_A4")</f>
        <v>146082_MutoorooRidgeDDH1_A4</v>
      </c>
      <c r="B1859" t="str">
        <f>HYPERLINK("http://www.corstruth.com.au/SA/PNG2/146082_MutoorooRidgeDDH1_cs.png","146082_MutoorooRidgeDDH1_0.25m Bins")</f>
        <v>146082_MutoorooRidgeDDH1_0.25m Bins</v>
      </c>
      <c r="C1859" t="str">
        <f>HYPERLINK("http://www.corstruth.com.au/SA/CSV/146082_MutoorooRidgeDDH1.csv","146082_MutoorooRidgeDDH1_CSV File 1m Bins")</f>
        <v>146082_MutoorooRidgeDDH1_CSV File 1m Bins</v>
      </c>
      <c r="D1859">
        <v>146082</v>
      </c>
      <c r="E1859" t="s">
        <v>2163</v>
      </c>
      <c r="F1859" t="str">
        <f>HYPERLINK("https://drillhole.pir.sa.gov.au/Details.aspx?DRILLHOLE_NO=146082","Geol Survey Link")</f>
        <v>Geol Survey Link</v>
      </c>
      <c r="I1859">
        <v>-32.549199999999999</v>
      </c>
      <c r="J1859">
        <v>140.85300000000001</v>
      </c>
      <c r="K1859" t="str">
        <f>HYPERLINK("https://sarigdata.pir.sa.gov.au/nvcl/NVCLDataServices/mosaic.html?datasetid=10742ce3-1eb8-4060-bc49-a464755bb84","146082_MutoorooRidgeDDH1_Core Image")</f>
        <v>146082_MutoorooRidgeDDH1_Core Image</v>
      </c>
    </row>
    <row r="1860" spans="1:11" x14ac:dyDescent="0.25">
      <c r="A1860" t="str">
        <f>HYPERLINK("http://www.corstruth.com.au/SA/147380_RDDD94WB4_cs.png","147380_RDDD94WB4_A4")</f>
        <v>147380_RDDD94WB4_A4</v>
      </c>
      <c r="B1860" t="str">
        <f>HYPERLINK("http://www.corstruth.com.au/SA/PNG2/147380_RDDD94WB4_cs.png","147380_RDDD94WB4_0.25m Bins")</f>
        <v>147380_RDDD94WB4_0.25m Bins</v>
      </c>
      <c r="C1860" t="str">
        <f>HYPERLINK("http://www.corstruth.com.au/SA/CSV/147380_RDDD94WB4.csv","147380_RDDD94WB4_CSV File 1m Bins")</f>
        <v>147380_RDDD94WB4_CSV File 1m Bins</v>
      </c>
      <c r="D1860">
        <v>147380</v>
      </c>
      <c r="E1860" t="s">
        <v>2163</v>
      </c>
      <c r="F1860" t="str">
        <f>HYPERLINK("https://drillhole.pir.sa.gov.au/Details.aspx?DRILLHOLE_NO=147380","Geol Survey Link")</f>
        <v>Geol Survey Link</v>
      </c>
      <c r="I1860">
        <v>-29.7667</v>
      </c>
      <c r="J1860">
        <v>138.977</v>
      </c>
      <c r="K1860" t="str">
        <f>HYPERLINK("https://sarigdata.pir.sa.gov.au/nvcl/NVCLDataServices/mosaic.html?datasetid=edb876e9-4510-41b2-9261-267dcf0c06a","147380_RDDD94WB4_Core Image")</f>
        <v>147380_RDDD94WB4_Core Image</v>
      </c>
    </row>
    <row r="1861" spans="1:11" x14ac:dyDescent="0.25">
      <c r="A1861" t="str">
        <f>HYPERLINK("http://www.corstruth.com.au/SA/148490_PTR3_SAT1_cs.png","148490_PTR3_SAT1_A4")</f>
        <v>148490_PTR3_SAT1_A4</v>
      </c>
      <c r="B1861" t="str">
        <f>HYPERLINK("http://www.corstruth.com.au/SA/PNG2/148490_PTR3_SAT1_cs.png","148490_PTR3_SAT1_0.25m Bins")</f>
        <v>148490_PTR3_SAT1_0.25m Bins</v>
      </c>
      <c r="C1861" t="str">
        <f>HYPERLINK("http://www.corstruth.com.au/SA/CSV/148490_PTR3_SAT1.csv","148490_PTR3_SAT1_CSV File 1m Bins")</f>
        <v>148490_PTR3_SAT1_CSV File 1m Bins</v>
      </c>
      <c r="D1861">
        <v>148490</v>
      </c>
      <c r="E1861" t="s">
        <v>2163</v>
      </c>
      <c r="F1861" t="str">
        <f>HYPERLINK("https://drillhole.pir.sa.gov.au/Details.aspx?DRILLHOLE_NO=148490","Geol Survey Link")</f>
        <v>Geol Survey Link</v>
      </c>
      <c r="I1861">
        <v>-32.789400000000001</v>
      </c>
      <c r="J1861">
        <v>137.553</v>
      </c>
      <c r="K1861" t="str">
        <f>HYPERLINK("https://sarigdata.pir.sa.gov.au/nvcl/NVCLDataServices/mosaic.html?datasetid=da2d222a-5c2f-47c8-a743-6575d7f9022","148490_PTR3_SAT1_Core Image")</f>
        <v>148490_PTR3_SAT1_Core Image</v>
      </c>
    </row>
    <row r="1862" spans="1:11" x14ac:dyDescent="0.25">
      <c r="A1862" t="str">
        <f>HYPERLINK("http://www.corstruth.com.au/SA/148614_WY12_cs.png","148614_WY12_A4")</f>
        <v>148614_WY12_A4</v>
      </c>
      <c r="B1862" t="str">
        <f>HYPERLINK("http://www.corstruth.com.au/SA/PNG2/148614_WY12_cs.png","148614_WY12_0.25m Bins")</f>
        <v>148614_WY12_0.25m Bins</v>
      </c>
      <c r="C1862" t="str">
        <f>HYPERLINK("http://www.corstruth.com.au/SA/CSV/148614_WY12.csv","148614_WY12_CSV File 1m Bins")</f>
        <v>148614_WY12_CSV File 1m Bins</v>
      </c>
      <c r="D1862">
        <v>148614</v>
      </c>
      <c r="E1862" t="s">
        <v>2163</v>
      </c>
      <c r="F1862" t="str">
        <f>HYPERLINK("https://drillhole.pir.sa.gov.au/Details.aspx?DRILLHOLE_NO=148614","Geol Survey Link")</f>
        <v>Geol Survey Link</v>
      </c>
      <c r="I1862">
        <v>-32.9422</v>
      </c>
      <c r="J1862">
        <v>137.596</v>
      </c>
      <c r="K1862" t="str">
        <f>HYPERLINK("https://sarigdata.pir.sa.gov.au/nvcl/NVCLDataServices/mosaic.html?datasetid=f181f519-ee11-452c-b180-3a06a4260ba","148614_WY12_Core Image")</f>
        <v>148614_WY12_Core Image</v>
      </c>
    </row>
    <row r="1863" spans="1:11" x14ac:dyDescent="0.25">
      <c r="A1863" t="str">
        <f>HYPERLINK("http://www.corstruth.com.au/SA/148965_WYNN1_cs.png","148965_WYNN1_A4")</f>
        <v>148965_WYNN1_A4</v>
      </c>
      <c r="D1863">
        <v>148965</v>
      </c>
      <c r="E1863" t="s">
        <v>2163</v>
      </c>
      <c r="F1863" t="str">
        <f>HYPERLINK("https://drillhole.pir.sa.gov.au/Details.aspx?DRILLHOLE_NO=148965","Geol Survey Link")</f>
        <v>Geol Survey Link</v>
      </c>
      <c r="I1863">
        <v>-37.407699999999998</v>
      </c>
      <c r="J1863">
        <v>140.874</v>
      </c>
    </row>
    <row r="1864" spans="1:11" x14ac:dyDescent="0.25">
      <c r="A1864" t="str">
        <f>HYPERLINK("http://www.corstruth.com.au/SA/149014_MJ1_cs.png","149014_MJ1_A4")</f>
        <v>149014_MJ1_A4</v>
      </c>
      <c r="B1864" t="str">
        <f>HYPERLINK("http://www.corstruth.com.au/SA/PNG2/149014_MJ1_cs.png","149014_MJ1_0.25m Bins")</f>
        <v>149014_MJ1_0.25m Bins</v>
      </c>
      <c r="C1864" t="str">
        <f>HYPERLINK("http://www.corstruth.com.au/SA/CSV/149014_MJ1.csv","149014_MJ1_CSV File 1m Bins")</f>
        <v>149014_MJ1_CSV File 1m Bins</v>
      </c>
      <c r="D1864">
        <v>149014</v>
      </c>
      <c r="E1864" t="s">
        <v>2163</v>
      </c>
      <c r="F1864" t="str">
        <f>HYPERLINK("https://drillhole.pir.sa.gov.au/Details.aspx?DRILLHOLE_NO=149014","Geol Survey Link")</f>
        <v>Geol Survey Link</v>
      </c>
      <c r="I1864">
        <v>-30.709599999999998</v>
      </c>
      <c r="J1864">
        <v>138.137</v>
      </c>
      <c r="K1864" t="str">
        <f>HYPERLINK("https://sarigdata.pir.sa.gov.au/nvcl/NVCLDataServices/mosaic.html?datasetid=d32fe2f0-269d-4113-b39b-f6610e1fc0b","149014_MJ1_Core Image")</f>
        <v>149014_MJ1_Core Image</v>
      </c>
    </row>
    <row r="1865" spans="1:11" x14ac:dyDescent="0.25">
      <c r="A1865" t="str">
        <f>HYPERLINK("http://www.corstruth.com.au/SA/149883_Calico_KD_6_cs.png","149883_Calico_KD_6_A4")</f>
        <v>149883_Calico_KD_6_A4</v>
      </c>
      <c r="B1865" t="str">
        <f>HYPERLINK("http://www.corstruth.com.au/SA/PNG2/149883_Calico_KD_6_cs.png","149883_Calico_KD_6_0.25m Bins")</f>
        <v>149883_Calico_KD_6_0.25m Bins</v>
      </c>
      <c r="C1865" t="str">
        <f>HYPERLINK("http://www.corstruth.com.au/SA/CSV/149883_Calico_KD_6.csv","149883_Calico_KD_6_CSV File 1m Bins")</f>
        <v>149883_Calico_KD_6_CSV File 1m Bins</v>
      </c>
      <c r="D1865">
        <v>149883</v>
      </c>
      <c r="E1865" t="s">
        <v>2163</v>
      </c>
      <c r="F1865" t="str">
        <f>HYPERLINK("https://drillhole.pir.sa.gov.au/Details.aspx?DRILLHOLE_NO=149883","Geol Survey Link")</f>
        <v>Geol Survey Link</v>
      </c>
      <c r="I1865">
        <v>-31.844100000000001</v>
      </c>
      <c r="J1865">
        <v>140.27500000000001</v>
      </c>
      <c r="K1865" t="str">
        <f>HYPERLINK("https://sarigdata.pir.sa.gov.au/nvcl/NVCLDataServices/mosaic.html?datasetid=dbd3004d-dee8-40d8-a478-967235d5581","149883_Calico_KD_6_Core Image")</f>
        <v>149883_Calico_KD_6_Core Image</v>
      </c>
    </row>
    <row r="1866" spans="1:11" x14ac:dyDescent="0.25">
      <c r="A1866" t="str">
        <f>HYPERLINK("http://www.corstruth.com.au/SA/149884_Telechie_KD_7_cs.png","149884_Telechie_KD_7_A4")</f>
        <v>149884_Telechie_KD_7_A4</v>
      </c>
      <c r="B1866" t="str">
        <f>HYPERLINK("http://www.corstruth.com.au/SA/PNG2/149884_Telechie_KD_7_cs.png","149884_Telechie_KD_7_0.25m Bins")</f>
        <v>149884_Telechie_KD_7_0.25m Bins</v>
      </c>
      <c r="C1866" t="str">
        <f>HYPERLINK("http://www.corstruth.com.au/SA/CSV/149884_Telechie_KD_7.csv","149884_Telechie_KD_7_CSV File 1m Bins")</f>
        <v>149884_Telechie_KD_7_CSV File 1m Bins</v>
      </c>
      <c r="D1866">
        <v>149884</v>
      </c>
      <c r="E1866" t="s">
        <v>2163</v>
      </c>
      <c r="F1866" t="str">
        <f>HYPERLINK("https://drillhole.pir.sa.gov.au/Details.aspx?DRILLHOLE_NO=149884","Geol Survey Link")</f>
        <v>Geol Survey Link</v>
      </c>
      <c r="I1866">
        <v>-31.9284</v>
      </c>
      <c r="J1866">
        <v>140.21600000000001</v>
      </c>
      <c r="K1866" t="str">
        <f>HYPERLINK("https://sarigdata.pir.sa.gov.au/nvcl/NVCLDataServices/mosaic.html?datasetid=3c0a2dea-e5d2-40aa-a683-2db1502d03a","149884_Telechie_KD_7_Core Image")</f>
        <v>149884_Telechie_KD_7_Core Image</v>
      </c>
    </row>
    <row r="1867" spans="1:11" x14ac:dyDescent="0.25">
      <c r="A1867" t="str">
        <f>HYPERLINK("http://www.corstruth.com.au/SA/149886_Telechie_KD_9_cs.png","149886_Telechie_KD_9_A4")</f>
        <v>149886_Telechie_KD_9_A4</v>
      </c>
      <c r="B1867" t="str">
        <f>HYPERLINK("http://www.corstruth.com.au/SA/PNG2/149886_Telechie_KD_9_cs.png","149886_Telechie_KD_9_0.25m Bins")</f>
        <v>149886_Telechie_KD_9_0.25m Bins</v>
      </c>
      <c r="C1867" t="str">
        <f>HYPERLINK("http://www.corstruth.com.au/SA/CSV/149886_Telechie_KD_9.csv","149886_Telechie_KD_9_CSV File 1m Bins")</f>
        <v>149886_Telechie_KD_9_CSV File 1m Bins</v>
      </c>
      <c r="D1867">
        <v>149886</v>
      </c>
      <c r="E1867" t="s">
        <v>2163</v>
      </c>
      <c r="F1867" t="str">
        <f>HYPERLINK("https://drillhole.pir.sa.gov.au/Details.aspx?DRILLHOLE_NO=149886","Geol Survey Link")</f>
        <v>Geol Survey Link</v>
      </c>
      <c r="I1867">
        <v>-31.923999999999999</v>
      </c>
      <c r="J1867">
        <v>140.221</v>
      </c>
      <c r="K1867" t="str">
        <f>HYPERLINK("https://sarigdata.pir.sa.gov.au/nvcl/NVCLDataServices/mosaic.html?datasetid=cce47be6-c1a2-4d5c-8271-ceddc18fc47","149886_Telechie_KD_9_Core Image")</f>
        <v>149886_Telechie_KD_9_Core Image</v>
      </c>
    </row>
    <row r="1868" spans="1:11" x14ac:dyDescent="0.25">
      <c r="A1868" t="str">
        <f>HYPERLINK("http://www.corstruth.com.au/SA/149887_Telechie_KD_10_cs.png","149887_Telechie_KD_10_A4")</f>
        <v>149887_Telechie_KD_10_A4</v>
      </c>
      <c r="B1868" t="str">
        <f>HYPERLINK("http://www.corstruth.com.au/SA/PNG2/149887_Telechie_KD_10_cs.png","149887_Telechie_KD_10_0.25m Bins")</f>
        <v>149887_Telechie_KD_10_0.25m Bins</v>
      </c>
      <c r="C1868" t="str">
        <f>HYPERLINK("http://www.corstruth.com.au/SA/CSV/149887_Telechie_KD_10.csv","149887_Telechie_KD_10_CSV File 1m Bins")</f>
        <v>149887_Telechie_KD_10_CSV File 1m Bins</v>
      </c>
      <c r="D1868">
        <v>149887</v>
      </c>
      <c r="E1868" t="s">
        <v>2163</v>
      </c>
      <c r="F1868" t="str">
        <f>HYPERLINK("https://drillhole.pir.sa.gov.au/Details.aspx?DRILLHOLE_NO=149887","Geol Survey Link")</f>
        <v>Geol Survey Link</v>
      </c>
      <c r="I1868">
        <v>-31.936499999999999</v>
      </c>
      <c r="J1868">
        <v>140.21700000000001</v>
      </c>
    </row>
    <row r="1869" spans="1:11" x14ac:dyDescent="0.25">
      <c r="A1869" t="str">
        <f>HYPERLINK("http://www.corstruth.com.au/SA/149888_Telechie_KD_11_cs.png","149888_Telechie_KD_11_A4")</f>
        <v>149888_Telechie_KD_11_A4</v>
      </c>
      <c r="B1869" t="str">
        <f>HYPERLINK("http://www.corstruth.com.au/SA/PNG2/149888_Telechie_KD_11_cs.png","149888_Telechie_KD_11_0.25m Bins")</f>
        <v>149888_Telechie_KD_11_0.25m Bins</v>
      </c>
      <c r="C1869" t="str">
        <f>HYPERLINK("http://www.corstruth.com.au/SA/CSV/149888_Telechie_KD_11.csv","149888_Telechie_KD_11_CSV File 1m Bins")</f>
        <v>149888_Telechie_KD_11_CSV File 1m Bins</v>
      </c>
      <c r="D1869">
        <v>149888</v>
      </c>
      <c r="E1869" t="s">
        <v>2163</v>
      </c>
      <c r="F1869" t="str">
        <f>HYPERLINK("https://drillhole.pir.sa.gov.au/Details.aspx?DRILLHOLE_NO=149888","Geol Survey Link")</f>
        <v>Geol Survey Link</v>
      </c>
      <c r="I1869">
        <v>-31.918500000000002</v>
      </c>
      <c r="J1869">
        <v>140.22300000000001</v>
      </c>
      <c r="K1869" t="str">
        <f>HYPERLINK("https://sarigdata.pir.sa.gov.au/nvcl/NVCLDataServices/mosaic.html?datasetid=170f19ab-fa3a-4030-8b15-f5548e4a606","149888_Telechie_KD_11_Core Image")</f>
        <v>149888_Telechie_KD_11_Core Image</v>
      </c>
    </row>
    <row r="1870" spans="1:11" x14ac:dyDescent="0.25">
      <c r="A1870" t="str">
        <f>HYPERLINK("http://www.corstruth.com.au/SA/149896_Toraminga_KD_19_cs.png","149896_Toraminga_KD_19_A4")</f>
        <v>149896_Toraminga_KD_19_A4</v>
      </c>
      <c r="B1870" t="str">
        <f>HYPERLINK("http://www.corstruth.com.au/SA/PNG2/149896_Toraminga_KD_19_cs.png","149896_Toraminga_KD_19_0.25m Bins")</f>
        <v>149896_Toraminga_KD_19_0.25m Bins</v>
      </c>
      <c r="C1870" t="str">
        <f>HYPERLINK("http://www.corstruth.com.au/SA/CSV/149896_Toraminga_KD_19.csv","149896_Toraminga_KD_19_CSV File 1m Bins")</f>
        <v>149896_Toraminga_KD_19_CSV File 1m Bins</v>
      </c>
      <c r="D1870">
        <v>149896</v>
      </c>
      <c r="E1870" t="s">
        <v>2163</v>
      </c>
      <c r="F1870" t="str">
        <f>HYPERLINK("https://drillhole.pir.sa.gov.au/Details.aspx?DRILLHOLE_NO=149896","Geol Survey Link")</f>
        <v>Geol Survey Link</v>
      </c>
      <c r="I1870">
        <v>-31.922799999999999</v>
      </c>
      <c r="J1870">
        <v>140.18199999999999</v>
      </c>
      <c r="K1870" t="str">
        <f>HYPERLINK("https://sarigdata.pir.sa.gov.au/nvcl/NVCLDataServices/mosaic.html?datasetid=e8a565f4-0180-473e-96ce-e999bb1f2f7","149896_Toraminga_KD_19_Core Image")</f>
        <v>149896_Toraminga_KD_19_Core Image</v>
      </c>
    </row>
    <row r="1871" spans="1:11" x14ac:dyDescent="0.25">
      <c r="A1871" t="str">
        <f>HYPERLINK("http://www.corstruth.com.au/SA/149897_KD_20_cs.png","149897_KD_20_A4")</f>
        <v>149897_KD_20_A4</v>
      </c>
      <c r="B1871" t="str">
        <f>HYPERLINK("http://www.corstruth.com.au/SA/PNG2/149897_KD_20_cs.png","149897_KD_20_0.25m Bins")</f>
        <v>149897_KD_20_0.25m Bins</v>
      </c>
      <c r="C1871" t="str">
        <f>HYPERLINK("http://www.corstruth.com.au/SA/CSV/149897_KD_20.csv","149897_KD_20_CSV File 1m Bins")</f>
        <v>149897_KD_20_CSV File 1m Bins</v>
      </c>
      <c r="D1871">
        <v>149897</v>
      </c>
      <c r="E1871" t="s">
        <v>2163</v>
      </c>
      <c r="F1871" t="str">
        <f>HYPERLINK("https://drillhole.pir.sa.gov.au/Details.aspx?DRILLHOLE_NO=149897","Geol Survey Link")</f>
        <v>Geol Survey Link</v>
      </c>
      <c r="I1871">
        <v>-31.8231</v>
      </c>
      <c r="J1871">
        <v>140.392</v>
      </c>
      <c r="K1871" t="str">
        <f>HYPERLINK("https://sarigdata.pir.sa.gov.au/nvcl/NVCLDataServices/mosaic.html?datasetid=3202d436-6dcd-43b8-885c-0c4aaff293c","149897_KD_20_Core Image")</f>
        <v>149897_KD_20_Core Image</v>
      </c>
    </row>
    <row r="1872" spans="1:11" x14ac:dyDescent="0.25">
      <c r="A1872" t="str">
        <f>HYPERLINK("http://www.corstruth.com.au/SA/149_BN-2_cs.png","149_BN-2_A4")</f>
        <v>149_BN-2_A4</v>
      </c>
      <c r="B1872" t="str">
        <f>HYPERLINK("http://www.corstruth.com.au/SA/PNG2/149_BN-2_cs.png","149_BN-2_0.25m Bins")</f>
        <v>149_BN-2_0.25m Bins</v>
      </c>
      <c r="C1872" t="str">
        <f>HYPERLINK("http://www.corstruth.com.au/SA/CSV/149_BN-2.csv","149_BN-2_CSV File 1m Bins")</f>
        <v>149_BN-2_CSV File 1m Bins</v>
      </c>
      <c r="D1872">
        <v>149</v>
      </c>
      <c r="E1872" t="s">
        <v>2163</v>
      </c>
      <c r="F1872" t="str">
        <f>HYPERLINK("https://drillhole.pir.sa.gov.au/Details.aspx?DRILLHOLE_NO=149","Geol Survey Link")</f>
        <v>Geol Survey Link</v>
      </c>
      <c r="I1872">
        <v>-31.162500000000001</v>
      </c>
      <c r="J1872">
        <v>129.16399999999999</v>
      </c>
      <c r="K1872" t="str">
        <f>HYPERLINK("https://sarigdata.pir.sa.gov.au/nvcl/NVCLDataServices/mosaic.html?datasetid=0f0d20c3-0552-49d4-beae-00ed967e8ef","149_BN-2_Core Image")</f>
        <v>149_BN-2_Core Image</v>
      </c>
    </row>
    <row r="1873" spans="1:11" x14ac:dyDescent="0.25">
      <c r="A1873" t="str">
        <f>HYPERLINK("http://www.corstruth.com.au/SA/150182_PARADISE_DAM_WK2_cs.png","150182_PARADISE_DAM_WK2_A4")</f>
        <v>150182_PARADISE_DAM_WK2_A4</v>
      </c>
      <c r="D1873">
        <v>150182</v>
      </c>
      <c r="E1873" t="s">
        <v>2163</v>
      </c>
      <c r="F1873" t="str">
        <f>HYPERLINK("https://drillhole.pir.sa.gov.au/Details.aspx?DRILLHOLE_NO=150182","Geol Survey Link")</f>
        <v>Geol Survey Link</v>
      </c>
      <c r="I1873">
        <v>-30.12</v>
      </c>
      <c r="J1873">
        <v>140.33199999999999</v>
      </c>
    </row>
    <row r="1874" spans="1:11" x14ac:dyDescent="0.25">
      <c r="A1874" t="str">
        <f>HYPERLINK("http://www.corstruth.com.au/SA/150190_SPH1_cs.png","150190_SPH1_A4")</f>
        <v>150190_SPH1_A4</v>
      </c>
      <c r="B1874" t="str">
        <f>HYPERLINK("http://www.corstruth.com.au/SA/PNG2/150190_SPH1_cs.png","150190_SPH1_0.25m Bins")</f>
        <v>150190_SPH1_0.25m Bins</v>
      </c>
      <c r="C1874" t="str">
        <f>HYPERLINK("http://www.corstruth.com.au/SA/CSV/150190_SPH1.csv","150190_SPH1_CSV File 1m Bins")</f>
        <v>150190_SPH1_CSV File 1m Bins</v>
      </c>
      <c r="D1874">
        <v>150190</v>
      </c>
      <c r="E1874" t="s">
        <v>2163</v>
      </c>
      <c r="F1874" t="str">
        <f>HYPERLINK("https://drillhole.pir.sa.gov.au/Details.aspx?DRILLHOLE_NO=150190","Geol Survey Link")</f>
        <v>Geol Survey Link</v>
      </c>
      <c r="I1874">
        <v>-29.925699999999999</v>
      </c>
      <c r="J1874">
        <v>139.85400000000001</v>
      </c>
      <c r="K1874" t="str">
        <f>HYPERLINK("https://sarigdata.pir.sa.gov.au/nvcl/NVCLDataServices/mosaic.html?datasetid=44769def-c2d3-454c-9e8f-a986de101df","150190_SPH1_Core Image")</f>
        <v>150190_SPH1_Core Image</v>
      </c>
    </row>
    <row r="1875" spans="1:11" x14ac:dyDescent="0.25">
      <c r="A1875" t="str">
        <f>HYPERLINK("http://www.corstruth.com.au/SA/150285_WC1_cs.png","150285_WC1_A4")</f>
        <v>150285_WC1_A4</v>
      </c>
      <c r="B1875" t="str">
        <f>HYPERLINK("http://www.corstruth.com.au/SA/PNG2/150285_WC1_cs.png","150285_WC1_0.25m Bins")</f>
        <v>150285_WC1_0.25m Bins</v>
      </c>
      <c r="C1875" t="str">
        <f>HYPERLINK("http://www.corstruth.com.au/SA/CSV/150285_WC1.csv","150285_WC1_CSV File 1m Bins")</f>
        <v>150285_WC1_CSV File 1m Bins</v>
      </c>
      <c r="D1875">
        <v>150285</v>
      </c>
      <c r="E1875" t="s">
        <v>2163</v>
      </c>
      <c r="F1875" t="str">
        <f>HYPERLINK("https://drillhole.pir.sa.gov.au/Details.aspx?DRILLHOLE_NO=150285","Geol Survey Link")</f>
        <v>Geol Survey Link</v>
      </c>
      <c r="I1875">
        <v>-29.855799999999999</v>
      </c>
      <c r="J1875">
        <v>139.69499999999999</v>
      </c>
      <c r="K1875" t="str">
        <f>HYPERLINK("https://sarigdata.pir.sa.gov.au/nvcl/NVCLDataServices/mosaic.html?datasetid=26046cd2-a591-46a2-9879-8fbcb44e2cb","150285_WC1_Core Image")</f>
        <v>150285_WC1_Core Image</v>
      </c>
    </row>
    <row r="1876" spans="1:11" x14ac:dyDescent="0.25">
      <c r="A1876" t="str">
        <f>HYPERLINK("http://www.corstruth.com.au/SA/150291_A9_cs.png","150291_A9_A4")</f>
        <v>150291_A9_A4</v>
      </c>
      <c r="B1876" t="str">
        <f>HYPERLINK("http://www.corstruth.com.au/SA/PNG2/150291_A9_cs.png","150291_A9_0.25m Bins")</f>
        <v>150291_A9_0.25m Bins</v>
      </c>
      <c r="C1876" t="str">
        <f>HYPERLINK("http://www.corstruth.com.au/SA/CSV/150291_A9.csv","150291_A9_CSV File 1m Bins")</f>
        <v>150291_A9_CSV File 1m Bins</v>
      </c>
      <c r="D1876">
        <v>150291</v>
      </c>
      <c r="E1876" t="s">
        <v>2163</v>
      </c>
      <c r="F1876" t="str">
        <f>HYPERLINK("https://drillhole.pir.sa.gov.au/Details.aspx?DRILLHOLE_NO=150291","Geol Survey Link")</f>
        <v>Geol Survey Link</v>
      </c>
      <c r="I1876">
        <v>-30.006</v>
      </c>
      <c r="J1876">
        <v>140.59200000000001</v>
      </c>
      <c r="K1876" t="str">
        <f>HYPERLINK("https://sarigdata.pir.sa.gov.au/nvcl/NVCLDataServices/mosaic.html?datasetid=1ac775d1-ebb9-475a-baed-d68348e627b","150291_A9_Core Image")</f>
        <v>150291_A9_Core Image</v>
      </c>
    </row>
    <row r="1877" spans="1:11" x14ac:dyDescent="0.25">
      <c r="A1877" t="str">
        <f>HYPERLINK("http://www.corstruth.com.au/SA/150390_RDDD94WB2_cs.png","150390_RDDD94WB2_A4")</f>
        <v>150390_RDDD94WB2_A4</v>
      </c>
      <c r="B1877" t="str">
        <f>HYPERLINK("http://www.corstruth.com.au/SA/PNG2/150390_RDDD94WB2_cs.png","150390_RDDD94WB2_0.25m Bins")</f>
        <v>150390_RDDD94WB2_0.25m Bins</v>
      </c>
      <c r="C1877" t="str">
        <f>HYPERLINK("http://www.corstruth.com.au/SA/CSV/150390_RDDD94WB2.csv","150390_RDDD94WB2_CSV File 1m Bins")</f>
        <v>150390_RDDD94WB2_CSV File 1m Bins</v>
      </c>
      <c r="D1877">
        <v>150390</v>
      </c>
      <c r="E1877" t="s">
        <v>2163</v>
      </c>
      <c r="F1877" t="str">
        <f>HYPERLINK("https://drillhole.pir.sa.gov.au/Details.aspx?DRILLHOLE_NO=150390","Geol Survey Link")</f>
        <v>Geol Survey Link</v>
      </c>
      <c r="I1877">
        <v>-29.804200000000002</v>
      </c>
      <c r="J1877">
        <v>139.00700000000001</v>
      </c>
      <c r="K1877" t="str">
        <f>HYPERLINK("https://sarigdata.pir.sa.gov.au/nvcl/NVCLDataServices/mosaic.html?datasetid=19e26df2-d2bc-4a48-81a9-1f23766da56","150390_RDDD94WB2_Core Image")</f>
        <v>150390_RDDD94WB2_Core Image</v>
      </c>
    </row>
    <row r="1878" spans="1:11" x14ac:dyDescent="0.25">
      <c r="A1878" t="str">
        <f>HYPERLINK("http://www.corstruth.com.au/SA/150391_RDDD94WB3_cs.png","150391_RDDD94WB3_A4")</f>
        <v>150391_RDDD94WB3_A4</v>
      </c>
      <c r="B1878" t="str">
        <f>HYPERLINK("http://www.corstruth.com.au/SA/PNG2/150391_RDDD94WB3_cs.png","150391_RDDD94WB3_0.25m Bins")</f>
        <v>150391_RDDD94WB3_0.25m Bins</v>
      </c>
      <c r="C1878" t="str">
        <f>HYPERLINK("http://www.corstruth.com.au/SA/CSV/150391_RDDD94WB3.csv","150391_RDDD94WB3_CSV File 1m Bins")</f>
        <v>150391_RDDD94WB3_CSV File 1m Bins</v>
      </c>
      <c r="D1878">
        <v>150391</v>
      </c>
      <c r="E1878" t="s">
        <v>2163</v>
      </c>
      <c r="F1878" t="str">
        <f>HYPERLINK("https://drillhole.pir.sa.gov.au/Details.aspx?DRILLHOLE_NO=150391","Geol Survey Link")</f>
        <v>Geol Survey Link</v>
      </c>
      <c r="I1878">
        <v>-29.773199999999999</v>
      </c>
      <c r="J1878">
        <v>138.99199999999999</v>
      </c>
      <c r="K1878" t="str">
        <f>HYPERLINK("https://sarigdata.pir.sa.gov.au/nvcl/NVCLDataServices/mosaic.html?datasetid=158d0a17-5ff3-4e1d-98bf-2dc88a2a3e6","150391_RDDD94WB3_Core Image")</f>
        <v>150391_RDDD94WB3_Core Image</v>
      </c>
    </row>
    <row r="1879" spans="1:11" x14ac:dyDescent="0.25">
      <c r="A1879" t="str">
        <f>HYPERLINK("http://www.corstruth.com.au/SA/151020_GE23_cs.png","151020_GE23_A4")</f>
        <v>151020_GE23_A4</v>
      </c>
      <c r="D1879">
        <v>151020</v>
      </c>
      <c r="E1879" t="s">
        <v>2163</v>
      </c>
      <c r="F1879" t="str">
        <f>HYPERLINK("https://drillhole.pir.sa.gov.au/Details.aspx?DRILLHOLE_NO=151020","Geol Survey Link")</f>
        <v>Geol Survey Link</v>
      </c>
      <c r="I1879">
        <v>-30.207100000000001</v>
      </c>
      <c r="J1879">
        <v>139.363</v>
      </c>
      <c r="K1879" t="str">
        <f>HYPERLINK("https://sarigdata.pir.sa.gov.au/nvcl/NVCLDataServices/mosaic.html?datasetid=4faa1aac-cca2-45d2-b43c-261c170e57a","151020_GE23_Core Image")</f>
        <v>151020_GE23_Core Image</v>
      </c>
    </row>
    <row r="1880" spans="1:11" x14ac:dyDescent="0.25">
      <c r="A1880" t="str">
        <f>HYPERLINK("http://www.corstruth.com.au/SA/151030_DD91GE33_cs.png","151030_DD91GE33_A4")</f>
        <v>151030_DD91GE33_A4</v>
      </c>
      <c r="B1880" t="str">
        <f>HYPERLINK("http://www.corstruth.com.au/SA/PNG2/151030_DD91GE33_cs.png","151030_DD91GE33_0.25m Bins")</f>
        <v>151030_DD91GE33_0.25m Bins</v>
      </c>
      <c r="C1880" t="str">
        <f>HYPERLINK("http://www.corstruth.com.au/SA/CSV/151030_DD91GE33.csv","151030_DD91GE33_CSV File 1m Bins")</f>
        <v>151030_DD91GE33_CSV File 1m Bins</v>
      </c>
      <c r="D1880">
        <v>151030</v>
      </c>
      <c r="E1880" t="s">
        <v>2163</v>
      </c>
      <c r="F1880" t="str">
        <f>HYPERLINK("https://drillhole.pir.sa.gov.au/Details.aspx?DRILLHOLE_NO=151030","Geol Survey Link")</f>
        <v>Geol Survey Link</v>
      </c>
      <c r="I1880">
        <v>-30.224699999999999</v>
      </c>
      <c r="J1880">
        <v>139.34299999999999</v>
      </c>
      <c r="K1880" t="str">
        <f>HYPERLINK("https://sarigdata.pir.sa.gov.au/nvcl/NVCLDataServices/mosaic.html?datasetid=3719d0fc-a9af-4be2-af20-c89a943c0cb","151030_DD91GE33_Core Image")</f>
        <v>151030_DD91GE33_Core Image</v>
      </c>
    </row>
    <row r="1881" spans="1:11" x14ac:dyDescent="0.25">
      <c r="A1881" t="str">
        <f>HYPERLINK("http://www.corstruth.com.au/SA/153649_DD92MW1_cs.png","153649_DD92MW1_A4")</f>
        <v>153649_DD92MW1_A4</v>
      </c>
      <c r="B1881" t="str">
        <f>HYPERLINK("http://www.corstruth.com.au/SA/PNG2/153649_DD92MW1_cs.png","153649_DD92MW1_0.25m Bins")</f>
        <v>153649_DD92MW1_0.25m Bins</v>
      </c>
      <c r="C1881" t="str">
        <f>HYPERLINK("http://www.corstruth.com.au/SA/CSV/153649_DD92MW1.csv","153649_DD92MW1_CSV File 1m Bins")</f>
        <v>153649_DD92MW1_CSV File 1m Bins</v>
      </c>
      <c r="D1881">
        <v>153649</v>
      </c>
      <c r="E1881" t="s">
        <v>2163</v>
      </c>
      <c r="F1881" t="str">
        <f>HYPERLINK("https://drillhole.pir.sa.gov.au/Details.aspx?DRILLHOLE_NO=153649","Geol Survey Link")</f>
        <v>Geol Survey Link</v>
      </c>
      <c r="I1881">
        <v>-29.990400000000001</v>
      </c>
      <c r="J1881">
        <v>139.68199999999999</v>
      </c>
      <c r="K1881" t="str">
        <f>HYPERLINK("https://sarigdata.pir.sa.gov.au/nvcl/NVCLDataServices/mosaic.html?datasetid=5a91b545-69f0-422e-ac75-befd7667783","153649_DD92MW1_Core Image")</f>
        <v>153649_DD92MW1_Core Image</v>
      </c>
    </row>
    <row r="1882" spans="1:11" x14ac:dyDescent="0.25">
      <c r="A1882" t="str">
        <f>HYPERLINK("http://www.corstruth.com.au/SA/154534_PDD3_cs.png","154534_PDD3_A4")</f>
        <v>154534_PDD3_A4</v>
      </c>
      <c r="B1882" t="str">
        <f>HYPERLINK("http://www.corstruth.com.au/SA/PNG2/154534_PDD3_cs.png","154534_PDD3_0.25m Bins")</f>
        <v>154534_PDD3_0.25m Bins</v>
      </c>
      <c r="C1882" t="str">
        <f>HYPERLINK("http://www.corstruth.com.au/SA/CSV/154534_PDD3.csv","154534_PDD3_CSV File 1m Bins")</f>
        <v>154534_PDD3_CSV File 1m Bins</v>
      </c>
      <c r="D1882">
        <v>154534</v>
      </c>
      <c r="E1882" t="s">
        <v>2163</v>
      </c>
      <c r="F1882" t="str">
        <f>HYPERLINK("https://drillhole.pir.sa.gov.au/Details.aspx?DRILLHOLE_NO=154534","Geol Survey Link")</f>
        <v>Geol Survey Link</v>
      </c>
      <c r="I1882">
        <v>-29.985600000000002</v>
      </c>
      <c r="J1882">
        <v>139.708</v>
      </c>
      <c r="K1882" t="str">
        <f>HYPERLINK("https://sarigdata.pir.sa.gov.au/nvcl/NVCLDataServices/mosaic.html?datasetid=10439393-4473-436f-8996-8497bd2f159","154534_PDD3_Core Image")</f>
        <v>154534_PDD3_Core Image</v>
      </c>
    </row>
    <row r="1883" spans="1:11" x14ac:dyDescent="0.25">
      <c r="A1883" t="str">
        <f>HYPERLINK("http://www.corstruth.com.au/SA/154534_PDD3_Parabarana_cs.png","154534_PDD3_Parabarana_A4")</f>
        <v>154534_PDD3_Parabarana_A4</v>
      </c>
      <c r="D1883">
        <v>154534</v>
      </c>
      <c r="E1883" t="s">
        <v>2163</v>
      </c>
      <c r="F1883" t="str">
        <f>HYPERLINK("https://drillhole.pir.sa.gov.au/Details.aspx?DRILLHOLE_NO=154534","Geol Survey Link")</f>
        <v>Geol Survey Link</v>
      </c>
      <c r="I1883">
        <v>-29.985600000000002</v>
      </c>
      <c r="J1883">
        <v>139.708</v>
      </c>
      <c r="K1883" t="str">
        <f>HYPERLINK("https://sarigdata.pir.sa.gov.au/nvcl/NVCLDataServices/mosaic.html?datasetid=10439393-4473-436f-8996-8497bd2f159","154534_PDD3_Parabarana_Core Image")</f>
        <v>154534_PDD3_Parabarana_Core Image</v>
      </c>
    </row>
    <row r="1884" spans="1:11" x14ac:dyDescent="0.25">
      <c r="A1884" t="str">
        <f>HYPERLINK("http://www.corstruth.com.au/SA/154664_Pindari1_cs.png","154664_Pindari1_A4")</f>
        <v>154664_Pindari1_A4</v>
      </c>
      <c r="B1884" t="str">
        <f>HYPERLINK("http://www.corstruth.com.au/SA/PNG2/154664_Pindari1_cs.png","154664_Pindari1_0.25m Bins")</f>
        <v>154664_Pindari1_0.25m Bins</v>
      </c>
      <c r="C1884" t="str">
        <f>HYPERLINK("http://www.corstruth.com.au/SA/CSV/154664_Pindari1.csv","154664_Pindari1_CSV File 1m Bins")</f>
        <v>154664_Pindari1_CSV File 1m Bins</v>
      </c>
      <c r="D1884">
        <v>154664</v>
      </c>
      <c r="E1884" t="s">
        <v>2163</v>
      </c>
      <c r="F1884" t="str">
        <f>HYPERLINK("https://drillhole.pir.sa.gov.au/Details.aspx?DRILLHOLE_NO=154664","Geol Survey Link")</f>
        <v>Geol Survey Link</v>
      </c>
      <c r="I1884">
        <v>-33.408799999999999</v>
      </c>
      <c r="J1884">
        <v>136.38200000000001</v>
      </c>
      <c r="K1884" t="str">
        <f>HYPERLINK("https://sarigdata.pir.sa.gov.au/nvcl/NVCLDataServices/mosaic.html?datasetid=8d51cac4-9bfc-4e6f-98bc-ff5d54315cf","154664_Pindari1_Core Image")</f>
        <v>154664_Pindari1_Core Image</v>
      </c>
    </row>
    <row r="1885" spans="1:11" x14ac:dyDescent="0.25">
      <c r="A1885" t="str">
        <f>HYPERLINK("http://www.corstruth.com.au/SA/154665_Pindari2_cs.png","154665_Pindari2_A4")</f>
        <v>154665_Pindari2_A4</v>
      </c>
      <c r="D1885">
        <v>154665</v>
      </c>
      <c r="E1885" t="s">
        <v>2163</v>
      </c>
      <c r="F1885" t="str">
        <f>HYPERLINK("https://drillhole.pir.sa.gov.au/Details.aspx?DRILLHOLE_NO=154665","Geol Survey Link")</f>
        <v>Geol Survey Link</v>
      </c>
      <c r="I1885">
        <v>-33.410699999999999</v>
      </c>
      <c r="J1885">
        <v>136.38399999999999</v>
      </c>
      <c r="K1885" t="str">
        <f>HYPERLINK("https://sarigdata.pir.sa.gov.au/nvcl/NVCLDataServices/mosaic.html?datasetid=f55bbea6-fb00-431a-bab6-7d35350a0be","154665_Pindari2_Core Image")</f>
        <v>154665_Pindari2_Core Image</v>
      </c>
    </row>
    <row r="1886" spans="1:11" x14ac:dyDescent="0.25">
      <c r="A1886" t="str">
        <f>HYPERLINK("http://www.corstruth.com.au/SA/154674_Honeymoon_H5C_cs.png","154674_Honeymoon_H5C_A4")</f>
        <v>154674_Honeymoon_H5C_A4</v>
      </c>
      <c r="D1886">
        <v>154674</v>
      </c>
      <c r="E1886" t="s">
        <v>2163</v>
      </c>
      <c r="F1886" t="str">
        <f>HYPERLINK("https://drillhole.pir.sa.gov.au/Details.aspx?DRILLHOLE_NO=154674","Geol Survey Link")</f>
        <v>Geol Survey Link</v>
      </c>
      <c r="I1886">
        <v>-31.7408</v>
      </c>
      <c r="J1886">
        <v>140.66399999999999</v>
      </c>
    </row>
    <row r="1887" spans="1:11" x14ac:dyDescent="0.25">
      <c r="A1887" t="str">
        <f>HYPERLINK("http://www.corstruth.com.au/SA/155559_77MTDD1_cs.png","155559_77MTDD1_A4")</f>
        <v>155559_77MTDD1_A4</v>
      </c>
      <c r="B1887" t="str">
        <f>HYPERLINK("http://www.corstruth.com.au/SA/PNG2/155559_77MTDD1_cs.png","155559_77MTDD1_0.25m Bins")</f>
        <v>155559_77MTDD1_0.25m Bins</v>
      </c>
      <c r="C1887" t="str">
        <f>HYPERLINK("http://www.corstruth.com.au/SA/CSV/155559_77MTDD1.csv","155559_77MTDD1_CSV File 1m Bins")</f>
        <v>155559_77MTDD1_CSV File 1m Bins</v>
      </c>
      <c r="D1887">
        <v>155559</v>
      </c>
      <c r="E1887" t="s">
        <v>2163</v>
      </c>
      <c r="F1887" t="str">
        <f>HYPERLINK("https://drillhole.pir.sa.gov.au/Details.aspx?DRILLHOLE_NO=155559","Geol Survey Link")</f>
        <v>Geol Survey Link</v>
      </c>
      <c r="I1887">
        <v>-34.888599999999997</v>
      </c>
      <c r="J1887">
        <v>139.00700000000001</v>
      </c>
      <c r="K1887" t="str">
        <f>HYPERLINK("https://sarigdata.pir.sa.gov.au/nvcl/NVCLDataServices/mosaic.html?datasetid=817cc223-fa59-429c-9e80-71844b7b4ea","155559_77MTDD1_Core Image")</f>
        <v>155559_77MTDD1_Core Image</v>
      </c>
    </row>
    <row r="1888" spans="1:11" x14ac:dyDescent="0.25">
      <c r="A1888" t="str">
        <f>HYPERLINK("http://www.corstruth.com.au/SA/155560_77MTDD2_cs.png","155560_77MTDD2_A4")</f>
        <v>155560_77MTDD2_A4</v>
      </c>
      <c r="B1888" t="str">
        <f>HYPERLINK("http://www.corstruth.com.au/SA/PNG2/155560_77MTDD2_cs.png","155560_77MTDD2_0.25m Bins")</f>
        <v>155560_77MTDD2_0.25m Bins</v>
      </c>
      <c r="C1888" t="str">
        <f>HYPERLINK("http://www.corstruth.com.au/SA/CSV/155560_77MTDD2.csv","155560_77MTDD2_CSV File 1m Bins")</f>
        <v>155560_77MTDD2_CSV File 1m Bins</v>
      </c>
      <c r="D1888">
        <v>155560</v>
      </c>
      <c r="E1888" t="s">
        <v>2163</v>
      </c>
      <c r="F1888" t="str">
        <f>HYPERLINK("https://drillhole.pir.sa.gov.au/Details.aspx?DRILLHOLE_NO=155560","Geol Survey Link")</f>
        <v>Geol Survey Link</v>
      </c>
      <c r="I1888">
        <v>-34.885800000000003</v>
      </c>
      <c r="J1888">
        <v>139.00700000000001</v>
      </c>
      <c r="K1888" t="str">
        <f>HYPERLINK("https://sarigdata.pir.sa.gov.au/nvcl/NVCLDataServices/mosaic.html?datasetid=7153c3d2-44c8-4f5c-9578-f508965072c","155560_77MTDD2_Core Image")</f>
        <v>155560_77MTDD2_Core Image</v>
      </c>
    </row>
    <row r="1889" spans="1:11" x14ac:dyDescent="0.25">
      <c r="A1889" t="str">
        <f>HYPERLINK("http://www.corstruth.com.au/SA/155561_77MTDD3_cs.png","155561_77MTDD3_A4")</f>
        <v>155561_77MTDD3_A4</v>
      </c>
      <c r="B1889" t="str">
        <f>HYPERLINK("http://www.corstruth.com.au/SA/PNG2/155561_77MTDD3_cs.png","155561_77MTDD3_0.25m Bins")</f>
        <v>155561_77MTDD3_0.25m Bins</v>
      </c>
      <c r="C1889" t="str">
        <f>HYPERLINK("http://www.corstruth.com.au/SA/CSV/155561_77MTDD3.csv","155561_77MTDD3_CSV File 1m Bins")</f>
        <v>155561_77MTDD3_CSV File 1m Bins</v>
      </c>
      <c r="D1889">
        <v>155561</v>
      </c>
      <c r="E1889" t="s">
        <v>2163</v>
      </c>
      <c r="F1889" t="str">
        <f>HYPERLINK("https://drillhole.pir.sa.gov.au/Details.aspx?DRILLHOLE_NO=155561","Geol Survey Link")</f>
        <v>Geol Survey Link</v>
      </c>
      <c r="I1889">
        <v>-34.890700000000002</v>
      </c>
      <c r="J1889">
        <v>139.00800000000001</v>
      </c>
      <c r="K1889" t="str">
        <f>HYPERLINK("https://sarigdata.pir.sa.gov.au/nvcl/NVCLDataServices/mosaic.html?datasetid=f27fe753-531f-433b-811d-5d7c66a2f9c","155561_77MTDD3_Core Image")</f>
        <v>155561_77MTDD3_Core Image</v>
      </c>
    </row>
    <row r="1890" spans="1:11" x14ac:dyDescent="0.25">
      <c r="A1890" t="str">
        <f>HYPERLINK("http://www.corstruth.com.au/SA/155562_77MTDD4_cs.png","155562_77MTDD4_A4")</f>
        <v>155562_77MTDD4_A4</v>
      </c>
      <c r="B1890" t="str">
        <f>HYPERLINK("http://www.corstruth.com.au/SA/PNG2/155562_77MTDD4_cs.png","155562_77MTDD4_0.25m Bins")</f>
        <v>155562_77MTDD4_0.25m Bins</v>
      </c>
      <c r="C1890" t="str">
        <f>HYPERLINK("http://www.corstruth.com.au/SA/CSV/155562_77MTDD4.csv","155562_77MTDD4_CSV File 1m Bins")</f>
        <v>155562_77MTDD4_CSV File 1m Bins</v>
      </c>
      <c r="D1890">
        <v>155562</v>
      </c>
      <c r="E1890" t="s">
        <v>2163</v>
      </c>
      <c r="F1890" t="str">
        <f>HYPERLINK("https://drillhole.pir.sa.gov.au/Details.aspx?DRILLHOLE_NO=155562","Geol Survey Link")</f>
        <v>Geol Survey Link</v>
      </c>
      <c r="I1890">
        <v>-34.888599999999997</v>
      </c>
      <c r="J1890">
        <v>139.00800000000001</v>
      </c>
      <c r="K1890" t="str">
        <f>HYPERLINK("https://sarigdata.pir.sa.gov.au/nvcl/NVCLDataServices/mosaic.html?datasetid=c62ba4c7-77f6-4b7c-928e-6f9f2440d7a","155562_77MTDD4_Core Image")</f>
        <v>155562_77MTDD4_Core Image</v>
      </c>
    </row>
    <row r="1891" spans="1:11" x14ac:dyDescent="0.25">
      <c r="A1891" t="str">
        <f>HYPERLINK("http://www.corstruth.com.au/SA/155563_77MTDD5_cs.png","155563_77MTDD5_A4")</f>
        <v>155563_77MTDD5_A4</v>
      </c>
      <c r="B1891" t="str">
        <f>HYPERLINK("http://www.corstruth.com.au/SA/PNG2/155563_77MTDD5_cs.png","155563_77MTDD5_0.25m Bins")</f>
        <v>155563_77MTDD5_0.25m Bins</v>
      </c>
      <c r="C1891" t="str">
        <f>HYPERLINK("http://www.corstruth.com.au/SA/CSV/155563_77MTDD5.csv","155563_77MTDD5_CSV File 1m Bins")</f>
        <v>155563_77MTDD5_CSV File 1m Bins</v>
      </c>
      <c r="D1891">
        <v>155563</v>
      </c>
      <c r="E1891" t="s">
        <v>2163</v>
      </c>
      <c r="F1891" t="str">
        <f>HYPERLINK("https://drillhole.pir.sa.gov.au/Details.aspx?DRILLHOLE_NO=155563","Geol Survey Link")</f>
        <v>Geol Survey Link</v>
      </c>
      <c r="I1891">
        <v>-34.8872</v>
      </c>
      <c r="J1891">
        <v>139.00800000000001</v>
      </c>
      <c r="K1891" t="str">
        <f>HYPERLINK("https://sarigdata.pir.sa.gov.au/nvcl/NVCLDataServices/mosaic.html?datasetid=a4d3607d-a7e5-4468-aa15-8505e4713f9","155563_77MTDD5_Core Image")</f>
        <v>155563_77MTDD5_Core Image</v>
      </c>
    </row>
    <row r="1892" spans="1:11" x14ac:dyDescent="0.25">
      <c r="A1892" t="str">
        <f>HYPERLINK("http://www.corstruth.com.au/SA/155564_77MTDD6_cs.png","155564_77MTDD6_A4")</f>
        <v>155564_77MTDD6_A4</v>
      </c>
      <c r="B1892" t="str">
        <f>HYPERLINK("http://www.corstruth.com.au/SA/PNG2/155564_77MTDD6_cs.png","155564_77MTDD6_0.25m Bins")</f>
        <v>155564_77MTDD6_0.25m Bins</v>
      </c>
      <c r="C1892" t="str">
        <f>HYPERLINK("http://www.corstruth.com.au/SA/CSV/155564_77MTDD6.csv","155564_77MTDD6_CSV File 1m Bins")</f>
        <v>155564_77MTDD6_CSV File 1m Bins</v>
      </c>
      <c r="D1892">
        <v>155564</v>
      </c>
      <c r="E1892" t="s">
        <v>2163</v>
      </c>
      <c r="F1892" t="str">
        <f>HYPERLINK("https://drillhole.pir.sa.gov.au/Details.aspx?DRILLHOLE_NO=155564","Geol Survey Link")</f>
        <v>Geol Survey Link</v>
      </c>
      <c r="I1892">
        <v>-34.889800000000001</v>
      </c>
      <c r="J1892">
        <v>139.00899999999999</v>
      </c>
      <c r="K1892" t="str">
        <f>HYPERLINK("https://sarigdata.pir.sa.gov.au/nvcl/NVCLDataServices/mosaic.html?datasetid=9dd855a2-a6c4-423f-b0e5-9f3baa30aca","155564_77MTDD6_Core Image")</f>
        <v>155564_77MTDD6_Core Image</v>
      </c>
    </row>
    <row r="1893" spans="1:11" x14ac:dyDescent="0.25">
      <c r="A1893" t="str">
        <f>HYPERLINK("http://www.corstruth.com.au/SA/155579_DD84KA1_cs.png","155579_DD84KA1_A4")</f>
        <v>155579_DD84KA1_A4</v>
      </c>
      <c r="B1893" t="str">
        <f>HYPERLINK("http://www.corstruth.com.au/SA/PNG2/155579_DD84KA1_cs.png","155579_DD84KA1_0.25m Bins")</f>
        <v>155579_DD84KA1_0.25m Bins</v>
      </c>
      <c r="C1893" t="str">
        <f>HYPERLINK("http://www.corstruth.com.au/SA/CSV/155579_DD84KA1.csv","155579_DD84KA1_CSV File 1m Bins")</f>
        <v>155579_DD84KA1_CSV File 1m Bins</v>
      </c>
      <c r="D1893">
        <v>155579</v>
      </c>
      <c r="E1893" t="s">
        <v>2163</v>
      </c>
      <c r="F1893" t="str">
        <f>HYPERLINK("https://drillhole.pir.sa.gov.au/Details.aspx?DRILLHOLE_NO=155579","Geol Survey Link")</f>
        <v>Geol Survey Link</v>
      </c>
      <c r="I1893">
        <v>-34.897500000000001</v>
      </c>
      <c r="J1893">
        <v>139.01</v>
      </c>
      <c r="K1893" t="str">
        <f>HYPERLINK("https://sarigdata.pir.sa.gov.au/nvcl/NVCLDataServices/mosaic.html?datasetid=b9b658c5-5881-447f-955e-b59a6319431","155579_DD84KA1_Core Image")</f>
        <v>155579_DD84KA1_Core Image</v>
      </c>
    </row>
    <row r="1894" spans="1:11" x14ac:dyDescent="0.25">
      <c r="A1894" t="str">
        <f>HYPERLINK("http://www.corstruth.com.au/SA/155580_DD84KA2_cs.png","155580_DD84KA2_A4")</f>
        <v>155580_DD84KA2_A4</v>
      </c>
      <c r="B1894" t="str">
        <f>HYPERLINK("http://www.corstruth.com.au/SA/PNG2/155580_DD84KA2_cs.png","155580_DD84KA2_0.25m Bins")</f>
        <v>155580_DD84KA2_0.25m Bins</v>
      </c>
      <c r="C1894" t="str">
        <f>HYPERLINK("http://www.corstruth.com.au/SA/CSV/155580_DD84KA2.csv","155580_DD84KA2_CSV File 1m Bins")</f>
        <v>155580_DD84KA2_CSV File 1m Bins</v>
      </c>
      <c r="D1894">
        <v>155580</v>
      </c>
      <c r="E1894" t="s">
        <v>2163</v>
      </c>
      <c r="F1894" t="str">
        <f>HYPERLINK("https://drillhole.pir.sa.gov.au/Details.aspx?DRILLHOLE_NO=155580","Geol Survey Link")</f>
        <v>Geol Survey Link</v>
      </c>
      <c r="I1894">
        <v>-34.893900000000002</v>
      </c>
      <c r="J1894">
        <v>139.00899999999999</v>
      </c>
      <c r="K1894" t="str">
        <f>HYPERLINK("https://sarigdata.pir.sa.gov.au/nvcl/NVCLDataServices/mosaic.html?datasetid=1bd70b15-4215-44f4-b5bf-9e50e7c47ee","155580_DD84KA2_Core Image")</f>
        <v>155580_DD84KA2_Core Image</v>
      </c>
    </row>
    <row r="1895" spans="1:11" x14ac:dyDescent="0.25">
      <c r="A1895" t="str">
        <f>HYPERLINK("http://www.corstruth.com.au/SA/155581_DD84KA3_cs.png","155581_DD84KA3_A4")</f>
        <v>155581_DD84KA3_A4</v>
      </c>
      <c r="B1895" t="str">
        <f>HYPERLINK("http://www.corstruth.com.au/SA/PNG2/155581_DD84KA3_cs.png","155581_DD84KA3_0.25m Bins")</f>
        <v>155581_DD84KA3_0.25m Bins</v>
      </c>
      <c r="C1895" t="str">
        <f>HYPERLINK("http://www.corstruth.com.au/SA/CSV/155581_DD84KA3.csv","155581_DD84KA3_CSV File 1m Bins")</f>
        <v>155581_DD84KA3_CSV File 1m Bins</v>
      </c>
      <c r="D1895">
        <v>155581</v>
      </c>
      <c r="E1895" t="s">
        <v>2163</v>
      </c>
      <c r="F1895" t="str">
        <f>HYPERLINK("https://drillhole.pir.sa.gov.au/Details.aspx?DRILLHOLE_NO=155581","Geol Survey Link")</f>
        <v>Geol Survey Link</v>
      </c>
      <c r="I1895">
        <v>-34.882199999999997</v>
      </c>
      <c r="J1895">
        <v>139.00800000000001</v>
      </c>
      <c r="K1895" t="str">
        <f>HYPERLINK("https://sarigdata.pir.sa.gov.au/nvcl/NVCLDataServices/mosaic.html?datasetid=9a9eb819-19db-4749-bd62-a80b11f7ef1","155581_DD84KA3_Core Image")</f>
        <v>155581_DD84KA3_Core Image</v>
      </c>
    </row>
    <row r="1896" spans="1:11" x14ac:dyDescent="0.25">
      <c r="A1896" t="str">
        <f>HYPERLINK("http://www.corstruth.com.au/SA/1575_Wilkinson1_cs.png","1575_Wilkinson1_A4")</f>
        <v>1575_Wilkinson1_A4</v>
      </c>
      <c r="B1896" t="str">
        <f>HYPERLINK("http://www.corstruth.com.au/SA/PNG2/1575_Wilkinson1_cs.png","1575_Wilkinson1_0.25m Bins")</f>
        <v>1575_Wilkinson1_0.25m Bins</v>
      </c>
      <c r="C1896" t="str">
        <f>HYPERLINK("http://www.corstruth.com.au/SA/CSV/1575_Wilkinson1.csv","1575_Wilkinson1_CSV File 1m Bins")</f>
        <v>1575_Wilkinson1_CSV File 1m Bins</v>
      </c>
      <c r="D1896">
        <v>1575</v>
      </c>
      <c r="E1896" t="s">
        <v>2163</v>
      </c>
      <c r="F1896" t="str">
        <f>HYPERLINK("https://drillhole.pir.sa.gov.au/Details.aspx?DRILLHOLE_NO=1575","Geol Survey Link")</f>
        <v>Geol Survey Link</v>
      </c>
      <c r="I1896">
        <v>-29.867000000000001</v>
      </c>
      <c r="J1896">
        <v>132.55199999999999</v>
      </c>
      <c r="K1896" t="str">
        <f>HYPERLINK("https://sarigdata.pir.sa.gov.au/nvcl/NVCLDataServices/mosaic.html?datasetid=3ce34b5a-bbff-452d-a680-c239b7bda93","1575_Wilkinson1_Core Image")</f>
        <v>1575_Wilkinson1_Core Image</v>
      </c>
    </row>
    <row r="1897" spans="1:11" x14ac:dyDescent="0.25">
      <c r="A1897" t="str">
        <f>HYPERLINK("http://www.corstruth.com.au/SA/1586_OBD6_cs.png","1586_OBD6_A4")</f>
        <v>1586_OBD6_A4</v>
      </c>
      <c r="B1897" t="str">
        <f>HYPERLINK("http://www.corstruth.com.au/SA/PNG2/1586_OBD6_cs.png","1586_OBD6_0.25m Bins")</f>
        <v>1586_OBD6_0.25m Bins</v>
      </c>
      <c r="C1897" t="str">
        <f>HYPERLINK("http://www.corstruth.com.au/SA/CSV/1586_OBD6.csv","1586_OBD6_CSV File 1m Bins")</f>
        <v>1586_OBD6_CSV File 1m Bins</v>
      </c>
      <c r="D1897">
        <v>1586</v>
      </c>
      <c r="E1897" t="s">
        <v>2163</v>
      </c>
      <c r="F1897" t="str">
        <f>HYPERLINK("https://drillhole.pir.sa.gov.au/Details.aspx?DRILLHOLE_NO=1586","Geol Survey Link")</f>
        <v>Geol Survey Link</v>
      </c>
      <c r="I1897">
        <v>-29.292999999999999</v>
      </c>
      <c r="J1897">
        <v>132.53399999999999</v>
      </c>
      <c r="K1897" t="str">
        <f>HYPERLINK("https://sarigdata.pir.sa.gov.au/nvcl/NVCLDataServices/mosaic.html?datasetid=f1a05f08-f1c9-4f0f-8364-3fb8695758c","1586_OBD6_Core Image")</f>
        <v>1586_OBD6_Core Image</v>
      </c>
    </row>
    <row r="1898" spans="1:11" x14ac:dyDescent="0.25">
      <c r="A1898" t="str">
        <f>HYPERLINK("http://www.corstruth.com.au/SA/1588_OBD7_cs.png","1588_OBD7_A4")</f>
        <v>1588_OBD7_A4</v>
      </c>
      <c r="B1898" t="str">
        <f>HYPERLINK("http://www.corstruth.com.au/SA/PNG2/1588_OBD7_cs.png","1588_OBD7_0.25m Bins")</f>
        <v>1588_OBD7_0.25m Bins</v>
      </c>
      <c r="C1898" t="str">
        <f>HYPERLINK("http://www.corstruth.com.au/SA/CSV/1588_OBD7.csv","1588_OBD7_CSV File 1m Bins")</f>
        <v>1588_OBD7_CSV File 1m Bins</v>
      </c>
      <c r="D1898">
        <v>1588</v>
      </c>
      <c r="E1898" t="s">
        <v>2163</v>
      </c>
      <c r="F1898" t="str">
        <f>HYPERLINK("https://drillhole.pir.sa.gov.au/Details.aspx?DRILLHOLE_NO=1588","Geol Survey Link")</f>
        <v>Geol Survey Link</v>
      </c>
      <c r="I1898">
        <v>-29.283100000000001</v>
      </c>
      <c r="J1898">
        <v>132.506</v>
      </c>
      <c r="K1898" t="str">
        <f>HYPERLINK("https://sarigdata.pir.sa.gov.au/nvcl/NVCLDataServices/mosaic.html?datasetid=1547a7f6-4326-48d5-a47f-6613ed973e6","1588_OBD7_Core Image")</f>
        <v>1588_OBD7_Core Image</v>
      </c>
    </row>
    <row r="1899" spans="1:11" x14ac:dyDescent="0.25">
      <c r="A1899" t="str">
        <f>HYPERLINK("http://www.corstruth.com.au/SA/159267_MUT_MM4_cs.png","159267_MUT_MM4_A4")</f>
        <v>159267_MUT_MM4_A4</v>
      </c>
      <c r="D1899">
        <v>159267</v>
      </c>
      <c r="E1899" t="s">
        <v>2163</v>
      </c>
      <c r="F1899" t="str">
        <f>HYPERLINK("https://drillhole.pir.sa.gov.au/Details.aspx?DRILLHOLE_NO=159267","Geol Survey Link")</f>
        <v>Geol Survey Link</v>
      </c>
      <c r="I1899">
        <v>-32.2545</v>
      </c>
      <c r="J1899">
        <v>140.93100000000001</v>
      </c>
    </row>
    <row r="1900" spans="1:11" x14ac:dyDescent="0.25">
      <c r="A1900" t="str">
        <f>HYPERLINK("http://www.corstruth.com.au/SA/159268_MUT_MM5_cs.png","159268_MUT_MM5_A4")</f>
        <v>159268_MUT_MM5_A4</v>
      </c>
      <c r="D1900">
        <v>159268</v>
      </c>
      <c r="E1900" t="s">
        <v>2163</v>
      </c>
      <c r="F1900" t="str">
        <f>HYPERLINK("https://drillhole.pir.sa.gov.au/Details.aspx?DRILLHOLE_NO=159268","Geol Survey Link")</f>
        <v>Geol Survey Link</v>
      </c>
      <c r="I1900">
        <v>-32.255699999999997</v>
      </c>
      <c r="J1900">
        <v>140.93</v>
      </c>
    </row>
    <row r="1901" spans="1:11" x14ac:dyDescent="0.25">
      <c r="A1901" t="str">
        <f>HYPERLINK("http://www.corstruth.com.au/SA/159269_MUT_MM7_cs.png","159269_MUT_MM7_A4")</f>
        <v>159269_MUT_MM7_A4</v>
      </c>
      <c r="D1901">
        <v>159269</v>
      </c>
      <c r="E1901" t="s">
        <v>2163</v>
      </c>
      <c r="F1901" t="str">
        <f>HYPERLINK("https://drillhole.pir.sa.gov.au/Details.aspx?DRILLHOLE_NO=159269","Geol Survey Link")</f>
        <v>Geol Survey Link</v>
      </c>
      <c r="I1901">
        <v>-32.253900000000002</v>
      </c>
      <c r="J1901">
        <v>140.929</v>
      </c>
    </row>
    <row r="1902" spans="1:11" x14ac:dyDescent="0.25">
      <c r="A1902" t="str">
        <f>HYPERLINK("http://www.corstruth.com.au/SA/1592_OBD9_cs.png","1592_OBD9_A4")</f>
        <v>1592_OBD9_A4</v>
      </c>
      <c r="B1902" t="str">
        <f>HYPERLINK("http://www.corstruth.com.au/SA/PNG2/1592_OBD9_cs.png","1592_OBD9_0.25m Bins")</f>
        <v>1592_OBD9_0.25m Bins</v>
      </c>
      <c r="C1902" t="str">
        <f>HYPERLINK("http://www.corstruth.com.au/SA/CSV/1592_OBD9.csv","1592_OBD9_CSV File 1m Bins")</f>
        <v>1592_OBD9_CSV File 1m Bins</v>
      </c>
      <c r="D1902">
        <v>1592</v>
      </c>
      <c r="E1902" t="s">
        <v>2163</v>
      </c>
      <c r="F1902" t="str">
        <f>HYPERLINK("https://drillhole.pir.sa.gov.au/Details.aspx?DRILLHOLE_NO=1592","Geol Survey Link")</f>
        <v>Geol Survey Link</v>
      </c>
      <c r="I1902">
        <v>-28.8291</v>
      </c>
      <c r="J1902">
        <v>132.88200000000001</v>
      </c>
      <c r="K1902" t="str">
        <f>HYPERLINK("https://sarigdata.pir.sa.gov.au/nvcl/NVCLDataServices/mosaic.html?datasetid=61eb956b-2351-4049-9156-1f84a5bf6b7","1592_OBD9_Core Image")</f>
        <v>1592_OBD9_Core Image</v>
      </c>
    </row>
    <row r="1903" spans="1:11" x14ac:dyDescent="0.25">
      <c r="A1903" t="str">
        <f>HYPERLINK("http://www.corstruth.com.au/SA/15954_Broadview_1_cs.png","15954_Broadview_1_A4")</f>
        <v>15954_Broadview_1_A4</v>
      </c>
      <c r="B1903" t="str">
        <f>HYPERLINK("http://www.corstruth.com.au/SA/PNG2/15954_Broadview_1_cs.png","15954_Broadview_1_0.25m Bins")</f>
        <v>15954_Broadview_1_0.25m Bins</v>
      </c>
      <c r="C1903" t="str">
        <f>HYPERLINK("http://www.corstruth.com.au/SA/CSV/15954_Broadview_1.csv","15954_Broadview_1_CSV File 1m Bins")</f>
        <v>15954_Broadview_1_CSV File 1m Bins</v>
      </c>
      <c r="D1903">
        <v>15954</v>
      </c>
      <c r="E1903" t="s">
        <v>2163</v>
      </c>
      <c r="F1903" t="str">
        <f>HYPERLINK("https://drillhole.pir.sa.gov.au/Details.aspx?DRILLHOLE_NO=15954","Geol Survey Link")</f>
        <v>Geol Survey Link</v>
      </c>
      <c r="I1903">
        <v>-33.414999999999999</v>
      </c>
      <c r="J1903">
        <v>136.32300000000001</v>
      </c>
      <c r="K1903" t="str">
        <f>HYPERLINK("https://sarigdata.pir.sa.gov.au/nvcl/NVCLDataServices/mosaic.html?datasetid=dca81c29-e5e5-4385-8735-f0260186128","15954_Broadview_1_Core Image")</f>
        <v>15954_Broadview_1_Core Image</v>
      </c>
    </row>
    <row r="1904" spans="1:11" x14ac:dyDescent="0.25">
      <c r="A1904" t="str">
        <f>HYPERLINK("http://www.corstruth.com.au/SA/161403_BRD2_BlackRangeSprings_cs.png","161403_BRD2_BlackRangeSprings_A4")</f>
        <v>161403_BRD2_BlackRangeSprings_A4</v>
      </c>
      <c r="D1904">
        <v>161403</v>
      </c>
      <c r="E1904" t="s">
        <v>2163</v>
      </c>
      <c r="F1904" t="str">
        <f>HYPERLINK("https://drillhole.pir.sa.gov.au/Details.aspx?DRILLHOLE_NO=161403","Geol Survey Link")</f>
        <v>Geol Survey Link</v>
      </c>
      <c r="I1904">
        <v>-30.7578</v>
      </c>
      <c r="J1904">
        <v>138.70500000000001</v>
      </c>
      <c r="K1904" t="str">
        <f>HYPERLINK("https://sarigdata.pir.sa.gov.au/nvcl/NVCLDataServices/mosaic.html?datasetid=0f86adc2-7e66-489b-a640-b1ba208969a","161403_BRD2_BlackRangeSprings_Core Image")</f>
        <v>161403_BRD2_BlackRangeSprings_Core Image</v>
      </c>
    </row>
    <row r="1905" spans="1:11" x14ac:dyDescent="0.25">
      <c r="A1905" t="str">
        <f>HYPERLINK("http://www.corstruth.com.au/SA/161976_Redman1_cs.png","161976_Redman1_A4")</f>
        <v>161976_Redman1_A4</v>
      </c>
      <c r="B1905" t="str">
        <f>HYPERLINK("http://www.corstruth.com.au/SA/PNG2/161976_Redman1_cs.png","161976_Redman1_0.25m Bins")</f>
        <v>161976_Redman1_0.25m Bins</v>
      </c>
      <c r="C1905" t="str">
        <f>HYPERLINK("http://www.corstruth.com.au/SA/CSV/161976_Redman1.csv","161976_Redman1_CSV File 1m Bins")</f>
        <v>161976_Redman1_CSV File 1m Bins</v>
      </c>
      <c r="D1905">
        <v>161976</v>
      </c>
      <c r="E1905" t="s">
        <v>2163</v>
      </c>
      <c r="F1905" t="str">
        <f>HYPERLINK("https://drillhole.pir.sa.gov.au/Details.aspx?DRILLHOLE_NO=161976","Geol Survey Link")</f>
        <v>Geol Survey Link</v>
      </c>
      <c r="I1905">
        <v>-37.430599999999998</v>
      </c>
      <c r="J1905">
        <v>140.76300000000001</v>
      </c>
      <c r="K1905" t="str">
        <f>HYPERLINK("https://sarigdata.pir.sa.gov.au/nvcl/NVCLDataServices/mosaic.html?datasetid=e56e0e3b-d524-4a4e-a58e-6e8c5a1f16e","161976_Redman1_Core Image")</f>
        <v>161976_Redman1_Core Image</v>
      </c>
    </row>
    <row r="1906" spans="1:11" x14ac:dyDescent="0.25">
      <c r="A1906" t="str">
        <f>HYPERLINK("http://www.corstruth.com.au/SA/162302_RD41_cs.png","162302_RD41_A4")</f>
        <v>162302_RD41_A4</v>
      </c>
      <c r="B1906" t="str">
        <f>HYPERLINK("http://www.corstruth.com.au/SA/PNG2/162302_RD41_cs.png","162302_RD41_0.25m Bins")</f>
        <v>162302_RD41_0.25m Bins</v>
      </c>
      <c r="C1906" t="str">
        <f>HYPERLINK("http://www.corstruth.com.au/SA/CSV/162302_RD41.csv","162302_RD41_CSV File 1m Bins")</f>
        <v>162302_RD41_CSV File 1m Bins</v>
      </c>
      <c r="D1906">
        <v>162302</v>
      </c>
      <c r="E1906" t="s">
        <v>2163</v>
      </c>
      <c r="F1906" t="str">
        <f>HYPERLINK("https://drillhole.pir.sa.gov.au/Details.aspx?DRILLHOLE_NO=162302","Geol Survey Link")</f>
        <v>Geol Survey Link</v>
      </c>
      <c r="I1906">
        <v>-30.4544</v>
      </c>
      <c r="J1906">
        <v>136.91</v>
      </c>
      <c r="K1906" t="str">
        <f>HYPERLINK("https://sarigdata.pir.sa.gov.au/nvcl/NVCLDataServices/mosaic.html?datasetid=cc25edb5-54cf-43e6-bfdc-d294cda66fa","162302_RD41_Core Image")</f>
        <v>162302_RD41_Core Image</v>
      </c>
    </row>
    <row r="1907" spans="1:11" x14ac:dyDescent="0.25">
      <c r="A1907" t="str">
        <f>HYPERLINK("http://www.corstruth.com.au/SA/162321_RD81_cs.png","162321_RD81_A4")</f>
        <v>162321_RD81_A4</v>
      </c>
      <c r="B1907" t="str">
        <f>HYPERLINK("http://www.corstruth.com.au/SA/PNG2/162321_RD81_cs.png","162321_RD81_0.25m Bins")</f>
        <v>162321_RD81_0.25m Bins</v>
      </c>
      <c r="C1907" t="str">
        <f>HYPERLINK("http://www.corstruth.com.au/SA/CSV/162321_RD81.csv","162321_RD81_CSV File 1m Bins")</f>
        <v>162321_RD81_CSV File 1m Bins</v>
      </c>
      <c r="D1907">
        <v>162321</v>
      </c>
      <c r="E1907" t="s">
        <v>2163</v>
      </c>
      <c r="F1907" t="str">
        <f>HYPERLINK("https://drillhole.pir.sa.gov.au/Details.aspx?DRILLHOLE_NO=162321","Geol Survey Link")</f>
        <v>Geol Survey Link</v>
      </c>
      <c r="I1907">
        <v>-30.427700000000002</v>
      </c>
      <c r="J1907">
        <v>136.86000000000001</v>
      </c>
      <c r="K1907" t="str">
        <f>HYPERLINK("https://sarigdata.pir.sa.gov.au/nvcl/NVCLDataServices/mosaic.html?datasetid=a6a3a16b-94b6-4b83-8498-60c5cd6a9fc","162321_RD81_Core Image")</f>
        <v>162321_RD81_Core Image</v>
      </c>
    </row>
    <row r="1908" spans="1:11" x14ac:dyDescent="0.25">
      <c r="A1908" t="str">
        <f>HYPERLINK("http://www.corstruth.com.au/SA/162407_RD307A_cs.png","162407_RD307A_A4")</f>
        <v>162407_RD307A_A4</v>
      </c>
      <c r="B1908" t="str">
        <f>HYPERLINK("http://www.corstruth.com.au/SA/PNG2/162407_RD307A_cs.png","162407_RD307A_0.25m Bins")</f>
        <v>162407_RD307A_0.25m Bins</v>
      </c>
      <c r="C1908" t="str">
        <f>HYPERLINK("http://www.corstruth.com.au/SA/CSV/162407_RD307A.csv","162407_RD307A_CSV File 1m Bins")</f>
        <v>162407_RD307A_CSV File 1m Bins</v>
      </c>
      <c r="D1908">
        <v>162407</v>
      </c>
      <c r="E1908" t="s">
        <v>2163</v>
      </c>
      <c r="F1908" t="str">
        <f>HYPERLINK("https://drillhole.pir.sa.gov.au/Details.aspx?DRILLHOLE_NO=162407","Geol Survey Link")</f>
        <v>Geol Survey Link</v>
      </c>
      <c r="I1908">
        <v>-30.4452</v>
      </c>
      <c r="J1908">
        <v>136.84800000000001</v>
      </c>
    </row>
    <row r="1909" spans="1:11" x14ac:dyDescent="0.25">
      <c r="A1909" t="str">
        <f>HYPERLINK("http://www.corstruth.com.au/SA/162408_RD308_cs.png","162408_RD308_A4")</f>
        <v>162408_RD308_A4</v>
      </c>
      <c r="B1909" t="str">
        <f>HYPERLINK("http://www.corstruth.com.au/SA/PNG2/162408_RD308_cs.png","162408_RD308_0.25m Bins")</f>
        <v>162408_RD308_0.25m Bins</v>
      </c>
      <c r="C1909" t="str">
        <f>HYPERLINK("http://www.corstruth.com.au/SA/CSV/162408_RD308.csv","162408_RD308_CSV File 1m Bins")</f>
        <v>162408_RD308_CSV File 1m Bins</v>
      </c>
      <c r="D1909">
        <v>162408</v>
      </c>
      <c r="E1909" t="s">
        <v>2163</v>
      </c>
      <c r="F1909" t="str">
        <f>HYPERLINK("https://drillhole.pir.sa.gov.au/Details.aspx?DRILLHOLE_NO=162408","Geol Survey Link")</f>
        <v>Geol Survey Link</v>
      </c>
      <c r="I1909">
        <v>-30.438099999999999</v>
      </c>
      <c r="J1909">
        <v>136.846</v>
      </c>
      <c r="K1909" t="str">
        <f>HYPERLINK("https://sarigdata.pir.sa.gov.au/nvcl/NVCLDataServices/mosaic.html?datasetid=5c815842-1de6-42d2-b17f-2f606d9ac05","162408_RD308_Core Image")</f>
        <v>162408_RD308_Core Image</v>
      </c>
    </row>
    <row r="1910" spans="1:11" x14ac:dyDescent="0.25">
      <c r="A1910" t="str">
        <f>HYPERLINK("http://www.corstruth.com.au/SA/162429_RD502_cs.png","162429_RD502_A4")</f>
        <v>162429_RD502_A4</v>
      </c>
      <c r="B1910" t="str">
        <f>HYPERLINK("http://www.corstruth.com.au/SA/PNG2/162429_RD502_cs.png","162429_RD502_0.25m Bins")</f>
        <v>162429_RD502_0.25m Bins</v>
      </c>
      <c r="C1910" t="str">
        <f>HYPERLINK("http://www.corstruth.com.au/SA/CSV/162429_RD502.csv","162429_RD502_CSV File 1m Bins")</f>
        <v>162429_RD502_CSV File 1m Bins</v>
      </c>
      <c r="D1910">
        <v>162429</v>
      </c>
      <c r="E1910" t="s">
        <v>2163</v>
      </c>
      <c r="F1910" t="str">
        <f>HYPERLINK("https://drillhole.pir.sa.gov.au/Details.aspx?DRILLHOLE_NO=162429","Geol Survey Link")</f>
        <v>Geol Survey Link</v>
      </c>
      <c r="I1910">
        <v>-30.431100000000001</v>
      </c>
      <c r="J1910">
        <v>136.84399999999999</v>
      </c>
      <c r="K1910" t="str">
        <f>HYPERLINK("https://sarigdata.pir.sa.gov.au/nvcl/NVCLDataServices/mosaic.html?datasetid=97b5e143-fba4-4092-bbe7-0dee2d5e821","162429_RD502_Core Image")</f>
        <v>162429_RD502_Core Image</v>
      </c>
    </row>
    <row r="1911" spans="1:11" x14ac:dyDescent="0.25">
      <c r="A1911" t="str">
        <f>HYPERLINK("http://www.corstruth.com.au/SA/162430_RD503_cs.png","162430_RD503_A4")</f>
        <v>162430_RD503_A4</v>
      </c>
      <c r="B1911" t="str">
        <f>HYPERLINK("http://www.corstruth.com.au/SA/PNG2/162430_RD503_cs.png","162430_RD503_0.25m Bins")</f>
        <v>162430_RD503_0.25m Bins</v>
      </c>
      <c r="C1911" t="str">
        <f>HYPERLINK("http://www.corstruth.com.au/SA/CSV/162430_RD503.csv","162430_RD503_CSV File 1m Bins")</f>
        <v>162430_RD503_CSV File 1m Bins</v>
      </c>
      <c r="D1911">
        <v>162430</v>
      </c>
      <c r="E1911" t="s">
        <v>2163</v>
      </c>
      <c r="F1911" t="str">
        <f>HYPERLINK("https://drillhole.pir.sa.gov.au/Details.aspx?DRILLHOLE_NO=162430","Geol Survey Link")</f>
        <v>Geol Survey Link</v>
      </c>
      <c r="I1911">
        <v>-30.424099999999999</v>
      </c>
      <c r="J1911">
        <v>136.84200000000001</v>
      </c>
      <c r="K1911" t="str">
        <f>HYPERLINK("https://sarigdata.pir.sa.gov.au/nvcl/NVCLDataServices/mosaic.html?datasetid=95c9c240-e8e6-48c4-8f7c-4e38fbfc4d9","162430_RD503_Core Image")</f>
        <v>162430_RD503_Core Image</v>
      </c>
    </row>
    <row r="1912" spans="1:11" x14ac:dyDescent="0.25">
      <c r="A1912" t="str">
        <f>HYPERLINK("http://www.corstruth.com.au/SA/16443_MH1_BHP_DDH1_cs.png","16443_MH1_BHP_DDH1_A4")</f>
        <v>16443_MH1_BHP_DDH1_A4</v>
      </c>
      <c r="D1912">
        <v>16443</v>
      </c>
      <c r="E1912" t="s">
        <v>2163</v>
      </c>
      <c r="F1912" t="str">
        <f>HYPERLINK("https://drillhole.pir.sa.gov.au/Details.aspx?DRILLHOLE_NO=16443","Geol Survey Link")</f>
        <v>Geol Survey Link</v>
      </c>
      <c r="I1912">
        <v>-31.726099999999999</v>
      </c>
      <c r="J1912">
        <v>136.32</v>
      </c>
      <c r="K1912" t="str">
        <f>HYPERLINK("https://sarigdata.pir.sa.gov.au/nvcl/NVCLDataServices/mosaic.html?datasetid=8a0c524f-31cd-459d-b06f-cdf5f32879e","16443_MH1_BHP_DDH1_Core Image")</f>
        <v>16443_MH1_BHP_DDH1_Core Image</v>
      </c>
    </row>
    <row r="1913" spans="1:11" x14ac:dyDescent="0.25">
      <c r="A1913" t="str">
        <f>HYPERLINK("http://www.corstruth.com.au/SA/16447_KGB4_AFMECO_cs.png","16447_KGB4_AFMECO_A4")</f>
        <v>16447_KGB4_AFMECO_A4</v>
      </c>
      <c r="D1913">
        <v>16447</v>
      </c>
      <c r="E1913" t="s">
        <v>2163</v>
      </c>
      <c r="F1913" t="str">
        <f>HYPERLINK("https://drillhole.pir.sa.gov.au/Details.aspx?DRILLHOLE_NO=16447","Geol Survey Link")</f>
        <v>Geol Survey Link</v>
      </c>
      <c r="I1913">
        <v>-31.549299999999999</v>
      </c>
      <c r="J1913">
        <v>136.39699999999999</v>
      </c>
      <c r="K1913" t="str">
        <f>HYPERLINK("https://sarigdata.pir.sa.gov.au/nvcl/NVCLDataServices/mosaic.html?datasetid=9e1ba3e2-093f-4c9b-bf40-7b083b2ac99","16447_KGB4_AFMECO_Core Image")</f>
        <v>16447_KGB4_AFMECO_Core Image</v>
      </c>
    </row>
    <row r="1914" spans="1:11" x14ac:dyDescent="0.25">
      <c r="A1914" t="str">
        <f>HYPERLINK("http://www.corstruth.com.au/SA/165046_EB_SAE7_cs.png","165046_EB_SAE7_A4")</f>
        <v>165046_EB_SAE7_A4</v>
      </c>
      <c r="D1914">
        <v>165046</v>
      </c>
      <c r="E1914" t="s">
        <v>2163</v>
      </c>
      <c r="F1914" t="str">
        <f>HYPERLINK("https://drillhole.pir.sa.gov.au/Details.aspx?DRILLHOLE_NO=165046","Geol Survey Link")</f>
        <v>Geol Survey Link</v>
      </c>
      <c r="I1914">
        <v>-31.126999999999999</v>
      </c>
      <c r="J1914">
        <v>137.11600000000001</v>
      </c>
      <c r="K1914" t="str">
        <f>HYPERLINK("https://sarigdata.pir.sa.gov.au/nvcl/NVCLDataServices/mosaic.html?datasetid=11973c41-0b24-4f7e-9c48-7d6efb31b25","165046_EB_SAE7_Core Image")</f>
        <v>165046_EB_SAE7_Core Image</v>
      </c>
    </row>
    <row r="1915" spans="1:11" x14ac:dyDescent="0.25">
      <c r="A1915" t="str">
        <f>HYPERLINK("http://www.corstruth.com.au/SA/165046_SAE7_cs.png","165046_SAE7_A4")</f>
        <v>165046_SAE7_A4</v>
      </c>
      <c r="B1915" t="str">
        <f>HYPERLINK("http://www.corstruth.com.au/SA/PNG2/165046_SAE7_cs.png","165046_SAE7_0.25m Bins")</f>
        <v>165046_SAE7_0.25m Bins</v>
      </c>
      <c r="C1915" t="str">
        <f>HYPERLINK("http://www.corstruth.com.au/SA/CSV/165046_SAE7.csv","165046_SAE7_CSV File 1m Bins")</f>
        <v>165046_SAE7_CSV File 1m Bins</v>
      </c>
      <c r="D1915">
        <v>165046</v>
      </c>
      <c r="E1915" t="s">
        <v>2163</v>
      </c>
      <c r="F1915" t="str">
        <f>HYPERLINK("https://drillhole.pir.sa.gov.au/Details.aspx?DRILLHOLE_NO=165046","Geol Survey Link")</f>
        <v>Geol Survey Link</v>
      </c>
      <c r="I1915">
        <v>-31.126899999999999</v>
      </c>
      <c r="J1915">
        <v>137.11600000000001</v>
      </c>
      <c r="K1915" t="str">
        <f>HYPERLINK("https://sarigdata.pir.sa.gov.au/nvcl/NVCLDataServices/mosaic.html?datasetid=11973c41-0b24-4f7e-9c48-7d6efb31b25","165046_SAE7_Core Image")</f>
        <v>165046_SAE7_Core Image</v>
      </c>
    </row>
    <row r="1916" spans="1:11" x14ac:dyDescent="0.25">
      <c r="A1916" t="str">
        <f>HYPERLINK("http://www.corstruth.com.au/SA/165047_EB_SAE8_cs.png","165047_EB_SAE8_A4")</f>
        <v>165047_EB_SAE8_A4</v>
      </c>
      <c r="D1916">
        <v>165047</v>
      </c>
      <c r="E1916" t="s">
        <v>2163</v>
      </c>
      <c r="F1916" t="str">
        <f>HYPERLINK("https://drillhole.pir.sa.gov.au/Details.aspx?DRILLHOLE_NO=165047","Geol Survey Link")</f>
        <v>Geol Survey Link</v>
      </c>
      <c r="I1916">
        <v>-31.1874</v>
      </c>
      <c r="J1916">
        <v>137.185</v>
      </c>
      <c r="K1916" t="str">
        <f>HYPERLINK("https://sarigdata.pir.sa.gov.au/nvcl/NVCLDataServices/mosaic.html?datasetid=9a0f1bbd-fcc3-481d-80a8-ce8e70beaab","165047_EB_SAE8_Core Image")</f>
        <v>165047_EB_SAE8_Core Image</v>
      </c>
    </row>
    <row r="1917" spans="1:11" x14ac:dyDescent="0.25">
      <c r="A1917" t="str">
        <f>HYPERLINK("http://www.corstruth.com.au/SA/165070_EB_SAE9_cs.png","165070_EB_SAE9_A4")</f>
        <v>165070_EB_SAE9_A4</v>
      </c>
      <c r="D1917">
        <v>165070</v>
      </c>
      <c r="E1917" t="s">
        <v>2163</v>
      </c>
      <c r="F1917" t="str">
        <f>HYPERLINK("https://drillhole.pir.sa.gov.au/Details.aspx?DRILLHOLE_NO=165070","Geol Survey Link")</f>
        <v>Geol Survey Link</v>
      </c>
      <c r="I1917">
        <v>-31.078600000000002</v>
      </c>
      <c r="J1917">
        <v>137.22</v>
      </c>
      <c r="K1917" t="str">
        <f>HYPERLINK("https://sarigdata.pir.sa.gov.au/nvcl/NVCLDataServices/mosaic.html?datasetid=9121d33c-4598-4d7a-9ccf-5bad2d3d2f8","165070_EB_SAE9_Core Image")</f>
        <v>165070_EB_SAE9_Core Image</v>
      </c>
    </row>
    <row r="1918" spans="1:11" x14ac:dyDescent="0.25">
      <c r="A1918" t="str">
        <f>HYPERLINK("http://www.corstruth.com.au/SA/165071_EB_SAE10_cs.png","165071_EB_SAE10_A4")</f>
        <v>165071_EB_SAE10_A4</v>
      </c>
      <c r="D1918">
        <v>165071</v>
      </c>
      <c r="E1918" t="s">
        <v>2163</v>
      </c>
      <c r="F1918" t="str">
        <f>HYPERLINK("https://drillhole.pir.sa.gov.au/Details.aspx?DRILLHOLE_NO=165071","Geol Survey Link")</f>
        <v>Geol Survey Link</v>
      </c>
      <c r="I1918">
        <v>-31.185600000000001</v>
      </c>
      <c r="J1918">
        <v>137.28899999999999</v>
      </c>
      <c r="K1918" t="str">
        <f>HYPERLINK("https://sarigdata.pir.sa.gov.au/nvcl/NVCLDataServices/mosaic.html?datasetid=7e505fa3-9f77-47e4-85fc-679d2f2648e","165071_EB_SAE10_Core Image")</f>
        <v>165071_EB_SAE10_Core Image</v>
      </c>
    </row>
    <row r="1919" spans="1:11" x14ac:dyDescent="0.25">
      <c r="A1919" t="str">
        <f>HYPERLINK("http://www.corstruth.com.au/SA/165125_EB_SAE11_cs.png","165125_EB_SAE11_A4")</f>
        <v>165125_EB_SAE11_A4</v>
      </c>
      <c r="B1919" t="str">
        <f>HYPERLINK("http://www.corstruth.com.au/SA/PNG2/165125_EB_SAE11_cs.png","165125_EB_SAE11_0.25m Bins")</f>
        <v>165125_EB_SAE11_0.25m Bins</v>
      </c>
      <c r="C1919" t="str">
        <f>HYPERLINK("http://www.corstruth.com.au/SA/CSV/165125_EB_SAE11.csv","165125_EB_SAE11_CSV File 1m Bins")</f>
        <v>165125_EB_SAE11_CSV File 1m Bins</v>
      </c>
      <c r="D1919">
        <v>165125</v>
      </c>
      <c r="E1919" t="s">
        <v>2163</v>
      </c>
      <c r="F1919" t="str">
        <f>HYPERLINK("https://drillhole.pir.sa.gov.au/Details.aspx?DRILLHOLE_NO=165125","Geol Survey Link")</f>
        <v>Geol Survey Link</v>
      </c>
      <c r="I1919">
        <v>-31.0732</v>
      </c>
      <c r="J1919">
        <v>136.93799999999999</v>
      </c>
      <c r="K1919" t="str">
        <f>HYPERLINK("https://sarigdata.pir.sa.gov.au/nvcl/NVCLDataServices/mosaic.html?datasetid=8442ee68-b1ad-4189-8770-daeedb0d3f1","165125_EB_SAE11_Core Image")</f>
        <v>165125_EB_SAE11_Core Image</v>
      </c>
    </row>
    <row r="1920" spans="1:11" x14ac:dyDescent="0.25">
      <c r="A1920" t="str">
        <f>HYPERLINK("http://www.corstruth.com.au/SA/165157_SAE12_cs.png","165157_SAE12_A4")</f>
        <v>165157_SAE12_A4</v>
      </c>
      <c r="B1920" t="str">
        <f>HYPERLINK("http://www.corstruth.com.au/SA/PNG2/165157_SAE12_cs.png","165157_SAE12_0.25m Bins")</f>
        <v>165157_SAE12_0.25m Bins</v>
      </c>
      <c r="C1920" t="str">
        <f>HYPERLINK("http://www.corstruth.com.au/SA/CSV/165157_SAE12.csv","165157_SAE12_CSV File 1m Bins")</f>
        <v>165157_SAE12_CSV File 1m Bins</v>
      </c>
      <c r="D1920">
        <v>165157</v>
      </c>
      <c r="E1920" t="s">
        <v>2163</v>
      </c>
      <c r="F1920" t="str">
        <f>HYPERLINK("https://drillhole.pir.sa.gov.au/Details.aspx?DRILLHOLE_NO=165157","Geol Survey Link")</f>
        <v>Geol Survey Link</v>
      </c>
      <c r="I1920">
        <v>-31.114699999999999</v>
      </c>
      <c r="J1920">
        <v>137.15899999999999</v>
      </c>
      <c r="K1920" t="str">
        <f>HYPERLINK("https://sarigdata.pir.sa.gov.au/nvcl/NVCLDataServices/mosaic.html?datasetid=3bcf13b6-7f36-41e7-aade-1060556edb4","165157_SAE12_Core Image")</f>
        <v>165157_SAE12_Core Image</v>
      </c>
    </row>
    <row r="1921" spans="1:11" x14ac:dyDescent="0.25">
      <c r="A1921" t="str">
        <f>HYPERLINK("http://www.corstruth.com.au/SA/165368_EB_SAE13_cs.png","165368_EB_SAE13_A4")</f>
        <v>165368_EB_SAE13_A4</v>
      </c>
      <c r="B1921" t="str">
        <f>HYPERLINK("http://www.corstruth.com.au/SA/PNG2/165368_EB_SAE13_cs.png","165368_EB_SAE13_0.25m Bins")</f>
        <v>165368_EB_SAE13_0.25m Bins</v>
      </c>
      <c r="C1921" t="str">
        <f>HYPERLINK("http://www.corstruth.com.au/SA/CSV/165368_EB_SAE13.csv","165368_EB_SAE13_CSV File 1m Bins")</f>
        <v>165368_EB_SAE13_CSV File 1m Bins</v>
      </c>
      <c r="D1921">
        <v>165368</v>
      </c>
      <c r="E1921" t="s">
        <v>2163</v>
      </c>
      <c r="F1921" t="str">
        <f>HYPERLINK("https://drillhole.pir.sa.gov.au/Details.aspx?DRILLHOLE_NO=165368","Geol Survey Link")</f>
        <v>Geol Survey Link</v>
      </c>
      <c r="I1921">
        <v>-31.1038</v>
      </c>
      <c r="J1921">
        <v>137.16999999999999</v>
      </c>
      <c r="K1921" t="str">
        <f>HYPERLINK("https://sarigdata.pir.sa.gov.au/nvcl/NVCLDataServices/mosaic.html?datasetid=ab0a2273-3afa-4d49-b811-d73da4dd825","165368_EB_SAE13_Core Image")</f>
        <v>165368_EB_SAE13_Core Image</v>
      </c>
    </row>
    <row r="1922" spans="1:11" x14ac:dyDescent="0.25">
      <c r="A1922" t="str">
        <f>HYPERLINK("http://www.corstruth.com.au/SA/165372_SAE15_cs.png","165372_SAE15_A4")</f>
        <v>165372_SAE15_A4</v>
      </c>
      <c r="B1922" t="str">
        <f>HYPERLINK("http://www.corstruth.com.au/SA/PNG2/165372_SAE15_cs.png","165372_SAE15_0.25m Bins")</f>
        <v>165372_SAE15_0.25m Bins</v>
      </c>
      <c r="C1922" t="str">
        <f>HYPERLINK("http://www.corstruth.com.au/SA/CSV/165372_SAE15.csv","165372_SAE15_CSV File 1m Bins")</f>
        <v>165372_SAE15_CSV File 1m Bins</v>
      </c>
      <c r="D1922">
        <v>165372</v>
      </c>
      <c r="E1922" t="s">
        <v>2163</v>
      </c>
      <c r="F1922" t="str">
        <f>HYPERLINK("https://drillhole.pir.sa.gov.au/Details.aspx?DRILLHOLE_NO=165372","Geol Survey Link")</f>
        <v>Geol Survey Link</v>
      </c>
      <c r="I1922">
        <v>-31.104700000000001</v>
      </c>
      <c r="J1922">
        <v>137.14400000000001</v>
      </c>
      <c r="K1922" t="str">
        <f>HYPERLINK("https://sarigdata.pir.sa.gov.au/nvcl/NVCLDataServices/mosaic.html?datasetid=f04853c7-c9eb-44fa-a033-a6cdbb4ab42","165372_SAE15_Core Image")</f>
        <v>165372_SAE15_Core Image</v>
      </c>
    </row>
    <row r="1923" spans="1:11" x14ac:dyDescent="0.25">
      <c r="A1923" t="str">
        <f>HYPERLINK("http://www.corstruth.com.au/SA/165448_SAE17_cs.png","165448_SAE17_A4")</f>
        <v>165448_SAE17_A4</v>
      </c>
      <c r="B1923" t="str">
        <f>HYPERLINK("http://www.corstruth.com.au/SA/PNG2/165448_SAE17_cs.png","165448_SAE17_0.25m Bins")</f>
        <v>165448_SAE17_0.25m Bins</v>
      </c>
      <c r="C1923" t="str">
        <f>HYPERLINK("http://www.corstruth.com.au/SA/CSV/165448_SAE17.csv","165448_SAE17_CSV File 1m Bins")</f>
        <v>165448_SAE17_CSV File 1m Bins</v>
      </c>
      <c r="D1923">
        <v>165448</v>
      </c>
      <c r="E1923" t="s">
        <v>2163</v>
      </c>
      <c r="F1923" t="str">
        <f>HYPERLINK("https://drillhole.pir.sa.gov.au/Details.aspx?DRILLHOLE_NO=165448","Geol Survey Link")</f>
        <v>Geol Survey Link</v>
      </c>
      <c r="I1923">
        <v>-31.118300000000001</v>
      </c>
      <c r="J1923">
        <v>137.16499999999999</v>
      </c>
      <c r="K1923" t="str">
        <f>HYPERLINK("https://sarigdata.pir.sa.gov.au/nvcl/NVCLDataServices/mosaic.html?datasetid=9462448b-dd7d-49a0-9406-47a987be7b1","165448_SAE17_Core Image")</f>
        <v>165448_SAE17_Core Image</v>
      </c>
    </row>
    <row r="1924" spans="1:11" x14ac:dyDescent="0.25">
      <c r="A1924" t="str">
        <f>HYPERLINK("http://www.corstruth.com.au/SA/16546_LH_1_cs.png","16546_LH_1_A4")</f>
        <v>16546_LH_1_A4</v>
      </c>
      <c r="D1924">
        <v>16546</v>
      </c>
      <c r="E1924" t="s">
        <v>2163</v>
      </c>
      <c r="F1924" t="str">
        <f>HYPERLINK("https://drillhole.pir.sa.gov.au/Details.aspx?DRILLHOLE_NO=16546","Geol Survey Link")</f>
        <v>Geol Survey Link</v>
      </c>
      <c r="I1924">
        <v>-31.226299999999998</v>
      </c>
      <c r="J1924">
        <v>136.47</v>
      </c>
      <c r="K1924" t="str">
        <f>HYPERLINK("https://sarigdata.pir.sa.gov.au/nvcl/NVCLDataServices/mosaic.html?datasetid=3a12a87e-d54f-4171-b917-b5d7ef9682d","16546_LH_1_Core Image")</f>
        <v>16546_LH_1_Core Image</v>
      </c>
    </row>
    <row r="1925" spans="1:11" x14ac:dyDescent="0.25">
      <c r="A1925" t="str">
        <f>HYPERLINK("http://www.corstruth.com.au/SA/16547_LH_2_cs.png","16547_LH_2_A4")</f>
        <v>16547_LH_2_A4</v>
      </c>
      <c r="D1925">
        <v>16547</v>
      </c>
      <c r="E1925" t="s">
        <v>2163</v>
      </c>
      <c r="F1925" t="str">
        <f>HYPERLINK("https://drillhole.pir.sa.gov.au/Details.aspx?DRILLHOLE_NO=16547","Geol Survey Link")</f>
        <v>Geol Survey Link</v>
      </c>
      <c r="I1925">
        <v>-31.290199999999999</v>
      </c>
      <c r="J1925">
        <v>136.24600000000001</v>
      </c>
      <c r="K1925" t="str">
        <f>HYPERLINK("https://sarigdata.pir.sa.gov.au/nvcl/NVCLDataServices/mosaic.html?datasetid=98039016-64b4-4a99-ba81-fc86544ed65","16547_LH_2_Core Image")</f>
        <v>16547_LH_2_Core Image</v>
      </c>
    </row>
    <row r="1926" spans="1:11" x14ac:dyDescent="0.25">
      <c r="A1926" t="str">
        <f>HYPERLINK("http://www.corstruth.com.au/SA/165487_SAE18_cs.png","165487_SAE18_A4")</f>
        <v>165487_SAE18_A4</v>
      </c>
      <c r="B1926" t="str">
        <f>HYPERLINK("http://www.corstruth.com.au/SA/PNG2/165487_SAE18_cs.png","165487_SAE18_0.25m Bins")</f>
        <v>165487_SAE18_0.25m Bins</v>
      </c>
      <c r="C1926" t="str">
        <f>HYPERLINK("http://www.corstruth.com.au/SA/CSV/165487_SAE18.csv","165487_SAE18_CSV File 1m Bins")</f>
        <v>165487_SAE18_CSV File 1m Bins</v>
      </c>
      <c r="D1926">
        <v>165487</v>
      </c>
      <c r="E1926" t="s">
        <v>2163</v>
      </c>
      <c r="F1926" t="str">
        <f>HYPERLINK("https://drillhole.pir.sa.gov.au/Details.aspx?DRILLHOLE_NO=165487","Geol Survey Link")</f>
        <v>Geol Survey Link</v>
      </c>
      <c r="I1926">
        <v>-31.1175</v>
      </c>
      <c r="J1926">
        <v>137.16499999999999</v>
      </c>
      <c r="K1926" t="str">
        <f>HYPERLINK("https://sarigdata.pir.sa.gov.au/nvcl/NVCLDataServices/mosaic.html?datasetid=3172f112-3189-4d26-9028-c901f785106","165487_SAE18_Core Image")</f>
        <v>165487_SAE18_Core Image</v>
      </c>
    </row>
    <row r="1927" spans="1:11" x14ac:dyDescent="0.25">
      <c r="A1927" t="str">
        <f>HYPERLINK("http://www.corstruth.com.au/SA/165488_SAE19_cs.png","165488_SAE19_A4")</f>
        <v>165488_SAE19_A4</v>
      </c>
      <c r="B1927" t="str">
        <f>HYPERLINK("http://www.corstruth.com.au/SA/PNG2/165488_SAE19_cs.png","165488_SAE19_0.25m Bins")</f>
        <v>165488_SAE19_0.25m Bins</v>
      </c>
      <c r="C1927" t="str">
        <f>HYPERLINK("http://www.corstruth.com.au/SA/CSV/165488_SAE19.csv","165488_SAE19_CSV File 1m Bins")</f>
        <v>165488_SAE19_CSV File 1m Bins</v>
      </c>
      <c r="D1927">
        <v>165488</v>
      </c>
      <c r="E1927" t="s">
        <v>2163</v>
      </c>
      <c r="F1927" t="str">
        <f>HYPERLINK("https://drillhole.pir.sa.gov.au/Details.aspx?DRILLHOLE_NO=165488","Geol Survey Link")</f>
        <v>Geol Survey Link</v>
      </c>
      <c r="I1927">
        <v>-31.116099999999999</v>
      </c>
      <c r="J1927">
        <v>137.166</v>
      </c>
      <c r="K1927" t="str">
        <f>HYPERLINK("https://sarigdata.pir.sa.gov.au/nvcl/NVCLDataServices/mosaic.html?datasetid=56921935-3122-49ba-95cf-766e0e7f764","165488_SAE19_Core Image")</f>
        <v>165488_SAE19_Core Image</v>
      </c>
    </row>
    <row r="1928" spans="1:11" x14ac:dyDescent="0.25">
      <c r="A1928" t="str">
        <f>HYPERLINK("http://www.corstruth.com.au/SA/165489_SAE20_cs.png","165489_SAE20_A4")</f>
        <v>165489_SAE20_A4</v>
      </c>
      <c r="B1928" t="str">
        <f>HYPERLINK("http://www.corstruth.com.au/SA/PNG2/165489_SAE20_cs.png","165489_SAE20_0.25m Bins")</f>
        <v>165489_SAE20_0.25m Bins</v>
      </c>
      <c r="C1928" t="str">
        <f>HYPERLINK("http://www.corstruth.com.au/SA/CSV/165489_SAE20.csv","165489_SAE20_CSV File 1m Bins")</f>
        <v>165489_SAE20_CSV File 1m Bins</v>
      </c>
      <c r="D1928">
        <v>165489</v>
      </c>
      <c r="E1928" t="s">
        <v>2163</v>
      </c>
      <c r="F1928" t="str">
        <f>HYPERLINK("https://drillhole.pir.sa.gov.au/Details.aspx?DRILLHOLE_NO=165489","Geol Survey Link")</f>
        <v>Geol Survey Link</v>
      </c>
      <c r="I1928">
        <v>-31.1188</v>
      </c>
      <c r="J1928">
        <v>137.16399999999999</v>
      </c>
      <c r="K1928" t="str">
        <f>HYPERLINK("https://sarigdata.pir.sa.gov.au/nvcl/NVCLDataServices/mosaic.html?datasetid=0955546e-14dd-4bb0-a9eb-4812e46282e","165489_SAE20_Core Image")</f>
        <v>165489_SAE20_Core Image</v>
      </c>
    </row>
    <row r="1929" spans="1:11" x14ac:dyDescent="0.25">
      <c r="A1929" t="str">
        <f>HYPERLINK("http://www.corstruth.com.au/SA/165490_AC94CW6_cs.png","165490_AC94CW6_A4")</f>
        <v>165490_AC94CW6_A4</v>
      </c>
      <c r="B1929" t="str">
        <f>HYPERLINK("http://www.corstruth.com.au/SA/PNG2/165490_AC94CW6_cs.png","165490_AC94CW6_0.25m Bins")</f>
        <v>165490_AC94CW6_0.25m Bins</v>
      </c>
      <c r="C1929" t="str">
        <f>HYPERLINK("http://www.corstruth.com.au/SA/CSV/165490_AC94CW6.csv","165490_AC94CW6_CSV File 1m Bins")</f>
        <v>165490_AC94CW6_CSV File 1m Bins</v>
      </c>
      <c r="D1929">
        <v>165490</v>
      </c>
      <c r="E1929" t="s">
        <v>2163</v>
      </c>
      <c r="F1929" t="str">
        <f>HYPERLINK("https://drillhole.pir.sa.gov.au/Details.aspx?DRILLHOLE_NO=165490","Geol Survey Link")</f>
        <v>Geol Survey Link</v>
      </c>
      <c r="I1929">
        <v>-31.197700000000001</v>
      </c>
      <c r="J1929">
        <v>136.14400000000001</v>
      </c>
      <c r="K1929" t="str">
        <f>HYPERLINK("https://sarigdata.pir.sa.gov.au/nvcl/NVCLDataServices/mosaic.html?datasetid=e4a568f4-4a06-4a1c-9a3f-00dc8e8c027","165490_AC94CW6_Core Image")</f>
        <v>165490_AC94CW6_Core Image</v>
      </c>
    </row>
    <row r="1930" spans="1:11" x14ac:dyDescent="0.25">
      <c r="A1930" t="str">
        <f>HYPERLINK("http://www.corstruth.com.au/SA/165516_AC95EH26_cs.png","165516_AC95EH26_A4")</f>
        <v>165516_AC95EH26_A4</v>
      </c>
      <c r="B1930" t="str">
        <f>HYPERLINK("http://www.corstruth.com.au/SA/PNG2/165516_AC95EH26_cs.png","165516_AC95EH26_0.25m Bins")</f>
        <v>165516_AC95EH26_0.25m Bins</v>
      </c>
      <c r="C1930" t="str">
        <f>HYPERLINK("http://www.corstruth.com.au/SA/CSV/165516_AC95EH26.csv","165516_AC95EH26_CSV File 1m Bins")</f>
        <v>165516_AC95EH26_CSV File 1m Bins</v>
      </c>
      <c r="D1930">
        <v>165516</v>
      </c>
      <c r="E1930" t="s">
        <v>2163</v>
      </c>
      <c r="F1930" t="str">
        <f>HYPERLINK("https://drillhole.pir.sa.gov.au/Details.aspx?DRILLHOLE_NO=165516","Geol Survey Link")</f>
        <v>Geol Survey Link</v>
      </c>
      <c r="I1930">
        <v>-29.821200000000001</v>
      </c>
      <c r="J1930">
        <v>139.62</v>
      </c>
      <c r="K1930" t="str">
        <f>HYPERLINK("https://sarigdata.pir.sa.gov.au/nvcl/NVCLDataServices/mosaic.html?datasetid=5637b1a7-3640-403b-b79c-5040cf476af","165516_AC95EH26_Core Image")</f>
        <v>165516_AC95EH26_Core Image</v>
      </c>
    </row>
    <row r="1931" spans="1:11" x14ac:dyDescent="0.25">
      <c r="A1931" t="str">
        <f>HYPERLINK("http://www.corstruth.com.au/SA/165527_Gunsight_GD10_cs.png","165527_Gunsight_GD10_A4")</f>
        <v>165527_Gunsight_GD10_A4</v>
      </c>
      <c r="B1931" t="str">
        <f>HYPERLINK("http://www.corstruth.com.au/SA/PNG2/165527_Gunsight_GD10_cs.png","165527_Gunsight_GD10_0.25m Bins")</f>
        <v>165527_Gunsight_GD10_0.25m Bins</v>
      </c>
      <c r="C1931" t="str">
        <f>HYPERLINK("http://www.corstruth.com.au/SA/CSV/165527_Gunsight_GD10.csv","165527_Gunsight_GD10_CSV File 1m Bins")</f>
        <v>165527_Gunsight_GD10_CSV File 1m Bins</v>
      </c>
      <c r="D1931">
        <v>165527</v>
      </c>
      <c r="E1931" t="s">
        <v>2163</v>
      </c>
      <c r="F1931" t="str">
        <f>HYPERLINK("https://drillhole.pir.sa.gov.au/Details.aspx?DRILLHOLE_NO=165527","Geol Survey Link")</f>
        <v>Geol Survey Link</v>
      </c>
      <c r="I1931">
        <v>-29.999300000000002</v>
      </c>
      <c r="J1931">
        <v>139.655</v>
      </c>
      <c r="K1931" t="str">
        <f>HYPERLINK("https://sarigdata.pir.sa.gov.au/nvcl/NVCLDataServices/mosaic.html?datasetid=ccd49ac6-c500-443e-b38e-6d56f69151b","165527_Gunsight_GD10_Core Image")</f>
        <v>165527_Gunsight_GD10_Core Image</v>
      </c>
    </row>
    <row r="1932" spans="1:11" x14ac:dyDescent="0.25">
      <c r="A1932" t="str">
        <f>HYPERLINK("http://www.corstruth.com.au/SA/165529_SAE21_cs.png","165529_SAE21_A4")</f>
        <v>165529_SAE21_A4</v>
      </c>
      <c r="B1932" t="str">
        <f>HYPERLINK("http://www.corstruth.com.au/SA/PNG2/165529_SAE21_cs.png","165529_SAE21_0.25m Bins")</f>
        <v>165529_SAE21_0.25m Bins</v>
      </c>
      <c r="C1932" t="str">
        <f>HYPERLINK("http://www.corstruth.com.au/SA/CSV/165529_SAE21.csv","165529_SAE21_CSV File 1m Bins")</f>
        <v>165529_SAE21_CSV File 1m Bins</v>
      </c>
      <c r="D1932">
        <v>165529</v>
      </c>
      <c r="E1932" t="s">
        <v>2163</v>
      </c>
      <c r="F1932" t="str">
        <f>HYPERLINK("https://drillhole.pir.sa.gov.au/Details.aspx?DRILLHOLE_NO=165529","Geol Survey Link")</f>
        <v>Geol Survey Link</v>
      </c>
      <c r="I1932">
        <v>-31.109100000000002</v>
      </c>
      <c r="J1932">
        <v>137.15799999999999</v>
      </c>
      <c r="K1932" t="str">
        <f>HYPERLINK("https://sarigdata.pir.sa.gov.au/nvcl/NVCLDataServices/mosaic.html?datasetid=df4a33a0-663a-42e3-8810-ace42a847ce","165529_SAE21_Core Image")</f>
        <v>165529_SAE21_Core Image</v>
      </c>
    </row>
    <row r="1933" spans="1:11" x14ac:dyDescent="0.25">
      <c r="A1933" t="str">
        <f>HYPERLINK("http://www.corstruth.com.au/SA/165530_SAE22_cs.png","165530_SAE22_A4")</f>
        <v>165530_SAE22_A4</v>
      </c>
      <c r="B1933" t="str">
        <f>HYPERLINK("http://www.corstruth.com.au/SA/PNG2/165530_SAE22_cs.png","165530_SAE22_0.25m Bins")</f>
        <v>165530_SAE22_0.25m Bins</v>
      </c>
      <c r="C1933" t="str">
        <f>HYPERLINK("http://www.corstruth.com.au/SA/CSV/165530_SAE22.csv","165530_SAE22_CSV File 1m Bins")</f>
        <v>165530_SAE22_CSV File 1m Bins</v>
      </c>
      <c r="D1933">
        <v>165530</v>
      </c>
      <c r="E1933" t="s">
        <v>2163</v>
      </c>
      <c r="F1933" t="str">
        <f>HYPERLINK("https://drillhole.pir.sa.gov.au/Details.aspx?DRILLHOLE_NO=165530","Geol Survey Link")</f>
        <v>Geol Survey Link</v>
      </c>
      <c r="I1933">
        <v>-31.103200000000001</v>
      </c>
      <c r="J1933">
        <v>137.15199999999999</v>
      </c>
      <c r="K1933" t="str">
        <f>HYPERLINK("https://sarigdata.pir.sa.gov.au/nvcl/NVCLDataServices/mosaic.html?datasetid=d8b4cbf6-12cc-4b20-b5bc-1fd7a94f890","165530_SAE22_Core Image")</f>
        <v>165530_SAE22_Core Image</v>
      </c>
    </row>
    <row r="1934" spans="1:11" x14ac:dyDescent="0.25">
      <c r="A1934" t="str">
        <f>HYPERLINK("http://www.corstruth.com.au/SA/165603_EB_SAE1_cs.png","165603_EB_SAE1_A4")</f>
        <v>165603_EB_SAE1_A4</v>
      </c>
      <c r="D1934">
        <v>165603</v>
      </c>
      <c r="E1934" t="s">
        <v>2163</v>
      </c>
      <c r="F1934" t="str">
        <f>HYPERLINK("https://drillhole.pir.sa.gov.au/Details.aspx?DRILLHOLE_NO=165603","Geol Survey Link")</f>
        <v>Geol Survey Link</v>
      </c>
      <c r="I1934">
        <v>-31.122900000000001</v>
      </c>
      <c r="J1934">
        <v>137.11699999999999</v>
      </c>
      <c r="K1934" t="str">
        <f>HYPERLINK("https://sarigdata.pir.sa.gov.au/nvcl/NVCLDataServices/mosaic.html?datasetid=28e34d62-a0b6-447f-a03c-874cca691af","165603_EB_SAE1_Core Image")</f>
        <v>165603_EB_SAE1_Core Image</v>
      </c>
    </row>
    <row r="1935" spans="1:11" x14ac:dyDescent="0.25">
      <c r="A1935" t="str">
        <f>HYPERLINK("http://www.corstruth.com.au/SA/165604_SAE1X_cs.png","165604_SAE1X_A4")</f>
        <v>165604_SAE1X_A4</v>
      </c>
      <c r="B1935" t="str">
        <f>HYPERLINK("http://www.corstruth.com.au/SA/PNG2/165604_SAE1X_cs.png","165604_SAE1X_0.25m Bins")</f>
        <v>165604_SAE1X_0.25m Bins</v>
      </c>
      <c r="C1935" t="str">
        <f>HYPERLINK("http://www.corstruth.com.au/SA/CSV/165604_SAE1X.csv","165604_SAE1X_CSV File 1m Bins")</f>
        <v>165604_SAE1X_CSV File 1m Bins</v>
      </c>
      <c r="D1935">
        <v>165604</v>
      </c>
      <c r="E1935" t="s">
        <v>2163</v>
      </c>
      <c r="F1935" t="str">
        <f>HYPERLINK("https://drillhole.pir.sa.gov.au/Details.aspx?DRILLHOLE_NO=165604","Geol Survey Link")</f>
        <v>Geol Survey Link</v>
      </c>
      <c r="I1935">
        <v>-31.122900000000001</v>
      </c>
      <c r="J1935">
        <v>137.11699999999999</v>
      </c>
      <c r="K1935" t="str">
        <f>HYPERLINK("https://sarigdata.pir.sa.gov.au/nvcl/NVCLDataServices/mosaic.html?datasetid=9b7eb4cb-1110-4480-9ee3-02dfa951a17","165604_SAE1X_Core Image")</f>
        <v>165604_SAE1X_Core Image</v>
      </c>
    </row>
    <row r="1936" spans="1:11" x14ac:dyDescent="0.25">
      <c r="A1936" t="str">
        <f>HYPERLINK("http://www.corstruth.com.au/SA/165605_EB_SAE2_cs.png","165605_EB_SAE2_A4")</f>
        <v>165605_EB_SAE2_A4</v>
      </c>
      <c r="D1936">
        <v>165605</v>
      </c>
      <c r="E1936" t="s">
        <v>2163</v>
      </c>
      <c r="F1936" t="str">
        <f>HYPERLINK("https://drillhole.pir.sa.gov.au/Details.aspx?DRILLHOLE_NO=165605","Geol Survey Link")</f>
        <v>Geol Survey Link</v>
      </c>
      <c r="I1936">
        <v>-31.182400000000001</v>
      </c>
      <c r="J1936">
        <v>137.29599999999999</v>
      </c>
      <c r="K1936" t="str">
        <f>HYPERLINK("https://sarigdata.pir.sa.gov.au/nvcl/NVCLDataServices/mosaic.html?datasetid=7ff1a207-3e58-400b-811c-8159033f156","165605_EB_SAE2_Core Image")</f>
        <v>165605_EB_SAE2_Core Image</v>
      </c>
    </row>
    <row r="1937" spans="1:11" x14ac:dyDescent="0.25">
      <c r="A1937" t="str">
        <f>HYPERLINK("http://www.corstruth.com.au/SA/165606_EB_SAE3_cs.png","165606_EB_SAE3_A4")</f>
        <v>165606_EB_SAE3_A4</v>
      </c>
      <c r="D1937">
        <v>165606</v>
      </c>
      <c r="E1937" t="s">
        <v>2163</v>
      </c>
      <c r="F1937" t="str">
        <f>HYPERLINK("https://drillhole.pir.sa.gov.au/Details.aspx?DRILLHOLE_NO=165606","Geol Survey Link")</f>
        <v>Geol Survey Link</v>
      </c>
      <c r="I1937">
        <v>-31.1175</v>
      </c>
      <c r="J1937">
        <v>137.142</v>
      </c>
      <c r="K1937" t="str">
        <f>HYPERLINK("https://sarigdata.pir.sa.gov.au/nvcl/NVCLDataServices/mosaic.html?datasetid=71a76633-478b-4c52-b850-b538b9fa6fe","165606_EB_SAE3_Core Image")</f>
        <v>165606_EB_SAE3_Core Image</v>
      </c>
    </row>
    <row r="1938" spans="1:11" x14ac:dyDescent="0.25">
      <c r="A1938" t="str">
        <f>HYPERLINK("http://www.corstruth.com.au/SA/165607_EB_SAE4_cs.png","165607_EB_SAE4_A4")</f>
        <v>165607_EB_SAE4_A4</v>
      </c>
      <c r="B1938" t="str">
        <f>HYPERLINK("http://www.corstruth.com.au/SA/PNG2/165607_EB_SAE4_cs.png","165607_EB_SAE4_0.25m Bins")</f>
        <v>165607_EB_SAE4_0.25m Bins</v>
      </c>
      <c r="C1938" t="str">
        <f>HYPERLINK("http://www.corstruth.com.au/SA/CSV/165607_EB_SAE4.csv","165607_EB_SAE4_CSV File 1m Bins")</f>
        <v>165607_EB_SAE4_CSV File 1m Bins</v>
      </c>
      <c r="D1938">
        <v>165607</v>
      </c>
      <c r="E1938" t="s">
        <v>2163</v>
      </c>
      <c r="F1938" t="str">
        <f>HYPERLINK("https://drillhole.pir.sa.gov.au/Details.aspx?DRILLHOLE_NO=165607","Geol Survey Link")</f>
        <v>Geol Survey Link</v>
      </c>
      <c r="I1938">
        <v>-31.110900000000001</v>
      </c>
      <c r="J1938">
        <v>137.14099999999999</v>
      </c>
      <c r="K1938" t="str">
        <f>HYPERLINK("https://sarigdata.pir.sa.gov.au/nvcl/NVCLDataServices/mosaic.html?datasetid=6e38bdb9-255d-4b3b-89ad-9d182f46f02","165607_EB_SAE4_Core Image")</f>
        <v>165607_EB_SAE4_Core Image</v>
      </c>
    </row>
    <row r="1939" spans="1:11" x14ac:dyDescent="0.25">
      <c r="A1939" t="str">
        <f>HYPERLINK("http://www.corstruth.com.au/SA/165608_EB_SAE5_cs.png","165608_EB_SAE5_A4")</f>
        <v>165608_EB_SAE5_A4</v>
      </c>
      <c r="B1939" t="str">
        <f>HYPERLINK("http://www.corstruth.com.au/SA/PNG2/165608_EB_SAE5_cs.png","165608_EB_SAE5_0.25m Bins")</f>
        <v>165608_EB_SAE5_0.25m Bins</v>
      </c>
      <c r="C1939" t="str">
        <f>HYPERLINK("http://www.corstruth.com.au/SA/CSV/165608_EB_SAE5.csv","165608_EB_SAE5_CSV File 1m Bins")</f>
        <v>165608_EB_SAE5_CSV File 1m Bins</v>
      </c>
      <c r="D1939">
        <v>165608</v>
      </c>
      <c r="E1939" t="s">
        <v>2163</v>
      </c>
      <c r="F1939" t="str">
        <f>HYPERLINK("https://drillhole.pir.sa.gov.au/Details.aspx?DRILLHOLE_NO=165608","Geol Survey Link")</f>
        <v>Geol Survey Link</v>
      </c>
      <c r="I1939">
        <v>-31.1</v>
      </c>
      <c r="J1939">
        <v>137.16</v>
      </c>
      <c r="K1939" t="str">
        <f>HYPERLINK("https://sarigdata.pir.sa.gov.au/nvcl/NVCLDataServices/mosaic.html?datasetid=9ff64916-1899-4b2b-aa68-c4495d320f0","165608_EB_SAE5_Core Image")</f>
        <v>165608_EB_SAE5_Core Image</v>
      </c>
    </row>
    <row r="1940" spans="1:11" x14ac:dyDescent="0.25">
      <c r="A1940" t="str">
        <f>HYPERLINK("http://www.corstruth.com.au/SA/165609_EB_SAE6_cs.png","165609_EB_SAE6_A4")</f>
        <v>165609_EB_SAE6_A4</v>
      </c>
      <c r="D1940">
        <v>165609</v>
      </c>
      <c r="E1940" t="s">
        <v>2163</v>
      </c>
      <c r="F1940" t="str">
        <f>HYPERLINK("https://drillhole.pir.sa.gov.au/Details.aspx?DRILLHOLE_NO=165609","Geol Survey Link")</f>
        <v>Geol Survey Link</v>
      </c>
      <c r="I1940">
        <v>-31.110399999999998</v>
      </c>
      <c r="J1940">
        <v>137.149</v>
      </c>
      <c r="K1940" t="str">
        <f>HYPERLINK("https://sarigdata.pir.sa.gov.au/nvcl/NVCLDataServices/mosaic.html?datasetid=11a3a1b4-a040-4838-9688-f03976d0497","165609_EB_SAE6_Core Image")</f>
        <v>165609_EB_SAE6_Core Image</v>
      </c>
    </row>
    <row r="1941" spans="1:11" x14ac:dyDescent="0.25">
      <c r="A1941" t="str">
        <f>HYPERLINK("http://www.corstruth.com.au/SA/165609_SAE6_cs.png","165609_SAE6_A4")</f>
        <v>165609_SAE6_A4</v>
      </c>
      <c r="B1941" t="str">
        <f>HYPERLINK("http://www.corstruth.com.au/SA/PNG2/165609_SAE6_cs.png","165609_SAE6_0.25m Bins")</f>
        <v>165609_SAE6_0.25m Bins</v>
      </c>
      <c r="C1941" t="str">
        <f>HYPERLINK("http://www.corstruth.com.au/SA/CSV/165609_SAE6.csv","165609_SAE6_CSV File 1m Bins")</f>
        <v>165609_SAE6_CSV File 1m Bins</v>
      </c>
      <c r="D1941">
        <v>165609</v>
      </c>
      <c r="E1941" t="s">
        <v>2163</v>
      </c>
      <c r="F1941" t="str">
        <f>HYPERLINK("https://drillhole.pir.sa.gov.au/Details.aspx?DRILLHOLE_NO=165609","Geol Survey Link")</f>
        <v>Geol Survey Link</v>
      </c>
      <c r="I1941">
        <v>-31.110399999999998</v>
      </c>
      <c r="J1941">
        <v>137.149</v>
      </c>
      <c r="K1941" t="str">
        <f>HYPERLINK("https://sarigdata.pir.sa.gov.au/nvcl/NVCLDataServices/mosaic.html?datasetid=11a3a1b4-a040-4838-9688-f03976d0497","165609_SAE6_Core Image")</f>
        <v>165609_SAE6_Core Image</v>
      </c>
    </row>
    <row r="1942" spans="1:11" x14ac:dyDescent="0.25">
      <c r="A1942" t="str">
        <f>HYPERLINK("http://www.corstruth.com.au/SA/165610_SB1_cs.png","165610_SB1_A4")</f>
        <v>165610_SB1_A4</v>
      </c>
      <c r="B1942" t="str">
        <f>HYPERLINK("http://www.corstruth.com.au/SA/PNG2/165610_SB1_cs.png","165610_SB1_0.25m Bins")</f>
        <v>165610_SB1_0.25m Bins</v>
      </c>
      <c r="C1942" t="str">
        <f>HYPERLINK("http://www.corstruth.com.au/SA/CSV/165610_SB1.csv","165610_SB1_CSV File 1m Bins")</f>
        <v>165610_SB1_CSV File 1m Bins</v>
      </c>
      <c r="D1942">
        <v>165610</v>
      </c>
      <c r="E1942" t="s">
        <v>2163</v>
      </c>
      <c r="F1942" t="str">
        <f>HYPERLINK("https://drillhole.pir.sa.gov.au/Details.aspx?DRILLHOLE_NO=165610","Geol Survey Link")</f>
        <v>Geol Survey Link</v>
      </c>
      <c r="I1942">
        <v>-29.9785</v>
      </c>
      <c r="J1942">
        <v>139.66999999999999</v>
      </c>
      <c r="K1942" t="str">
        <f>HYPERLINK("https://sarigdata.pir.sa.gov.au/nvcl/NVCLDataServices/mosaic.html?datasetid=a31d6daf-8a04-4ee5-aa56-a789bb44711","165610_SB1_Core Image")</f>
        <v>165610_SB1_Core Image</v>
      </c>
    </row>
    <row r="1943" spans="1:11" x14ac:dyDescent="0.25">
      <c r="A1943" t="str">
        <f>HYPERLINK("http://www.corstruth.com.au/SA/16638_SSR1001_cs.png","16638_SSR1001_A4")</f>
        <v>16638_SSR1001_A4</v>
      </c>
      <c r="B1943" t="str">
        <f>HYPERLINK("http://www.corstruth.com.au/SA/PNG2/16638_SSR1001_cs.png","16638_SSR1001_0.25m Bins")</f>
        <v>16638_SSR1001_0.25m Bins</v>
      </c>
      <c r="C1943" t="str">
        <f>HYPERLINK("http://www.corstruth.com.au/SA/CSV/16638_SSR1001.csv","16638_SSR1001_CSV File 1m Bins")</f>
        <v>16638_SSR1001_CSV File 1m Bins</v>
      </c>
      <c r="D1943">
        <v>16638</v>
      </c>
      <c r="E1943" t="s">
        <v>2163</v>
      </c>
      <c r="F1943" t="str">
        <f>HYPERLINK("https://drillhole.pir.sa.gov.au/Details.aspx?DRILLHOLE_NO=16638","Geol Survey Link")</f>
        <v>Geol Survey Link</v>
      </c>
      <c r="I1943">
        <v>-30.8398</v>
      </c>
      <c r="J1943">
        <v>136.34899999999999</v>
      </c>
      <c r="K1943" t="str">
        <f>HYPERLINK("https://sarigdata.pir.sa.gov.au/nvcl/NVCLDataServices/mosaic.html?datasetid=1400ba19-9aba-465d-98ff-881de3833d8","16638_SSR1001_Core Image")</f>
        <v>16638_SSR1001_Core Image</v>
      </c>
    </row>
    <row r="1944" spans="1:11" x14ac:dyDescent="0.25">
      <c r="A1944" t="str">
        <f>HYPERLINK("http://www.corstruth.com.au/SA/16638_SSR_1001_cs.png","16638_SSR_1001_A4")</f>
        <v>16638_SSR_1001_A4</v>
      </c>
      <c r="D1944">
        <v>16638</v>
      </c>
      <c r="E1944" t="s">
        <v>2163</v>
      </c>
      <c r="F1944" t="str">
        <f>HYPERLINK("https://drillhole.pir.sa.gov.au/Details.aspx?DRILLHOLE_NO=16638","Geol Survey Link")</f>
        <v>Geol Survey Link</v>
      </c>
      <c r="I1944">
        <v>-30.8398</v>
      </c>
      <c r="J1944">
        <v>136.34899999999999</v>
      </c>
      <c r="K1944" t="str">
        <f>HYPERLINK("https://sarigdata.pir.sa.gov.au/nvcl/NVCLDataServices/mosaic.html?datasetid=1400ba19-9aba-465d-98ff-881de3833d8","16638_SSR_1001_Core Image")</f>
        <v>16638_SSR_1001_Core Image</v>
      </c>
    </row>
    <row r="1945" spans="1:11" x14ac:dyDescent="0.25">
      <c r="A1945" t="str">
        <f>HYPERLINK("http://www.corstruth.com.au/SA/166740_CD010_cs.png","166740_CD010_A4")</f>
        <v>166740_CD010_A4</v>
      </c>
      <c r="D1945">
        <v>166740</v>
      </c>
      <c r="E1945" t="s">
        <v>2163</v>
      </c>
      <c r="F1945" t="str">
        <f>HYPERLINK("https://drillhole.pir.sa.gov.au/Details.aspx?DRILLHOLE_NO=166740","Geol Survey Link")</f>
        <v>Geol Survey Link</v>
      </c>
      <c r="I1945">
        <v>-32.513199999999998</v>
      </c>
      <c r="J1945">
        <v>138.49299999999999</v>
      </c>
    </row>
    <row r="1946" spans="1:11" x14ac:dyDescent="0.25">
      <c r="A1946" t="str">
        <f>HYPERLINK("http://www.corstruth.com.au/SA/166843_CD24_Carrieton_Eurelia_cs.png","166843_CD24_Carrieton_Eurelia_A4")</f>
        <v>166843_CD24_Carrieton_Eurelia_A4</v>
      </c>
      <c r="D1946">
        <v>166843</v>
      </c>
      <c r="E1946" t="s">
        <v>2163</v>
      </c>
      <c r="F1946" t="str">
        <f>HYPERLINK("https://drillhole.pir.sa.gov.au/Details.aspx?DRILLHOLE_NO=166843","Geol Survey Link")</f>
        <v>Geol Survey Link</v>
      </c>
      <c r="I1946">
        <v>-32.481499999999997</v>
      </c>
      <c r="J1946">
        <v>138.518</v>
      </c>
      <c r="K1946" t="str">
        <f>HYPERLINK("https://sarigdata.pir.sa.gov.au/nvcl/NVCLDataServices/mosaic.html?datasetid=ec25601d-74af-42cf-b668-b0d5654cd39","166843_CD24_Carrieton_Eurelia_Core Image")</f>
        <v>166843_CD24_Carrieton_Eurelia_Core Image</v>
      </c>
    </row>
    <row r="1947" spans="1:11" x14ac:dyDescent="0.25">
      <c r="A1947" t="str">
        <f>HYPERLINK("http://www.corstruth.com.au/SA/16695_RL1_cs.png","16695_RL1_A4")</f>
        <v>16695_RL1_A4</v>
      </c>
      <c r="D1947">
        <v>16695</v>
      </c>
      <c r="E1947" t="s">
        <v>2163</v>
      </c>
      <c r="F1947" t="str">
        <f>HYPERLINK("https://drillhole.pir.sa.gov.au/Details.aspx?DRILLHOLE_NO=16695","Geol Survey Link")</f>
        <v>Geol Survey Link</v>
      </c>
      <c r="I1947">
        <v>-30.321100000000001</v>
      </c>
      <c r="J1947">
        <v>136.06800000000001</v>
      </c>
      <c r="K1947" t="str">
        <f>HYPERLINK("https://sarigdata.pir.sa.gov.au/nvcl/NVCLDataServices/mosaic.html?datasetid=ce3d97dd-16b5-4b3b-ab87-bf8f0653c0e","16695_RL1_Core Image")</f>
        <v>16695_RL1_Core Image</v>
      </c>
    </row>
    <row r="1948" spans="1:11" x14ac:dyDescent="0.25">
      <c r="A1948" t="str">
        <f>HYPERLINK("http://www.corstruth.com.au/SA/16697_PricesBore_cs.png","16697_PricesBore_A4")</f>
        <v>16697_PricesBore_A4</v>
      </c>
      <c r="D1948">
        <v>16697</v>
      </c>
      <c r="E1948" t="s">
        <v>2163</v>
      </c>
      <c r="F1948" t="str">
        <f>HYPERLINK("https://drillhole.pir.sa.gov.au/Details.aspx?DRILLHOLE_NO=16697","Geol Survey Link")</f>
        <v>Geol Survey Link</v>
      </c>
      <c r="I1948">
        <v>-30.198799999999999</v>
      </c>
      <c r="J1948">
        <v>136.172</v>
      </c>
      <c r="K1948" t="str">
        <f>HYPERLINK("https://sarigdata.pir.sa.gov.au/nvcl/NVCLDataServices/mosaic.html?datasetid=c8230857-090e-408c-8a4a-870e5ece8fd","16697_PricesBore_Core Image")</f>
        <v>16697_PricesBore_Core Image</v>
      </c>
    </row>
    <row r="1949" spans="1:11" x14ac:dyDescent="0.25">
      <c r="A1949" t="str">
        <f>HYPERLINK("http://www.corstruth.com.au/SA/16697_Prices_Bore1_cs.png","16697_Prices_Bore1_A4")</f>
        <v>16697_Prices_Bore1_A4</v>
      </c>
      <c r="B1949" t="str">
        <f>HYPERLINK("http://www.corstruth.com.au/SA/PNG2/16697_Prices_Bore1_cs.png","16697_Prices_Bore1_0.25m Bins")</f>
        <v>16697_Prices_Bore1_0.25m Bins</v>
      </c>
      <c r="C1949" t="str">
        <f>HYPERLINK("http://www.corstruth.com.au/SA/CSV/16697_Prices_Bore1.csv","16697_Prices_Bore1_CSV File 1m Bins")</f>
        <v>16697_Prices_Bore1_CSV File 1m Bins</v>
      </c>
      <c r="D1949">
        <v>16697</v>
      </c>
      <c r="E1949" t="s">
        <v>2163</v>
      </c>
      <c r="F1949" t="str">
        <f>HYPERLINK("https://drillhole.pir.sa.gov.au/Details.aspx?DRILLHOLE_NO=16697","Geol Survey Link")</f>
        <v>Geol Survey Link</v>
      </c>
      <c r="I1949">
        <v>-30.198799999999999</v>
      </c>
      <c r="J1949">
        <v>136.172</v>
      </c>
      <c r="K1949" t="str">
        <f>HYPERLINK("https://sarigdata.pir.sa.gov.au/nvcl/NVCLDataServices/mosaic.html?datasetid=c8230857-090e-408c-8a4a-870e5ece8fd","16697_Prices_Bore1_Core Image")</f>
        <v>16697_Prices_Bore1_Core Image</v>
      </c>
    </row>
    <row r="1950" spans="1:11" x14ac:dyDescent="0.25">
      <c r="A1950" t="str">
        <f>HYPERLINK("http://www.corstruth.com.au/SA/16698_Peewana1_cs.png","16698_Peewana1_A4")</f>
        <v>16698_Peewana1_A4</v>
      </c>
      <c r="D1950">
        <v>16698</v>
      </c>
      <c r="E1950" t="s">
        <v>2163</v>
      </c>
      <c r="F1950" t="str">
        <f>HYPERLINK("https://drillhole.pir.sa.gov.au/Details.aspx?DRILLHOLE_NO=16698","Geol Survey Link")</f>
        <v>Geol Survey Link</v>
      </c>
      <c r="I1950">
        <v>-30.0488</v>
      </c>
      <c r="J1950">
        <v>136.077</v>
      </c>
      <c r="K1950" t="str">
        <f>HYPERLINK("https://sarigdata.pir.sa.gov.au/nvcl/NVCLDataServices/mosaic.html?datasetid=ca995331-45e5-4777-b72b-befdd3b4881","16698_Peewana1_Core Image")</f>
        <v>16698_Peewana1_Core Image</v>
      </c>
    </row>
    <row r="1951" spans="1:11" x14ac:dyDescent="0.25">
      <c r="A1951" t="str">
        <f>HYPERLINK("http://www.corstruth.com.au/SA/16699_Playford1_cs.png","16699_Playford1_A4")</f>
        <v>16699_Playford1_A4</v>
      </c>
      <c r="D1951">
        <v>16699</v>
      </c>
      <c r="E1951" t="s">
        <v>2163</v>
      </c>
      <c r="F1951" t="str">
        <f>HYPERLINK("https://drillhole.pir.sa.gov.au/Details.aspx?DRILLHOLE_NO=16699","Geol Survey Link")</f>
        <v>Geol Survey Link</v>
      </c>
      <c r="I1951">
        <v>-30.156300000000002</v>
      </c>
      <c r="J1951">
        <v>136.45599999999999</v>
      </c>
      <c r="K1951" t="str">
        <f>HYPERLINK("https://sarigdata.pir.sa.gov.au/nvcl/NVCLDataServices/mosaic.html?datasetid=067e9aa6-f502-4399-8a48-36742326a1c","16699_Playford1_Core Image")</f>
        <v>16699_Playford1_Core Image</v>
      </c>
    </row>
    <row r="1952" spans="1:11" x14ac:dyDescent="0.25">
      <c r="A1952" t="str">
        <f>HYPERLINK("http://www.corstruth.com.au/SA/167563_KTH3_cs.png","167563_KTH3_A4")</f>
        <v>167563_KTH3_A4</v>
      </c>
      <c r="B1952" t="str">
        <f>HYPERLINK("http://www.corstruth.com.au/SA/PNG2/167563_KTH3_cs.png","167563_KTH3_0.25m Bins")</f>
        <v>167563_KTH3_0.25m Bins</v>
      </c>
      <c r="C1952" t="str">
        <f>HYPERLINK("http://www.corstruth.com.au/SA/CSV/167563_KTH3.csv","167563_KTH3_CSV File 1m Bins")</f>
        <v>167563_KTH3_CSV File 1m Bins</v>
      </c>
      <c r="D1952">
        <v>167563</v>
      </c>
      <c r="E1952" t="s">
        <v>2163</v>
      </c>
      <c r="F1952" t="str">
        <f>HYPERLINK("https://drillhole.pir.sa.gov.au/Details.aspx?DRILLHOLE_NO=167563","Geol Survey Link")</f>
        <v>Geol Survey Link</v>
      </c>
      <c r="I1952">
        <v>-31.9678</v>
      </c>
      <c r="J1952">
        <v>139.36799999999999</v>
      </c>
    </row>
    <row r="1953" spans="1:11" x14ac:dyDescent="0.25">
      <c r="A1953" t="str">
        <f>HYPERLINK("http://www.corstruth.com.au/SA/167564_KTH4_cs.png","167564_KTH4_A4")</f>
        <v>167564_KTH4_A4</v>
      </c>
      <c r="B1953" t="str">
        <f>HYPERLINK("http://www.corstruth.com.au/SA/PNG2/167564_KTH4_cs.png","167564_KTH4_0.25m Bins")</f>
        <v>167564_KTH4_0.25m Bins</v>
      </c>
      <c r="C1953" t="str">
        <f>HYPERLINK("http://www.corstruth.com.au/SA/CSV/167564_KTH4.csv","167564_KTH4_CSV File 1m Bins")</f>
        <v>167564_KTH4_CSV File 1m Bins</v>
      </c>
      <c r="D1953">
        <v>167564</v>
      </c>
      <c r="E1953" t="s">
        <v>2163</v>
      </c>
      <c r="F1953" t="str">
        <f>HYPERLINK("https://drillhole.pir.sa.gov.au/Details.aspx?DRILLHOLE_NO=167564","Geol Survey Link")</f>
        <v>Geol Survey Link</v>
      </c>
      <c r="I1953">
        <v>-31.981100000000001</v>
      </c>
      <c r="J1953">
        <v>139.351</v>
      </c>
    </row>
    <row r="1954" spans="1:11" x14ac:dyDescent="0.25">
      <c r="A1954" t="str">
        <f>HYPERLINK("http://www.corstruth.com.au/SA/167571_KTH1_cs.png","167571_KTH1_A4")</f>
        <v>167571_KTH1_A4</v>
      </c>
      <c r="B1954" t="str">
        <f>HYPERLINK("http://www.corstruth.com.au/SA/PNG2/167571_KTH1_cs.png","167571_KTH1_0.25m Bins")</f>
        <v>167571_KTH1_0.25m Bins</v>
      </c>
      <c r="C1954" t="str">
        <f>HYPERLINK("http://www.corstruth.com.au/SA/CSV/167571_KTH1.csv","167571_KTH1_CSV File 1m Bins")</f>
        <v>167571_KTH1_CSV File 1m Bins</v>
      </c>
      <c r="D1954">
        <v>167571</v>
      </c>
      <c r="E1954" t="s">
        <v>2163</v>
      </c>
      <c r="F1954" t="str">
        <f>HYPERLINK("https://drillhole.pir.sa.gov.au/Details.aspx?DRILLHOLE_NO=167571","Geol Survey Link")</f>
        <v>Geol Survey Link</v>
      </c>
      <c r="I1954">
        <v>-36.321399999999997</v>
      </c>
      <c r="J1954">
        <v>140.21899999999999</v>
      </c>
      <c r="K1954" t="str">
        <f>HYPERLINK("https://sarigdata.pir.sa.gov.au/nvcl/NVCLDataServices/mosaic.html?datasetid=4d1a541a-5232-403f-a278-071d56b9adf","167571_KTH1_Core Image")</f>
        <v>167571_KTH1_Core Image</v>
      </c>
    </row>
    <row r="1955" spans="1:11" x14ac:dyDescent="0.25">
      <c r="A1955" t="str">
        <f>HYPERLINK("http://www.corstruth.com.au/SA/167572_KTH2_cs.png","167572_KTH2_A4")</f>
        <v>167572_KTH2_A4</v>
      </c>
      <c r="B1955" t="str">
        <f>HYPERLINK("http://www.corstruth.com.au/SA/PNG2/167572_KTH2_cs.png","167572_KTH2_0.25m Bins")</f>
        <v>167572_KTH2_0.25m Bins</v>
      </c>
      <c r="C1955" t="str">
        <f>HYPERLINK("http://www.corstruth.com.au/SA/CSV/167572_KTH2.csv","167572_KTH2_CSV File 1m Bins")</f>
        <v>167572_KTH2_CSV File 1m Bins</v>
      </c>
      <c r="D1955">
        <v>167572</v>
      </c>
      <c r="E1955" t="s">
        <v>2163</v>
      </c>
      <c r="F1955" t="str">
        <f>HYPERLINK("https://drillhole.pir.sa.gov.au/Details.aspx?DRILLHOLE_NO=167572","Geol Survey Link")</f>
        <v>Geol Survey Link</v>
      </c>
      <c r="I1955">
        <v>-36.401899999999998</v>
      </c>
      <c r="J1955">
        <v>140.22399999999999</v>
      </c>
      <c r="K1955" t="str">
        <f>HYPERLINK("https://sarigdata.pir.sa.gov.au/nvcl/NVCLDataServices/mosaic.html?datasetid=48619d1b-3215-4089-beb6-38df7ba6dc5","167572_KTH2_Core Image")</f>
        <v>167572_KTH2_Core Image</v>
      </c>
    </row>
    <row r="1956" spans="1:11" x14ac:dyDescent="0.25">
      <c r="A1956" t="str">
        <f>HYPERLINK("http://www.corstruth.com.au/SA/167575_KTH5_cs.png","167575_KTH5_A4")</f>
        <v>167575_KTH5_A4</v>
      </c>
      <c r="B1956" t="str">
        <f>HYPERLINK("http://www.corstruth.com.au/SA/PNG2/167575_KTH5_cs.png","167575_KTH5_0.25m Bins")</f>
        <v>167575_KTH5_0.25m Bins</v>
      </c>
      <c r="C1956" t="str">
        <f>HYPERLINK("http://www.corstruth.com.au/SA/CSV/167575_KTH5.csv","167575_KTH5_CSV File 1m Bins")</f>
        <v>167575_KTH5_CSV File 1m Bins</v>
      </c>
      <c r="D1956">
        <v>167575</v>
      </c>
      <c r="E1956" t="s">
        <v>2163</v>
      </c>
      <c r="F1956" t="str">
        <f>HYPERLINK("https://drillhole.pir.sa.gov.au/Details.aspx?DRILLHOLE_NO=167575","Geol Survey Link")</f>
        <v>Geol Survey Link</v>
      </c>
      <c r="I1956">
        <v>-36.100499999999997</v>
      </c>
      <c r="J1956">
        <v>140.16300000000001</v>
      </c>
      <c r="K1956" t="str">
        <f>HYPERLINK("https://sarigdata.pir.sa.gov.au/nvcl/NVCLDataServices/mosaic.html?datasetid=0031e308-e88f-4741-a575-d6060f44c5b","167575_KTH5_Core Image")</f>
        <v>167575_KTH5_Core Image</v>
      </c>
    </row>
    <row r="1957" spans="1:11" x14ac:dyDescent="0.25">
      <c r="A1957" t="str">
        <f>HYPERLINK("http://www.corstruth.com.au/SA/167583_KTH9_cs.png","167583_KTH9_A4")</f>
        <v>167583_KTH9_A4</v>
      </c>
      <c r="B1957" t="str">
        <f>HYPERLINK("http://www.corstruth.com.au/SA/PNG2/167583_KTH9_cs.png","167583_KTH9_0.25m Bins")</f>
        <v>167583_KTH9_0.25m Bins</v>
      </c>
      <c r="C1957" t="str">
        <f>HYPERLINK("http://www.corstruth.com.au/SA/CSV/167583_KTH9.csv","167583_KTH9_CSV File 1m Bins")</f>
        <v>167583_KTH9_CSV File 1m Bins</v>
      </c>
      <c r="D1957">
        <v>167583</v>
      </c>
      <c r="E1957" t="s">
        <v>2163</v>
      </c>
      <c r="F1957" t="str">
        <f>HYPERLINK("https://drillhole.pir.sa.gov.au/Details.aspx?DRILLHOLE_NO=167583","Geol Survey Link")</f>
        <v>Geol Survey Link</v>
      </c>
      <c r="I1957">
        <v>-36.197400000000002</v>
      </c>
      <c r="J1957">
        <v>140.10300000000001</v>
      </c>
      <c r="K1957" t="str">
        <f>HYPERLINK("https://sarigdata.pir.sa.gov.au/nvcl/NVCLDataServices/mosaic.html?datasetid=65a4de71-b090-4f6b-8dbd-36aa6b4e209","167583_KTH9_Core Image")</f>
        <v>167583_KTH9_Core Image</v>
      </c>
    </row>
    <row r="1958" spans="1:11" x14ac:dyDescent="0.25">
      <c r="A1958" t="str">
        <f>HYPERLINK("http://www.corstruth.com.au/SA/167584_KTH10_cs.png","167584_KTH10_A4")</f>
        <v>167584_KTH10_A4</v>
      </c>
      <c r="B1958" t="str">
        <f>HYPERLINK("http://www.corstruth.com.au/SA/PNG2/167584_KTH10_cs.png","167584_KTH10_0.25m Bins")</f>
        <v>167584_KTH10_0.25m Bins</v>
      </c>
      <c r="C1958" t="str">
        <f>HYPERLINK("http://www.corstruth.com.au/SA/CSV/167584_KTH10.csv","167584_KTH10_CSV File 1m Bins")</f>
        <v>167584_KTH10_CSV File 1m Bins</v>
      </c>
      <c r="D1958">
        <v>167584</v>
      </c>
      <c r="E1958" t="s">
        <v>2163</v>
      </c>
      <c r="F1958" t="str">
        <f>HYPERLINK("https://drillhole.pir.sa.gov.au/Details.aspx?DRILLHOLE_NO=167584","Geol Survey Link")</f>
        <v>Geol Survey Link</v>
      </c>
      <c r="I1958">
        <v>-36.108699999999999</v>
      </c>
      <c r="J1958">
        <v>140.251</v>
      </c>
      <c r="K1958" t="str">
        <f>HYPERLINK("https://sarigdata.pir.sa.gov.au/nvcl/NVCLDataServices/mosaic.html?datasetid=1501805f-4cc4-4a30-a068-d4b20bb7f14","167584_KTH10_Core Image")</f>
        <v>167584_KTH10_Core Image</v>
      </c>
    </row>
    <row r="1959" spans="1:11" x14ac:dyDescent="0.25">
      <c r="A1959" t="str">
        <f>HYPERLINK("http://www.corstruth.com.au/SA/167585_KTH11_cs.png","167585_KTH11_A4")</f>
        <v>167585_KTH11_A4</v>
      </c>
      <c r="B1959" t="str">
        <f>HYPERLINK("http://www.corstruth.com.au/SA/PNG2/167585_KTH11_cs.png","167585_KTH11_0.25m Bins")</f>
        <v>167585_KTH11_0.25m Bins</v>
      </c>
      <c r="C1959" t="str">
        <f>HYPERLINK("http://www.corstruth.com.au/SA/CSV/167585_KTH11.csv","167585_KTH11_CSV File 1m Bins")</f>
        <v>167585_KTH11_CSV File 1m Bins</v>
      </c>
      <c r="D1959">
        <v>167585</v>
      </c>
      <c r="E1959" t="s">
        <v>2163</v>
      </c>
      <c r="F1959" t="str">
        <f>HYPERLINK("https://drillhole.pir.sa.gov.au/Details.aspx?DRILLHOLE_NO=167585","Geol Survey Link")</f>
        <v>Geol Survey Link</v>
      </c>
      <c r="I1959">
        <v>-36.075400000000002</v>
      </c>
      <c r="J1959">
        <v>140.18700000000001</v>
      </c>
      <c r="K1959" t="str">
        <f>HYPERLINK("https://sarigdata.pir.sa.gov.au/nvcl/NVCLDataServices/mosaic.html?datasetid=e59e40e6-e785-47a8-a84f-8e62b540a55","167585_KTH11_Core Image")</f>
        <v>167585_KTH11_Core Image</v>
      </c>
    </row>
    <row r="1960" spans="1:11" x14ac:dyDescent="0.25">
      <c r="A1960" t="str">
        <f>HYPERLINK("http://www.corstruth.com.au/SA/167586_KTH12_cs.png","167586_KTH12_A4")</f>
        <v>167586_KTH12_A4</v>
      </c>
      <c r="B1960" t="str">
        <f>HYPERLINK("http://www.corstruth.com.au/SA/PNG2/167586_KTH12_cs.png","167586_KTH12_0.25m Bins")</f>
        <v>167586_KTH12_0.25m Bins</v>
      </c>
      <c r="C1960" t="str">
        <f>HYPERLINK("http://www.corstruth.com.au/SA/CSV/167586_KTH12.csv","167586_KTH12_CSV File 1m Bins")</f>
        <v>167586_KTH12_CSV File 1m Bins</v>
      </c>
      <c r="D1960">
        <v>167586</v>
      </c>
      <c r="E1960" t="s">
        <v>2163</v>
      </c>
      <c r="F1960" t="str">
        <f>HYPERLINK("https://drillhole.pir.sa.gov.au/Details.aspx?DRILLHOLE_NO=167586","Geol Survey Link")</f>
        <v>Geol Survey Link</v>
      </c>
      <c r="I1960">
        <v>-36.420499999999997</v>
      </c>
      <c r="J1960">
        <v>140.29499999999999</v>
      </c>
      <c r="K1960" t="str">
        <f>HYPERLINK("https://sarigdata.pir.sa.gov.au/nvcl/NVCLDataServices/mosaic.html?datasetid=780947a1-0e4d-470e-a953-d307cd0c6e6","167586_KTH12_Core Image")</f>
        <v>167586_KTH12_Core Image</v>
      </c>
    </row>
    <row r="1961" spans="1:11" x14ac:dyDescent="0.25">
      <c r="A1961" t="str">
        <f>HYPERLINK("http://www.corstruth.com.au/SA/167587_KTH13_cs.png","167587_KTH13_A4")</f>
        <v>167587_KTH13_A4</v>
      </c>
      <c r="B1961" t="str">
        <f>HYPERLINK("http://www.corstruth.com.au/SA/PNG2/167587_KTH13_cs.png","167587_KTH13_0.25m Bins")</f>
        <v>167587_KTH13_0.25m Bins</v>
      </c>
      <c r="C1961" t="str">
        <f>HYPERLINK("http://www.corstruth.com.au/SA/CSV/167587_KTH13.csv","167587_KTH13_CSV File 1m Bins")</f>
        <v>167587_KTH13_CSV File 1m Bins</v>
      </c>
      <c r="D1961">
        <v>167587</v>
      </c>
      <c r="E1961" t="s">
        <v>2163</v>
      </c>
      <c r="F1961" t="str">
        <f>HYPERLINK("https://drillhole.pir.sa.gov.au/Details.aspx?DRILLHOLE_NO=167587","Geol Survey Link")</f>
        <v>Geol Survey Link</v>
      </c>
      <c r="I1961">
        <v>-36.371400000000001</v>
      </c>
      <c r="J1961">
        <v>140.30600000000001</v>
      </c>
      <c r="K1961" t="str">
        <f>HYPERLINK("https://sarigdata.pir.sa.gov.au/nvcl/NVCLDataServices/mosaic.html?datasetid=4891fe7b-fecd-478c-ba7c-93dff8a4e3e","167587_KTH13_Core Image")</f>
        <v>167587_KTH13_Core Image</v>
      </c>
    </row>
    <row r="1962" spans="1:11" x14ac:dyDescent="0.25">
      <c r="A1962" t="str">
        <f>HYPERLINK("http://www.corstruth.com.au/SA/16759_SR6_cs.png","16759_SR6_A4")</f>
        <v>16759_SR6_A4</v>
      </c>
      <c r="B1962" t="str">
        <f>HYPERLINK("http://www.corstruth.com.au/SA/PNG2/16759_SR6_cs.png","16759_SR6_0.25m Bins")</f>
        <v>16759_SR6_0.25m Bins</v>
      </c>
      <c r="C1962" t="str">
        <f>HYPERLINK("http://www.corstruth.com.au/SA/CSV/16759_SR6.csv","16759_SR6_CSV File 1m Bins")</f>
        <v>16759_SR6_CSV File 1m Bins</v>
      </c>
      <c r="D1962">
        <v>16759</v>
      </c>
      <c r="E1962" t="s">
        <v>2163</v>
      </c>
      <c r="F1962" t="str">
        <f>HYPERLINK("https://drillhole.pir.sa.gov.au/Details.aspx?DRILLHOLE_NO=16759","Geol Survey Link")</f>
        <v>Geol Survey Link</v>
      </c>
      <c r="I1962">
        <v>-29.770900000000001</v>
      </c>
      <c r="J1962">
        <v>136.40899999999999</v>
      </c>
      <c r="K1962" t="str">
        <f>HYPERLINK("https://sarigdata.pir.sa.gov.au/nvcl/NVCLDataServices/mosaic.html?datasetid=98c9bb39-91dc-4579-913c-f86ff6adcd2","16759_SR6_Core Image")</f>
        <v>16759_SR6_Core Image</v>
      </c>
    </row>
    <row r="1963" spans="1:11" x14ac:dyDescent="0.25">
      <c r="A1963" t="str">
        <f>HYPERLINK("http://www.corstruth.com.au/SA/16794_SR13-2_cs.png","16794_SR13-2_A4")</f>
        <v>16794_SR13-2_A4</v>
      </c>
      <c r="D1963">
        <v>16794</v>
      </c>
      <c r="E1963" t="s">
        <v>2163</v>
      </c>
      <c r="F1963" t="str">
        <f>HYPERLINK("https://drillhole.pir.sa.gov.au/Details.aspx?DRILLHOLE_NO=16794","Geol Survey Link")</f>
        <v>Geol Survey Link</v>
      </c>
      <c r="I1963">
        <v>-29.006900000000002</v>
      </c>
      <c r="J1963">
        <v>136.17599999999999</v>
      </c>
      <c r="K1963" t="str">
        <f>HYPERLINK("https://sarigdata.pir.sa.gov.au/nvcl/NVCLDataServices/mosaic.html?datasetid=b21f9cbf-be0a-4417-bd57-7d1697ad6ce","16794_SR13-2_Core Image")</f>
        <v>16794_SR13-2_Core Image</v>
      </c>
    </row>
    <row r="1964" spans="1:11" x14ac:dyDescent="0.25">
      <c r="A1964" t="str">
        <f>HYPERLINK("http://www.corstruth.com.au/SA/168714_HDD01_cs.png","168714_HDD01_A4")</f>
        <v>168714_HDD01_A4</v>
      </c>
      <c r="B1964" t="str">
        <f>HYPERLINK("http://www.corstruth.com.au/SA/PNG2/168714_HDD01_cs.png","168714_HDD01_0.25m Bins")</f>
        <v>168714_HDD01_0.25m Bins</v>
      </c>
      <c r="C1964" t="str">
        <f>HYPERLINK("http://www.corstruth.com.au/SA/CSV/168714_HDD01.csv","168714_HDD01_CSV File 1m Bins")</f>
        <v>168714_HDD01_CSV File 1m Bins</v>
      </c>
      <c r="D1964">
        <v>168714</v>
      </c>
      <c r="E1964" t="s">
        <v>2163</v>
      </c>
      <c r="F1964" t="str">
        <f>HYPERLINK("https://drillhole.pir.sa.gov.au/Details.aspx?DRILLHOLE_NO=168714","Geol Survey Link")</f>
        <v>Geol Survey Link</v>
      </c>
      <c r="I1964">
        <v>-31.677700000000002</v>
      </c>
      <c r="J1964">
        <v>140.774</v>
      </c>
      <c r="K1964" t="str">
        <f>HYPERLINK("https://sarigdata.pir.sa.gov.au/nvcl/NVCLDataServices/mosaic.html?datasetid=fa178d9b-92b9-400f-88c2-113235d757d","168714_HDD01_Core Image")</f>
        <v>168714_HDD01_Core Image</v>
      </c>
    </row>
    <row r="1965" spans="1:11" x14ac:dyDescent="0.25">
      <c r="A1965" t="str">
        <f>HYPERLINK("http://www.corstruth.com.au/SA/168897_HDD02_cs.png","168897_HDD02_A4")</f>
        <v>168897_HDD02_A4</v>
      </c>
      <c r="B1965" t="str">
        <f>HYPERLINK("http://www.corstruth.com.au/SA/PNG2/168897_HDD02_cs.png","168897_HDD02_0.25m Bins")</f>
        <v>168897_HDD02_0.25m Bins</v>
      </c>
      <c r="C1965" t="str">
        <f>HYPERLINK("http://www.corstruth.com.au/SA/CSV/168897_HDD02.csv","168897_HDD02_CSV File 1m Bins")</f>
        <v>168897_HDD02_CSV File 1m Bins</v>
      </c>
      <c r="D1965">
        <v>168897</v>
      </c>
      <c r="E1965" t="s">
        <v>2163</v>
      </c>
      <c r="F1965" t="str">
        <f>HYPERLINK("https://drillhole.pir.sa.gov.au/Details.aspx?DRILLHOLE_NO=168897","Geol Survey Link")</f>
        <v>Geol Survey Link</v>
      </c>
      <c r="I1965">
        <v>-31.677</v>
      </c>
      <c r="J1965">
        <v>140.773</v>
      </c>
      <c r="K1965" t="str">
        <f>HYPERLINK("https://sarigdata.pir.sa.gov.au/nvcl/NVCLDataServices/mosaic.html?datasetid=fdd17a71-463e-4a8c-bded-ce269289496","168897_HDD02_Core Image")</f>
        <v>168897_HDD02_Core Image</v>
      </c>
    </row>
    <row r="1966" spans="1:11" x14ac:dyDescent="0.25">
      <c r="A1966" t="str">
        <f>HYPERLINK("http://www.corstruth.com.au/SA/169145_LD2_cs.png","169145_LD2_A4")</f>
        <v>169145_LD2_A4</v>
      </c>
      <c r="B1966" t="str">
        <f>HYPERLINK("http://www.corstruth.com.au/SA/PNG2/169145_LD2_cs.png","169145_LD2_0.25m Bins")</f>
        <v>169145_LD2_0.25m Bins</v>
      </c>
      <c r="C1966" t="str">
        <f>HYPERLINK("http://www.corstruth.com.au/SA/CSV/169145_LD2.csv","169145_LD2_CSV File 1m Bins")</f>
        <v>169145_LD2_CSV File 1m Bins</v>
      </c>
      <c r="D1966">
        <v>169145</v>
      </c>
      <c r="E1966" t="s">
        <v>2163</v>
      </c>
      <c r="F1966" t="str">
        <f>HYPERLINK("https://drillhole.pir.sa.gov.au/Details.aspx?DRILLHOLE_NO=169145","Geol Survey Link")</f>
        <v>Geol Survey Link</v>
      </c>
      <c r="I1966">
        <v>-36.760599999999997</v>
      </c>
      <c r="J1966">
        <v>140.535</v>
      </c>
      <c r="K1966" t="str">
        <f>HYPERLINK("https://sarigdata.pir.sa.gov.au/nvcl/NVCLDataServices/mosaic.html?datasetid=558bae48-d883-480e-af8f-617f341a4ce","169145_LD2_Core Image")</f>
        <v>169145_LD2_Core Image</v>
      </c>
    </row>
    <row r="1967" spans="1:11" x14ac:dyDescent="0.25">
      <c r="A1967" t="str">
        <f>HYPERLINK("http://www.corstruth.com.au/SA/169146_LD3_cs.png","169146_LD3_A4")</f>
        <v>169146_LD3_A4</v>
      </c>
      <c r="B1967" t="str">
        <f>HYPERLINK("http://www.corstruth.com.au/SA/PNG2/169146_LD3_cs.png","169146_LD3_0.25m Bins")</f>
        <v>169146_LD3_0.25m Bins</v>
      </c>
      <c r="C1967" t="str">
        <f>HYPERLINK("http://www.corstruth.com.au/SA/CSV/169146_LD3.csv","169146_LD3_CSV File 1m Bins")</f>
        <v>169146_LD3_CSV File 1m Bins</v>
      </c>
      <c r="D1967">
        <v>169146</v>
      </c>
      <c r="E1967" t="s">
        <v>2163</v>
      </c>
      <c r="F1967" t="str">
        <f>HYPERLINK("https://drillhole.pir.sa.gov.au/Details.aspx?DRILLHOLE_NO=169146","Geol Survey Link")</f>
        <v>Geol Survey Link</v>
      </c>
      <c r="I1967">
        <v>-36.763500000000001</v>
      </c>
      <c r="J1967">
        <v>140.547</v>
      </c>
      <c r="K1967" t="str">
        <f>HYPERLINK("https://sarigdata.pir.sa.gov.au/nvcl/NVCLDataServices/mosaic.html?datasetid=94140167-fd68-43ef-90d1-faacde65934","169146_LD3_Core Image")</f>
        <v>169146_LD3_Core Image</v>
      </c>
    </row>
    <row r="1968" spans="1:11" x14ac:dyDescent="0.25">
      <c r="A1968" t="str">
        <f>HYPERLINK("http://www.corstruth.com.au/SA/169147_LD1_cs.png","169147_LD1_A4")</f>
        <v>169147_LD1_A4</v>
      </c>
      <c r="B1968" t="str">
        <f>HYPERLINK("http://www.corstruth.com.au/SA/PNG2/169147_LD1_cs.png","169147_LD1_0.25m Bins")</f>
        <v>169147_LD1_0.25m Bins</v>
      </c>
      <c r="C1968" t="str">
        <f>HYPERLINK("http://www.corstruth.com.au/SA/CSV/169147_LD1.csv","169147_LD1_CSV File 1m Bins")</f>
        <v>169147_LD1_CSV File 1m Bins</v>
      </c>
      <c r="D1968">
        <v>169147</v>
      </c>
      <c r="E1968" t="s">
        <v>2163</v>
      </c>
      <c r="F1968" t="str">
        <f>HYPERLINK("https://drillhole.pir.sa.gov.au/Details.aspx?DRILLHOLE_NO=169147","Geol Survey Link")</f>
        <v>Geol Survey Link</v>
      </c>
      <c r="I1968">
        <v>-36.810099999999998</v>
      </c>
      <c r="J1968">
        <v>140.57599999999999</v>
      </c>
      <c r="K1968" t="str">
        <f>HYPERLINK("https://sarigdata.pir.sa.gov.au/nvcl/NVCLDataServices/mosaic.html?datasetid=5c709023-38c8-4eda-82db-c1fc05fbca8","169147_LD1_Core Image")</f>
        <v>169147_LD1_Core Image</v>
      </c>
    </row>
    <row r="1969" spans="1:11" x14ac:dyDescent="0.25">
      <c r="A1969" t="str">
        <f>HYPERLINK("http://www.corstruth.com.au/SA/169554_LED001_cs.png","169554_LED001_A4")</f>
        <v>169554_LED001_A4</v>
      </c>
      <c r="B1969" t="str">
        <f>HYPERLINK("http://www.corstruth.com.au/SA/PNG2/169554_LED001_cs.png","169554_LED001_0.25m Bins")</f>
        <v>169554_LED001_0.25m Bins</v>
      </c>
      <c r="C1969" t="str">
        <f>HYPERLINK("http://www.corstruth.com.au/SA/CSV/169554_LED001.csv","169554_LED001_CSV File 1m Bins")</f>
        <v>169554_LED001_CSV File 1m Bins</v>
      </c>
      <c r="D1969">
        <v>169554</v>
      </c>
      <c r="E1969" t="s">
        <v>2163</v>
      </c>
      <c r="F1969" t="str">
        <f>HYPERLINK("https://drillhole.pir.sa.gov.au/Details.aspx?DRILLHOLE_NO=169554","Geol Survey Link")</f>
        <v>Geol Survey Link</v>
      </c>
      <c r="I1969">
        <v>-31.2257</v>
      </c>
      <c r="J1969">
        <v>134.76599999999999</v>
      </c>
      <c r="K1969" t="str">
        <f>HYPERLINK("https://sarigdata.pir.sa.gov.au/nvcl/NVCLDataServices/mosaic.html?datasetid=68d7fed1-ac8e-497d-bba9-f6b4e8d4d97","169554_LED001_Core Image")</f>
        <v>169554_LED001_Core Image</v>
      </c>
    </row>
    <row r="1970" spans="1:11" x14ac:dyDescent="0.25">
      <c r="A1970" t="str">
        <f>HYPERLINK("http://www.corstruth.com.au/SA/169555_LED002_cs.png","169555_LED002_A4")</f>
        <v>169555_LED002_A4</v>
      </c>
      <c r="B1970" t="str">
        <f>HYPERLINK("http://www.corstruth.com.au/SA/PNG2/169555_LED002_cs.png","169555_LED002_0.25m Bins")</f>
        <v>169555_LED002_0.25m Bins</v>
      </c>
      <c r="C1970" t="str">
        <f>HYPERLINK("http://www.corstruth.com.au/SA/CSV/169555_LED002.csv","169555_LED002_CSV File 1m Bins")</f>
        <v>169555_LED002_CSV File 1m Bins</v>
      </c>
      <c r="D1970">
        <v>169555</v>
      </c>
      <c r="E1970" t="s">
        <v>2163</v>
      </c>
      <c r="F1970" t="str">
        <f>HYPERLINK("https://drillhole.pir.sa.gov.au/Details.aspx?DRILLHOLE_NO=169555","Geol Survey Link")</f>
        <v>Geol Survey Link</v>
      </c>
      <c r="I1970">
        <v>-31.225999999999999</v>
      </c>
      <c r="J1970">
        <v>134.76400000000001</v>
      </c>
      <c r="K1970" t="str">
        <f>HYPERLINK("https://sarigdata.pir.sa.gov.au/nvcl/NVCLDataServices/mosaic.html?datasetid=9e0372a6-b923-4c0c-ab66-652128092e1","169555_LED002_Core Image")</f>
        <v>169555_LED002_Core Image</v>
      </c>
    </row>
    <row r="1971" spans="1:11" x14ac:dyDescent="0.25">
      <c r="A1971" t="str">
        <f>HYPERLINK("http://www.corstruth.com.au/SA/169556_LED003_cs.png","169556_LED003_A4")</f>
        <v>169556_LED003_A4</v>
      </c>
      <c r="B1971" t="str">
        <f>HYPERLINK("http://www.corstruth.com.au/SA/PNG2/169556_LED003_cs.png","169556_LED003_0.25m Bins")</f>
        <v>169556_LED003_0.25m Bins</v>
      </c>
      <c r="C1971" t="str">
        <f>HYPERLINK("http://www.corstruth.com.au/SA/CSV/169556_LED003.csv","169556_LED003_CSV File 1m Bins")</f>
        <v>169556_LED003_CSV File 1m Bins</v>
      </c>
      <c r="D1971">
        <v>169556</v>
      </c>
      <c r="E1971" t="s">
        <v>2163</v>
      </c>
      <c r="F1971" t="str">
        <f>HYPERLINK("https://drillhole.pir.sa.gov.au/Details.aspx?DRILLHOLE_NO=169556","Geol Survey Link")</f>
        <v>Geol Survey Link</v>
      </c>
      <c r="I1971">
        <v>-31.227699999999999</v>
      </c>
      <c r="J1971">
        <v>134.76400000000001</v>
      </c>
      <c r="K1971" t="str">
        <f>HYPERLINK("https://sarigdata.pir.sa.gov.au/nvcl/NVCLDataServices/mosaic.html?datasetid=1f05964d-c6d9-4719-b4e3-3f03d9612a4","169556_LED003_Core Image")</f>
        <v>169556_LED003_Core Image</v>
      </c>
    </row>
    <row r="1972" spans="1:11" x14ac:dyDescent="0.25">
      <c r="A1972" t="str">
        <f>HYPERLINK("http://www.corstruth.com.au/SA/169557_LED006_cs.png","169557_LED006_A4")</f>
        <v>169557_LED006_A4</v>
      </c>
      <c r="B1972" t="str">
        <f>HYPERLINK("http://www.corstruth.com.au/SA/PNG2/169557_LED006_cs.png","169557_LED006_0.25m Bins")</f>
        <v>169557_LED006_0.25m Bins</v>
      </c>
      <c r="C1972" t="str">
        <f>HYPERLINK("http://www.corstruth.com.au/SA/CSV/169557_LED006.csv","169557_LED006_CSV File 1m Bins")</f>
        <v>169557_LED006_CSV File 1m Bins</v>
      </c>
      <c r="D1972">
        <v>169557</v>
      </c>
      <c r="E1972" t="s">
        <v>2163</v>
      </c>
      <c r="F1972" t="str">
        <f>HYPERLINK("https://drillhole.pir.sa.gov.au/Details.aspx?DRILLHOLE_NO=169557","Geol Survey Link")</f>
        <v>Geol Survey Link</v>
      </c>
      <c r="I1972">
        <v>-31.226500000000001</v>
      </c>
      <c r="J1972">
        <v>134.76300000000001</v>
      </c>
      <c r="K1972" t="str">
        <f>HYPERLINK("https://sarigdata.pir.sa.gov.au/nvcl/NVCLDataServices/mosaic.html?datasetid=7e37e27f-d490-4a12-94d3-dd65562aa8c","169557_LED006_Core Image")</f>
        <v>169557_LED006_Core Image</v>
      </c>
    </row>
    <row r="1973" spans="1:11" x14ac:dyDescent="0.25">
      <c r="A1973" t="str">
        <f>HYPERLINK("http://www.corstruth.com.au/SA/169558_LED007_cs.png","169558_LED007_A4")</f>
        <v>169558_LED007_A4</v>
      </c>
      <c r="B1973" t="str">
        <f>HYPERLINK("http://www.corstruth.com.au/SA/PNG2/169558_LED007_cs.png","169558_LED007_0.25m Bins")</f>
        <v>169558_LED007_0.25m Bins</v>
      </c>
      <c r="C1973" t="str">
        <f>HYPERLINK("http://www.corstruth.com.au/SA/CSV/169558_LED007.csv","169558_LED007_CSV File 1m Bins")</f>
        <v>169558_LED007_CSV File 1m Bins</v>
      </c>
      <c r="D1973">
        <v>169558</v>
      </c>
      <c r="E1973" t="s">
        <v>2163</v>
      </c>
      <c r="F1973" t="str">
        <f>HYPERLINK("https://drillhole.pir.sa.gov.au/Details.aspx?DRILLHOLE_NO=169558","Geol Survey Link")</f>
        <v>Geol Survey Link</v>
      </c>
      <c r="I1973">
        <v>-31.226800000000001</v>
      </c>
      <c r="J1973">
        <v>134.76400000000001</v>
      </c>
      <c r="K1973" t="str">
        <f>HYPERLINK("https://sarigdata.pir.sa.gov.au/nvcl/NVCLDataServices/mosaic.html?datasetid=d7e87c13-a7d7-49b3-a688-949f9d77265","169558_LED007_Core Image")</f>
        <v>169558_LED007_Core Image</v>
      </c>
    </row>
    <row r="1974" spans="1:11" x14ac:dyDescent="0.25">
      <c r="A1974" t="str">
        <f>HYPERLINK("http://www.corstruth.com.au/SA/169559_LED009_cs.png","169559_LED009_A4")</f>
        <v>169559_LED009_A4</v>
      </c>
      <c r="B1974" t="str">
        <f>HYPERLINK("http://www.corstruth.com.au/SA/PNG2/169559_LED009_cs.png","169559_LED009_0.25m Bins")</f>
        <v>169559_LED009_0.25m Bins</v>
      </c>
      <c r="C1974" t="str">
        <f>HYPERLINK("http://www.corstruth.com.au/SA/CSV/169559_LED009.csv","169559_LED009_CSV File 1m Bins")</f>
        <v>169559_LED009_CSV File 1m Bins</v>
      </c>
      <c r="D1974">
        <v>169559</v>
      </c>
      <c r="E1974" t="s">
        <v>2163</v>
      </c>
      <c r="F1974" t="str">
        <f>HYPERLINK("https://drillhole.pir.sa.gov.au/Details.aspx?DRILLHOLE_NO=169559","Geol Survey Link")</f>
        <v>Geol Survey Link</v>
      </c>
      <c r="I1974">
        <v>-31.225200000000001</v>
      </c>
      <c r="J1974">
        <v>134.76300000000001</v>
      </c>
      <c r="K1974" t="str">
        <f>HYPERLINK("https://sarigdata.pir.sa.gov.au/nvcl/NVCLDataServices/mosaic.html?datasetid=25a7fc78-8960-4f5d-a296-651b406f02a","169559_LED009_Core Image")</f>
        <v>169559_LED009_Core Image</v>
      </c>
    </row>
    <row r="1975" spans="1:11" x14ac:dyDescent="0.25">
      <c r="A1975" t="str">
        <f>HYPERLINK("http://www.corstruth.com.au/SA/169869_LED004_cs.png","169869_LED004_A4")</f>
        <v>169869_LED004_A4</v>
      </c>
      <c r="B1975" t="str">
        <f>HYPERLINK("http://www.corstruth.com.au/SA/PNG2/169869_LED004_cs.png","169869_LED004_0.25m Bins")</f>
        <v>169869_LED004_0.25m Bins</v>
      </c>
      <c r="C1975" t="str">
        <f>HYPERLINK("http://www.corstruth.com.au/SA/CSV/169869_LED004.csv","169869_LED004_CSV File 1m Bins")</f>
        <v>169869_LED004_CSV File 1m Bins</v>
      </c>
      <c r="D1975">
        <v>169869</v>
      </c>
      <c r="E1975" t="s">
        <v>2163</v>
      </c>
      <c r="F1975" t="str">
        <f>HYPERLINK("https://drillhole.pir.sa.gov.au/Details.aspx?DRILLHOLE_NO=169869","Geol Survey Link")</f>
        <v>Geol Survey Link</v>
      </c>
      <c r="I1975">
        <v>-31.2273</v>
      </c>
      <c r="J1975">
        <v>134.76400000000001</v>
      </c>
      <c r="K1975" t="str">
        <f>HYPERLINK("https://sarigdata.pir.sa.gov.au/nvcl/NVCLDataServices/mosaic.html?datasetid=1521aad6-2446-476d-a58b-45bb613ba25","169869_LED004_Core Image")</f>
        <v>169869_LED004_Core Image</v>
      </c>
    </row>
    <row r="1976" spans="1:11" x14ac:dyDescent="0.25">
      <c r="A1976" t="str">
        <f>HYPERLINK("http://www.corstruth.com.au/SA/169870_LED010_cs.png","169870_LED010_A4")</f>
        <v>169870_LED010_A4</v>
      </c>
      <c r="B1976" t="str">
        <f>HYPERLINK("http://www.corstruth.com.au/SA/PNG2/169870_LED010_cs.png","169870_LED010_0.25m Bins")</f>
        <v>169870_LED010_0.25m Bins</v>
      </c>
      <c r="C1976" t="str">
        <f>HYPERLINK("http://www.corstruth.com.au/SA/CSV/169870_LED010.csv","169870_LED010_CSV File 1m Bins")</f>
        <v>169870_LED010_CSV File 1m Bins</v>
      </c>
      <c r="D1976">
        <v>169870</v>
      </c>
      <c r="E1976" t="s">
        <v>2163</v>
      </c>
      <c r="F1976" t="str">
        <f>HYPERLINK("https://drillhole.pir.sa.gov.au/Details.aspx?DRILLHOLE_NO=169870","Geol Survey Link")</f>
        <v>Geol Survey Link</v>
      </c>
      <c r="I1976">
        <v>-31.225899999999999</v>
      </c>
      <c r="J1976">
        <v>134.762</v>
      </c>
      <c r="K1976" t="str">
        <f>HYPERLINK("https://sarigdata.pir.sa.gov.au/nvcl/NVCLDataServices/mosaic.html?datasetid=705bcfba-4be7-41c6-91fd-af596370b70","169870_LED010_Core Image")</f>
        <v>169870_LED010_Core Image</v>
      </c>
    </row>
    <row r="1977" spans="1:11" x14ac:dyDescent="0.25">
      <c r="A1977" t="str">
        <f>HYPERLINK("http://www.corstruth.com.au/SA/169871_LRC32D_cs.png","169871_LRC32D_A4")</f>
        <v>169871_LRC32D_A4</v>
      </c>
      <c r="B1977" t="str">
        <f>HYPERLINK("http://www.corstruth.com.au/SA/PNG2/169871_LRC32D_cs.png","169871_LRC32D_0.25m Bins")</f>
        <v>169871_LRC32D_0.25m Bins</v>
      </c>
      <c r="C1977" t="str">
        <f>HYPERLINK("http://www.corstruth.com.au/SA/CSV/169871_LRC32D.csv","169871_LRC32D_CSV File 1m Bins")</f>
        <v>169871_LRC32D_CSV File 1m Bins</v>
      </c>
      <c r="D1977">
        <v>169871</v>
      </c>
      <c r="E1977" t="s">
        <v>2163</v>
      </c>
      <c r="F1977" t="str">
        <f>HYPERLINK("https://drillhole.pir.sa.gov.au/Details.aspx?DRILLHOLE_NO=169871","Geol Survey Link")</f>
        <v>Geol Survey Link</v>
      </c>
      <c r="I1977">
        <v>-31.226099999999999</v>
      </c>
      <c r="J1977">
        <v>134.76599999999999</v>
      </c>
      <c r="K1977" t="str">
        <f>HYPERLINK("https://sarigdata.pir.sa.gov.au/nvcl/NVCLDataServices/mosaic.html?datasetid=db2b4044-8b82-4e3d-8e2e-b81cb5a5495","169871_LRC32D_Core Image")</f>
        <v>169871_LRC32D_Core Image</v>
      </c>
    </row>
    <row r="1978" spans="1:11" x14ac:dyDescent="0.25">
      <c r="A1978" t="str">
        <f>HYPERLINK("http://www.corstruth.com.au/SA/170020_BRD1_cs.png","170020_BRD1_A4")</f>
        <v>170020_BRD1_A4</v>
      </c>
      <c r="B1978" t="str">
        <f>HYPERLINK("http://www.corstruth.com.au/SA/PNG2/170020_BRD1_cs.png","170020_BRD1_0.25m Bins")</f>
        <v>170020_BRD1_0.25m Bins</v>
      </c>
      <c r="C1978" t="str">
        <f>HYPERLINK("http://www.corstruth.com.au/SA/CSV/170020_BRD1.csv","170020_BRD1_CSV File 1m Bins")</f>
        <v>170020_BRD1_CSV File 1m Bins</v>
      </c>
      <c r="D1978">
        <v>170020</v>
      </c>
      <c r="E1978" t="s">
        <v>2163</v>
      </c>
      <c r="F1978" t="str">
        <f>HYPERLINK("https://drillhole.pir.sa.gov.au/Details.aspx?DRILLHOLE_NO=170020","Geol Survey Link")</f>
        <v>Geol Survey Link</v>
      </c>
      <c r="I1978">
        <v>-30.398099999999999</v>
      </c>
      <c r="J1978">
        <v>137.30199999999999</v>
      </c>
      <c r="K1978" t="str">
        <f>HYPERLINK("https://sarigdata.pir.sa.gov.au/nvcl/NVCLDataServices/mosaic.html?datasetid=a6030836-1e68-4813-86cf-2915a42dbb5","170020_BRD1_Core Image")</f>
        <v>170020_BRD1_Core Image</v>
      </c>
    </row>
    <row r="1979" spans="1:11" x14ac:dyDescent="0.25">
      <c r="A1979" t="str">
        <f>HYPERLINK("http://www.corstruth.com.au/SA/171734_MM11_cs.png","171734_MM11_A4")</f>
        <v>171734_MM11_A4</v>
      </c>
      <c r="B1979" t="str">
        <f>HYPERLINK("http://www.corstruth.com.au/SA/PNG2/171734_MM11_cs.png","171734_MM11_0.25m Bins")</f>
        <v>171734_MM11_0.25m Bins</v>
      </c>
      <c r="C1979" t="str">
        <f>HYPERLINK("http://www.corstruth.com.au/SA/CSV/171734_MM11.csv","171734_MM11_CSV File 1m Bins")</f>
        <v>171734_MM11_CSV File 1m Bins</v>
      </c>
      <c r="D1979">
        <v>171734</v>
      </c>
      <c r="E1979" t="s">
        <v>2163</v>
      </c>
      <c r="F1979" t="str">
        <f>HYPERLINK("https://drillhole.pir.sa.gov.au/Details.aspx?DRILLHOLE_NO=171734","Geol Survey Link")</f>
        <v>Geol Survey Link</v>
      </c>
      <c r="I1979">
        <v>-32.261200000000002</v>
      </c>
      <c r="J1979">
        <v>140.92500000000001</v>
      </c>
      <c r="K1979" t="str">
        <f>HYPERLINK("https://sarigdata.pir.sa.gov.au/nvcl/NVCLDataServices/mosaic.html?datasetid=b670f64c-f14f-45b5-a65c-f4b491484b7","171734_MM11_Core Image")</f>
        <v>171734_MM11_Core Image</v>
      </c>
    </row>
    <row r="1980" spans="1:11" x14ac:dyDescent="0.25">
      <c r="A1980" t="str">
        <f>HYPERLINK("http://www.corstruth.com.au/SA/171750_MM14_cs.png","171750_MM14_A4")</f>
        <v>171750_MM14_A4</v>
      </c>
      <c r="B1980" t="str">
        <f>HYPERLINK("http://www.corstruth.com.au/SA/PNG2/171750_MM14_cs.png","171750_MM14_0.25m Bins")</f>
        <v>171750_MM14_0.25m Bins</v>
      </c>
      <c r="C1980" t="str">
        <f>HYPERLINK("http://www.corstruth.com.au/SA/CSV/171750_MM14.csv","171750_MM14_CSV File 1m Bins")</f>
        <v>171750_MM14_CSV File 1m Bins</v>
      </c>
      <c r="D1980">
        <v>171750</v>
      </c>
      <c r="E1980" t="s">
        <v>2163</v>
      </c>
      <c r="F1980" t="str">
        <f>HYPERLINK("https://drillhole.pir.sa.gov.au/Details.aspx?DRILLHOLE_NO=171750","Geol Survey Link")</f>
        <v>Geol Survey Link</v>
      </c>
      <c r="I1980">
        <v>-32.250900000000001</v>
      </c>
      <c r="J1980">
        <v>140.922</v>
      </c>
      <c r="K1980" t="str">
        <f>HYPERLINK("https://sarigdata.pir.sa.gov.au/nvcl/NVCLDataServices/mosaic.html?datasetid=2991afe3-29d3-485a-8944-351d05a5eee","171750_MM14_Core Image")</f>
        <v>171750_MM14_Core Image</v>
      </c>
    </row>
    <row r="1981" spans="1:11" x14ac:dyDescent="0.25">
      <c r="A1981" t="str">
        <f>HYPERLINK("http://www.corstruth.com.au/SA/17236_WilklowGraphite1_cs.png","17236_WilklowGraphite1_A4")</f>
        <v>17236_WilklowGraphite1_A4</v>
      </c>
      <c r="B1981" t="str">
        <f>HYPERLINK("http://www.corstruth.com.au/SA/PNG2/17236_WilklowGraphite1_cs.png","17236_WilklowGraphite1_0.25m Bins")</f>
        <v>17236_WilklowGraphite1_0.25m Bins</v>
      </c>
      <c r="C1981" t="str">
        <f>HYPERLINK("http://www.corstruth.com.au/SA/CSV/17236_WilklowGraphite1.csv","17236_WilklowGraphite1_CSV File 1m Bins")</f>
        <v>17236_WilklowGraphite1_CSV File 1m Bins</v>
      </c>
      <c r="D1981">
        <v>17236</v>
      </c>
      <c r="E1981" t="s">
        <v>2163</v>
      </c>
      <c r="F1981" t="str">
        <f>HYPERLINK("https://drillhole.pir.sa.gov.au/Details.aspx?DRILLHOLE_NO=17236","Geol Survey Link")</f>
        <v>Geol Survey Link</v>
      </c>
      <c r="I1981">
        <v>-33.567999999999998</v>
      </c>
      <c r="J1981">
        <v>136.77600000000001</v>
      </c>
      <c r="K1981" t="str">
        <f>HYPERLINK("https://sarigdata.pir.sa.gov.au/nvcl/NVCLDataServices/mosaic.html?datasetid=8b635f54-fe10-4c1a-87c0-99660a89918","17236_WilklowGraphite1_Core Image")</f>
        <v>17236_WilklowGraphite1_Core Image</v>
      </c>
    </row>
    <row r="1982" spans="1:11" x14ac:dyDescent="0.25">
      <c r="A1982" t="str">
        <f>HYPERLINK("http://www.corstruth.com.au/SA/17240_WilklowGraphite2_cs.png","17240_WilklowGraphite2_A4")</f>
        <v>17240_WilklowGraphite2_A4</v>
      </c>
      <c r="B1982" t="str">
        <f>HYPERLINK("http://www.corstruth.com.au/SA/PNG2/17240_WilklowGraphite2_cs.png","17240_WilklowGraphite2_0.25m Bins")</f>
        <v>17240_WilklowGraphite2_0.25m Bins</v>
      </c>
      <c r="C1982" t="str">
        <f>HYPERLINK("http://www.corstruth.com.au/SA/CSV/17240_WilklowGraphite2.csv","17240_WilklowGraphite2_CSV File 1m Bins")</f>
        <v>17240_WilklowGraphite2_CSV File 1m Bins</v>
      </c>
      <c r="D1982">
        <v>17240</v>
      </c>
      <c r="E1982" t="s">
        <v>2163</v>
      </c>
      <c r="F1982" t="str">
        <f>HYPERLINK("https://drillhole.pir.sa.gov.au/Details.aspx?DRILLHOLE_NO=17240","Geol Survey Link")</f>
        <v>Geol Survey Link</v>
      </c>
      <c r="I1982">
        <v>-33.567999999999998</v>
      </c>
      <c r="J1982">
        <v>136.77600000000001</v>
      </c>
      <c r="K1982" t="str">
        <f>HYPERLINK("https://sarigdata.pir.sa.gov.au/nvcl/NVCLDataServices/mosaic.html?datasetid=41f21ad4-4097-4ab5-a63f-d26df8edadb","17240_WilklowGraphite2_Core Image")</f>
        <v>17240_WilklowGraphite2_Core Image</v>
      </c>
    </row>
    <row r="1983" spans="1:11" x14ac:dyDescent="0.25">
      <c r="A1983" t="str">
        <f>HYPERLINK("http://www.corstruth.com.au/SA/173735_SHR001_cs.png","173735_SHR001_A4")</f>
        <v>173735_SHR001_A4</v>
      </c>
      <c r="B1983" t="str">
        <f>HYPERLINK("http://www.corstruth.com.au/SA/PNG2/173735_SHR001_cs.png","173735_SHR001_0.25m Bins")</f>
        <v>173735_SHR001_0.25m Bins</v>
      </c>
      <c r="C1983" t="str">
        <f>HYPERLINK("http://www.corstruth.com.au/SA/CSV/173735_SHR001.csv","173735_SHR001_CSV File 1m Bins")</f>
        <v>173735_SHR001_CSV File 1m Bins</v>
      </c>
      <c r="D1983">
        <v>173735</v>
      </c>
      <c r="E1983" t="s">
        <v>2163</v>
      </c>
      <c r="F1983" t="str">
        <f>HYPERLINK("https://drillhole.pir.sa.gov.au/Details.aspx?DRILLHOLE_NO=173735","Geol Survey Link")</f>
        <v>Geol Survey Link</v>
      </c>
      <c r="I1983">
        <v>-35.346299999999999</v>
      </c>
      <c r="J1983">
        <v>139.761</v>
      </c>
      <c r="K1983" t="str">
        <f>HYPERLINK("https://sarigdata.pir.sa.gov.au/nvcl/NVCLDataServices/mosaic.html?datasetid=d7136371-b3fc-402c-a235-64f61caf1d5","173735_SHR001_Core Image")</f>
        <v>173735_SHR001_Core Image</v>
      </c>
    </row>
    <row r="1984" spans="1:11" x14ac:dyDescent="0.25">
      <c r="A1984" t="str">
        <f>HYPERLINK("http://www.corstruth.com.au/SA/173737_SHR003_cs.png","173737_SHR003_A4")</f>
        <v>173737_SHR003_A4</v>
      </c>
      <c r="B1984" t="str">
        <f>HYPERLINK("http://www.corstruth.com.au/SA/PNG2/173737_SHR003_cs.png","173737_SHR003_0.25m Bins")</f>
        <v>173737_SHR003_0.25m Bins</v>
      </c>
      <c r="C1984" t="str">
        <f>HYPERLINK("http://www.corstruth.com.au/SA/CSV/173737_SHR003.csv","173737_SHR003_CSV File 1m Bins")</f>
        <v>173737_SHR003_CSV File 1m Bins</v>
      </c>
      <c r="D1984">
        <v>173737</v>
      </c>
      <c r="E1984" t="s">
        <v>2163</v>
      </c>
      <c r="F1984" t="str">
        <f>HYPERLINK("https://drillhole.pir.sa.gov.au/Details.aspx?DRILLHOLE_NO=173737","Geol Survey Link")</f>
        <v>Geol Survey Link</v>
      </c>
      <c r="I1984">
        <v>-35.340800000000002</v>
      </c>
      <c r="J1984">
        <v>139.77000000000001</v>
      </c>
    </row>
    <row r="1985" spans="1:11" x14ac:dyDescent="0.25">
      <c r="A1985" t="str">
        <f>HYPERLINK("http://www.corstruth.com.au/SA/173739_SHR004_cs.png","173739_SHR004_A4")</f>
        <v>173739_SHR004_A4</v>
      </c>
      <c r="B1985" t="str">
        <f>HYPERLINK("http://www.corstruth.com.au/SA/PNG2/173739_SHR004_cs.png","173739_SHR004_0.25m Bins")</f>
        <v>173739_SHR004_0.25m Bins</v>
      </c>
      <c r="C1985" t="str">
        <f>HYPERLINK("http://www.corstruth.com.au/SA/CSV/173739_SHR004.csv","173739_SHR004_CSV File 1m Bins")</f>
        <v>173739_SHR004_CSV File 1m Bins</v>
      </c>
      <c r="D1985">
        <v>173739</v>
      </c>
      <c r="E1985" t="s">
        <v>2163</v>
      </c>
      <c r="F1985" t="str">
        <f>HYPERLINK("https://drillhole.pir.sa.gov.au/Details.aspx?DRILLHOLE_NO=173739","Geol Survey Link")</f>
        <v>Geol Survey Link</v>
      </c>
      <c r="I1985">
        <v>-35.339399999999998</v>
      </c>
      <c r="J1985">
        <v>139.77600000000001</v>
      </c>
      <c r="K1985" t="str">
        <f>HYPERLINK("https://sarigdata.pir.sa.gov.au/nvcl/NVCLDataServices/mosaic.html?datasetid=7680ab10-1cf1-441d-a34d-5f4f14c4f4d","173739_SHR004_Core Image")</f>
        <v>173739_SHR004_Core Image</v>
      </c>
    </row>
    <row r="1986" spans="1:11" x14ac:dyDescent="0.25">
      <c r="A1986" t="str">
        <f>HYPERLINK("http://www.corstruth.com.au/SA/173742_SHR007_cs.png","173742_SHR007_A4")</f>
        <v>173742_SHR007_A4</v>
      </c>
      <c r="B1986" t="str">
        <f>HYPERLINK("http://www.corstruth.com.au/SA/PNG2/173742_SHR007_cs.png","173742_SHR007_0.25m Bins")</f>
        <v>173742_SHR007_0.25m Bins</v>
      </c>
      <c r="C1986" t="str">
        <f>HYPERLINK("http://www.corstruth.com.au/SA/CSV/173742_SHR007.csv","173742_SHR007_CSV File 1m Bins")</f>
        <v>173742_SHR007_CSV File 1m Bins</v>
      </c>
      <c r="D1986">
        <v>173742</v>
      </c>
      <c r="E1986" t="s">
        <v>2163</v>
      </c>
      <c r="F1986" t="str">
        <f>HYPERLINK("https://drillhole.pir.sa.gov.au/Details.aspx?DRILLHOLE_NO=173742","Geol Survey Link")</f>
        <v>Geol Survey Link</v>
      </c>
      <c r="I1986">
        <v>-35.345599999999997</v>
      </c>
      <c r="J1986">
        <v>139.761</v>
      </c>
      <c r="K1986" t="str">
        <f>HYPERLINK("https://sarigdata.pir.sa.gov.au/nvcl/NVCLDataServices/mosaic.html?datasetid=ad8e6427-f28f-4dae-a1d9-84cafb6526a","173742_SHR007_Core Image")</f>
        <v>173742_SHR007_Core Image</v>
      </c>
    </row>
    <row r="1987" spans="1:11" x14ac:dyDescent="0.25">
      <c r="A1987" t="str">
        <f>HYPERLINK("http://www.corstruth.com.au/SA/173743_SHR008_cs.png","173743_SHR008_A4")</f>
        <v>173743_SHR008_A4</v>
      </c>
      <c r="B1987" t="str">
        <f>HYPERLINK("http://www.corstruth.com.au/SA/PNG2/173743_SHR008_cs.png","173743_SHR008_0.25m Bins")</f>
        <v>173743_SHR008_0.25m Bins</v>
      </c>
      <c r="C1987" t="str">
        <f>HYPERLINK("http://www.corstruth.com.au/SA/CSV/173743_SHR008.csv","173743_SHR008_CSV File 1m Bins")</f>
        <v>173743_SHR008_CSV File 1m Bins</v>
      </c>
      <c r="D1987">
        <v>173743</v>
      </c>
      <c r="E1987" t="s">
        <v>2163</v>
      </c>
      <c r="F1987" t="str">
        <f>HYPERLINK("https://drillhole.pir.sa.gov.au/Details.aspx?DRILLHOLE_NO=173743","Geol Survey Link")</f>
        <v>Geol Survey Link</v>
      </c>
      <c r="I1987">
        <v>-35.346400000000003</v>
      </c>
      <c r="J1987">
        <v>139.761</v>
      </c>
    </row>
    <row r="1988" spans="1:11" x14ac:dyDescent="0.25">
      <c r="A1988" t="str">
        <f>HYPERLINK("http://www.corstruth.com.au/SA/173745_SHR009_cs.png","173745_SHR009_A4")</f>
        <v>173745_SHR009_A4</v>
      </c>
      <c r="B1988" t="str">
        <f>HYPERLINK("http://www.corstruth.com.au/SA/PNG2/173745_SHR009_cs.png","173745_SHR009_0.25m Bins")</f>
        <v>173745_SHR009_0.25m Bins</v>
      </c>
      <c r="C1988" t="str">
        <f>HYPERLINK("http://www.corstruth.com.au/SA/CSV/173745_SHR009.csv","173745_SHR009_CSV File 1m Bins")</f>
        <v>173745_SHR009_CSV File 1m Bins</v>
      </c>
      <c r="D1988">
        <v>173745</v>
      </c>
      <c r="E1988" t="s">
        <v>2163</v>
      </c>
      <c r="F1988" t="str">
        <f>HYPERLINK("https://drillhole.pir.sa.gov.au/Details.aspx?DRILLHOLE_NO=173745","Geol Survey Link")</f>
        <v>Geol Survey Link</v>
      </c>
      <c r="I1988">
        <v>-35.340499999999999</v>
      </c>
      <c r="J1988">
        <v>139.76499999999999</v>
      </c>
      <c r="K1988" t="str">
        <f>HYPERLINK("https://sarigdata.pir.sa.gov.au/nvcl/NVCLDataServices/mosaic.html?datasetid=81d4c3eb-74e4-4ac9-a7d5-e946364e056","173745_SHR009_Core Image")</f>
        <v>173745_SHR009_Core Image</v>
      </c>
    </row>
    <row r="1989" spans="1:11" x14ac:dyDescent="0.25">
      <c r="A1989" t="str">
        <f>HYPERLINK("http://www.corstruth.com.au/SA/173755_SHR013_cs.png","173755_SHR013_A4")</f>
        <v>173755_SHR013_A4</v>
      </c>
      <c r="B1989" t="str">
        <f>HYPERLINK("http://www.corstruth.com.au/SA/PNG2/173755_SHR013_cs.png","173755_SHR013_0.25m Bins")</f>
        <v>173755_SHR013_0.25m Bins</v>
      </c>
      <c r="C1989" t="str">
        <f>HYPERLINK("http://www.corstruth.com.au/SA/CSV/173755_SHR013.csv","173755_SHR013_CSV File 1m Bins")</f>
        <v>173755_SHR013_CSV File 1m Bins</v>
      </c>
      <c r="D1989">
        <v>173755</v>
      </c>
      <c r="E1989" t="s">
        <v>2163</v>
      </c>
      <c r="F1989" t="str">
        <f>HYPERLINK("https://drillhole.pir.sa.gov.au/Details.aspx?DRILLHOLE_NO=173755","Geol Survey Link")</f>
        <v>Geol Survey Link</v>
      </c>
      <c r="I1989">
        <v>-35.370100000000001</v>
      </c>
      <c r="J1989">
        <v>139.77099999999999</v>
      </c>
      <c r="K1989" t="str">
        <f>HYPERLINK("https://sarigdata.pir.sa.gov.au/nvcl/NVCLDataServices/mosaic.html?datasetid=82523e80-8474-4b7a-9d6b-34d426ff696","173755_SHR013_Core Image")</f>
        <v>173755_SHR013_Core Image</v>
      </c>
    </row>
    <row r="1990" spans="1:11" x14ac:dyDescent="0.25">
      <c r="A1990" t="str">
        <f>HYPERLINK("http://www.corstruth.com.au/SA/173762_SHR019_cs.png","173762_SHR019_A4")</f>
        <v>173762_SHR019_A4</v>
      </c>
      <c r="B1990" t="str">
        <f>HYPERLINK("http://www.corstruth.com.au/SA/PNG2/173762_SHR019_cs.png","173762_SHR019_0.25m Bins")</f>
        <v>173762_SHR019_0.25m Bins</v>
      </c>
      <c r="C1990" t="str">
        <f>HYPERLINK("http://www.corstruth.com.au/SA/CSV/173762_SHR019.csv","173762_SHR019_CSV File 1m Bins")</f>
        <v>173762_SHR019_CSV File 1m Bins</v>
      </c>
      <c r="D1990">
        <v>173762</v>
      </c>
      <c r="E1990" t="s">
        <v>2163</v>
      </c>
      <c r="F1990" t="str">
        <f>HYPERLINK("https://drillhole.pir.sa.gov.au/Details.aspx?DRILLHOLE_NO=173762","Geol Survey Link")</f>
        <v>Geol Survey Link</v>
      </c>
      <c r="I1990">
        <v>-35.314799999999998</v>
      </c>
      <c r="J1990">
        <v>139.76900000000001</v>
      </c>
      <c r="K1990" t="str">
        <f>HYPERLINK("https://sarigdata.pir.sa.gov.au/nvcl/NVCLDataServices/mosaic.html?datasetid=97b3377f-94da-42f6-aae0-0494bc5575e","173762_SHR019_Core Image")</f>
        <v>173762_SHR019_Core Image</v>
      </c>
    </row>
    <row r="1991" spans="1:11" x14ac:dyDescent="0.25">
      <c r="A1991" t="str">
        <f>HYPERLINK("http://www.corstruth.com.au/SA/173765_SHR022_cs.png","173765_SHR022_A4")</f>
        <v>173765_SHR022_A4</v>
      </c>
      <c r="B1991" t="str">
        <f>HYPERLINK("http://www.corstruth.com.au/SA/PNG2/173765_SHR022_cs.png","173765_SHR022_0.25m Bins")</f>
        <v>173765_SHR022_0.25m Bins</v>
      </c>
      <c r="C1991" t="str">
        <f>HYPERLINK("http://www.corstruth.com.au/SA/CSV/173765_SHR022.csv","173765_SHR022_CSV File 1m Bins")</f>
        <v>173765_SHR022_CSV File 1m Bins</v>
      </c>
      <c r="D1991">
        <v>173765</v>
      </c>
      <c r="E1991" t="s">
        <v>2163</v>
      </c>
      <c r="F1991" t="str">
        <f>HYPERLINK("https://drillhole.pir.sa.gov.au/Details.aspx?DRILLHOLE_NO=173765","Geol Survey Link")</f>
        <v>Geol Survey Link</v>
      </c>
      <c r="I1991">
        <v>-35.310099999999998</v>
      </c>
      <c r="J1991">
        <v>139.75</v>
      </c>
      <c r="K1991" t="str">
        <f>HYPERLINK("https://sarigdata.pir.sa.gov.au/nvcl/NVCLDataServices/mosaic.html?datasetid=bca925f9-495a-45e6-8c40-79fca9f1070","173765_SHR022_Core Image")</f>
        <v>173765_SHR022_Core Image</v>
      </c>
    </row>
    <row r="1992" spans="1:11" x14ac:dyDescent="0.25">
      <c r="A1992" t="str">
        <f>HYPERLINK("http://www.corstruth.com.au/SA/173768_SHR025_cs.png","173768_SHR025_A4")</f>
        <v>173768_SHR025_A4</v>
      </c>
      <c r="B1992" t="str">
        <f>HYPERLINK("http://www.corstruth.com.au/SA/PNG2/173768_SHR025_cs.png","173768_SHR025_0.25m Bins")</f>
        <v>173768_SHR025_0.25m Bins</v>
      </c>
      <c r="C1992" t="str">
        <f>HYPERLINK("http://www.corstruth.com.au/SA/CSV/173768_SHR025.csv","173768_SHR025_CSV File 1m Bins")</f>
        <v>173768_SHR025_CSV File 1m Bins</v>
      </c>
      <c r="D1992">
        <v>173768</v>
      </c>
      <c r="E1992" t="s">
        <v>2163</v>
      </c>
      <c r="F1992" t="str">
        <f>HYPERLINK("https://drillhole.pir.sa.gov.au/Details.aspx?DRILLHOLE_NO=173768","Geol Survey Link")</f>
        <v>Geol Survey Link</v>
      </c>
      <c r="I1992">
        <v>-35.5505</v>
      </c>
      <c r="J1992">
        <v>139.684</v>
      </c>
      <c r="K1992" t="str">
        <f>HYPERLINK("https://sarigdata.pir.sa.gov.au/nvcl/NVCLDataServices/mosaic.html?datasetid=b1fd5583-d90c-4866-92dc-de8d0dad63d","173768_SHR025_Core Image")</f>
        <v>173768_SHR025_Core Image</v>
      </c>
    </row>
    <row r="1993" spans="1:11" x14ac:dyDescent="0.25">
      <c r="A1993" t="str">
        <f>HYPERLINK("http://www.corstruth.com.au/SA/173769_SHR026_cs.png","173769_SHR026_A4")</f>
        <v>173769_SHR026_A4</v>
      </c>
      <c r="B1993" t="str">
        <f>HYPERLINK("http://www.corstruth.com.au/SA/PNG2/173769_SHR026_cs.png","173769_SHR026_0.25m Bins")</f>
        <v>173769_SHR026_0.25m Bins</v>
      </c>
      <c r="C1993" t="str">
        <f>HYPERLINK("http://www.corstruth.com.au/SA/CSV/173769_SHR026.csv","173769_SHR026_CSV File 1m Bins")</f>
        <v>173769_SHR026_CSV File 1m Bins</v>
      </c>
      <c r="D1993">
        <v>173769</v>
      </c>
      <c r="E1993" t="s">
        <v>2163</v>
      </c>
      <c r="F1993" t="str">
        <f>HYPERLINK("https://drillhole.pir.sa.gov.au/Details.aspx?DRILLHOLE_NO=173769","Geol Survey Link")</f>
        <v>Geol Survey Link</v>
      </c>
      <c r="I1993">
        <v>-35.345700000000001</v>
      </c>
      <c r="J1993">
        <v>139.76300000000001</v>
      </c>
      <c r="K1993" t="str">
        <f>HYPERLINK("https://sarigdata.pir.sa.gov.au/nvcl/NVCLDataServices/mosaic.html?datasetid=1e4b3f4a-38ce-4558-87cd-eccb747d135","173769_SHR026_Core Image")</f>
        <v>173769_SHR026_Core Image</v>
      </c>
    </row>
    <row r="1994" spans="1:11" x14ac:dyDescent="0.25">
      <c r="A1994" t="str">
        <f>HYPERLINK("http://www.corstruth.com.au/SA/173770_SHR027_cs.png","173770_SHR027_A4")</f>
        <v>173770_SHR027_A4</v>
      </c>
      <c r="B1994" t="str">
        <f>HYPERLINK("http://www.corstruth.com.au/SA/PNG2/173770_SHR027_cs.png","173770_SHR027_0.25m Bins")</f>
        <v>173770_SHR027_0.25m Bins</v>
      </c>
      <c r="C1994" t="str">
        <f>HYPERLINK("http://www.corstruth.com.au/SA/CSV/173770_SHR027.csv","173770_SHR027_CSV File 1m Bins")</f>
        <v>173770_SHR027_CSV File 1m Bins</v>
      </c>
      <c r="D1994">
        <v>173770</v>
      </c>
      <c r="E1994" t="s">
        <v>2163</v>
      </c>
      <c r="F1994" t="str">
        <f>HYPERLINK("https://drillhole.pir.sa.gov.au/Details.aspx?DRILLHOLE_NO=173770","Geol Survey Link")</f>
        <v>Geol Survey Link</v>
      </c>
      <c r="I1994">
        <v>-35.345300000000002</v>
      </c>
      <c r="J1994">
        <v>139.76</v>
      </c>
      <c r="K1994" t="str">
        <f>HYPERLINK("https://sarigdata.pir.sa.gov.au/nvcl/NVCLDataServices/mosaic.html?datasetid=321c47e5-4c81-4475-bedc-790363f22b2","173770_SHR027_Core Image")</f>
        <v>173770_SHR027_Core Image</v>
      </c>
    </row>
    <row r="1995" spans="1:11" x14ac:dyDescent="0.25">
      <c r="A1995" t="str">
        <f>HYPERLINK("http://www.corstruth.com.au/SA/173771_SHR028_cs.png","173771_SHR028_A4")</f>
        <v>173771_SHR028_A4</v>
      </c>
      <c r="B1995" t="str">
        <f>HYPERLINK("http://www.corstruth.com.au/SA/PNG2/173771_SHR028_cs.png","173771_SHR028_0.25m Bins")</f>
        <v>173771_SHR028_0.25m Bins</v>
      </c>
      <c r="C1995" t="str">
        <f>HYPERLINK("http://www.corstruth.com.au/SA/CSV/173771_SHR028.csv","173771_SHR028_CSV File 1m Bins")</f>
        <v>173771_SHR028_CSV File 1m Bins</v>
      </c>
      <c r="D1995">
        <v>173771</v>
      </c>
      <c r="E1995" t="s">
        <v>2163</v>
      </c>
      <c r="F1995" t="str">
        <f>HYPERLINK("https://drillhole.pir.sa.gov.au/Details.aspx?DRILLHOLE_NO=173771","Geol Survey Link")</f>
        <v>Geol Survey Link</v>
      </c>
      <c r="I1995">
        <v>-35.313099999999999</v>
      </c>
      <c r="J1995">
        <v>139.77000000000001</v>
      </c>
      <c r="K1995" t="str">
        <f>HYPERLINK("https://sarigdata.pir.sa.gov.au/nvcl/NVCLDataServices/mosaic.html?datasetid=afe31962-4a1a-40ad-9f72-3b43cd0883d","173771_SHR028_Core Image")</f>
        <v>173771_SHR028_Core Image</v>
      </c>
    </row>
    <row r="1996" spans="1:11" x14ac:dyDescent="0.25">
      <c r="A1996" t="str">
        <f>HYPERLINK("http://www.corstruth.com.au/SA/173773_SHR029_cs.png","173773_SHR029_A4")</f>
        <v>173773_SHR029_A4</v>
      </c>
      <c r="B1996" t="str">
        <f>HYPERLINK("http://www.corstruth.com.au/SA/PNG2/173773_SHR029_cs.png","173773_SHR029_0.25m Bins")</f>
        <v>173773_SHR029_0.25m Bins</v>
      </c>
      <c r="C1996" t="str">
        <f>HYPERLINK("http://www.corstruth.com.au/SA/CSV/173773_SHR029.csv","173773_SHR029_CSV File 1m Bins")</f>
        <v>173773_SHR029_CSV File 1m Bins</v>
      </c>
      <c r="D1996">
        <v>173773</v>
      </c>
      <c r="E1996" t="s">
        <v>2163</v>
      </c>
      <c r="F1996" t="str">
        <f>HYPERLINK("https://drillhole.pir.sa.gov.au/Details.aspx?DRILLHOLE_NO=173773","Geol Survey Link")</f>
        <v>Geol Survey Link</v>
      </c>
      <c r="I1996">
        <v>-35.313099999999999</v>
      </c>
      <c r="J1996">
        <v>139.76900000000001</v>
      </c>
      <c r="K1996" t="str">
        <f>HYPERLINK("https://sarigdata.pir.sa.gov.au/nvcl/NVCLDataServices/mosaic.html?datasetid=28d2f52f-56d2-4600-b1c8-0fd3582f2cc","173773_SHR029_Core Image")</f>
        <v>173773_SHR029_Core Image</v>
      </c>
    </row>
    <row r="1997" spans="1:11" x14ac:dyDescent="0.25">
      <c r="A1997" t="str">
        <f>HYPERLINK("http://www.corstruth.com.au/SA/173778_SHR034_cs.png","173778_SHR034_A4")</f>
        <v>173778_SHR034_A4</v>
      </c>
      <c r="B1997" t="str">
        <f>HYPERLINK("http://www.corstruth.com.au/SA/PNG2/173778_SHR034_cs.png","173778_SHR034_0.25m Bins")</f>
        <v>173778_SHR034_0.25m Bins</v>
      </c>
      <c r="C1997" t="str">
        <f>HYPERLINK("http://www.corstruth.com.au/SA/CSV/173778_SHR034.csv","173778_SHR034_CSV File 1m Bins")</f>
        <v>173778_SHR034_CSV File 1m Bins</v>
      </c>
      <c r="D1997">
        <v>173778</v>
      </c>
      <c r="E1997" t="s">
        <v>2163</v>
      </c>
      <c r="F1997" t="str">
        <f>HYPERLINK("https://drillhole.pir.sa.gov.au/Details.aspx?DRILLHOLE_NO=173778","Geol Survey Link")</f>
        <v>Geol Survey Link</v>
      </c>
      <c r="I1997">
        <v>-35.327100000000002</v>
      </c>
      <c r="J1997">
        <v>139.77199999999999</v>
      </c>
      <c r="K1997" t="str">
        <f>HYPERLINK("https://sarigdata.pir.sa.gov.au/nvcl/NVCLDataServices/mosaic.html?datasetid=b07ae7a5-ca1d-4323-8767-a5fd50b37ed","173778_SHR034_Core Image")</f>
        <v>173778_SHR034_Core Image</v>
      </c>
    </row>
    <row r="1998" spans="1:11" x14ac:dyDescent="0.25">
      <c r="A1998" t="str">
        <f>HYPERLINK("http://www.corstruth.com.au/SA/173779_SHR035_cs.png","173779_SHR035_A4")</f>
        <v>173779_SHR035_A4</v>
      </c>
      <c r="B1998" t="str">
        <f>HYPERLINK("http://www.corstruth.com.au/SA/PNG2/173779_SHR035_cs.png","173779_SHR035_0.25m Bins")</f>
        <v>173779_SHR035_0.25m Bins</v>
      </c>
      <c r="C1998" t="str">
        <f>HYPERLINK("http://www.corstruth.com.au/SA/CSV/173779_SHR035.csv","173779_SHR035_CSV File 1m Bins")</f>
        <v>173779_SHR035_CSV File 1m Bins</v>
      </c>
      <c r="D1998">
        <v>173779</v>
      </c>
      <c r="E1998" t="s">
        <v>2163</v>
      </c>
      <c r="F1998" t="str">
        <f>HYPERLINK("https://drillhole.pir.sa.gov.au/Details.aspx?DRILLHOLE_NO=173779","Geol Survey Link")</f>
        <v>Geol Survey Link</v>
      </c>
      <c r="I1998">
        <v>-35.350299999999997</v>
      </c>
      <c r="J1998">
        <v>139.75899999999999</v>
      </c>
      <c r="K1998" t="str">
        <f>HYPERLINK("https://sarigdata.pir.sa.gov.au/nvcl/NVCLDataServices/mosaic.html?datasetid=79240b26-c8c2-4483-a871-4d347ed61d2","173779_SHR035_Core Image")</f>
        <v>173779_SHR035_Core Image</v>
      </c>
    </row>
    <row r="1999" spans="1:11" x14ac:dyDescent="0.25">
      <c r="A1999" t="str">
        <f>HYPERLINK("http://www.corstruth.com.au/SA/173780_SHR036_cs.png","173780_SHR036_A4")</f>
        <v>173780_SHR036_A4</v>
      </c>
      <c r="B1999" t="str">
        <f>HYPERLINK("http://www.corstruth.com.au/SA/PNG2/173780_SHR036_cs.png","173780_SHR036_0.25m Bins")</f>
        <v>173780_SHR036_0.25m Bins</v>
      </c>
      <c r="C1999" t="str">
        <f>HYPERLINK("http://www.corstruth.com.au/SA/CSV/173780_SHR036.csv","173780_SHR036_CSV File 1m Bins")</f>
        <v>173780_SHR036_CSV File 1m Bins</v>
      </c>
      <c r="D1999">
        <v>173780</v>
      </c>
      <c r="E1999" t="s">
        <v>2163</v>
      </c>
      <c r="F1999" t="str">
        <f>HYPERLINK("https://drillhole.pir.sa.gov.au/Details.aspx?DRILLHOLE_NO=173780","Geol Survey Link")</f>
        <v>Geol Survey Link</v>
      </c>
      <c r="I1999">
        <v>-35.345599999999997</v>
      </c>
      <c r="J1999">
        <v>139.762</v>
      </c>
      <c r="K1999" t="str">
        <f>HYPERLINK("https://sarigdata.pir.sa.gov.au/nvcl/NVCLDataServices/mosaic.html?datasetid=aea68a93-b68d-4512-ba80-30e262cdccd","173780_SHR036_Core Image")</f>
        <v>173780_SHR036_Core Image</v>
      </c>
    </row>
    <row r="2000" spans="1:11" x14ac:dyDescent="0.25">
      <c r="A2000" t="str">
        <f>HYPERLINK("http://www.corstruth.com.au/SA/173783_SHR039_cs.png","173783_SHR039_A4")</f>
        <v>173783_SHR039_A4</v>
      </c>
      <c r="B2000" t="str">
        <f>HYPERLINK("http://www.corstruth.com.au/SA/PNG2/173783_SHR039_cs.png","173783_SHR039_0.25m Bins")</f>
        <v>173783_SHR039_0.25m Bins</v>
      </c>
      <c r="C2000" t="str">
        <f>HYPERLINK("http://www.corstruth.com.au/SA/CSV/173783_SHR039.csv","173783_SHR039_CSV File 1m Bins")</f>
        <v>173783_SHR039_CSV File 1m Bins</v>
      </c>
      <c r="D2000">
        <v>173783</v>
      </c>
      <c r="E2000" t="s">
        <v>2163</v>
      </c>
      <c r="F2000" t="str">
        <f>HYPERLINK("https://drillhole.pir.sa.gov.au/Details.aspx?DRILLHOLE_NO=173783","Geol Survey Link")</f>
        <v>Geol Survey Link</v>
      </c>
      <c r="I2000">
        <v>-35.307000000000002</v>
      </c>
      <c r="J2000">
        <v>139.73599999999999</v>
      </c>
      <c r="K2000" t="str">
        <f>HYPERLINK("https://sarigdata.pir.sa.gov.au/nvcl/NVCLDataServices/mosaic.html?datasetid=9d574288-69f1-4aae-86a5-4f2ed1e2945","173783_SHR039_Core Image")</f>
        <v>173783_SHR039_Core Image</v>
      </c>
    </row>
    <row r="2001" spans="1:11" x14ac:dyDescent="0.25">
      <c r="A2001" t="str">
        <f>HYPERLINK("http://www.corstruth.com.au/SA/173784_SHR040_cs.png","173784_SHR040_A4")</f>
        <v>173784_SHR040_A4</v>
      </c>
      <c r="B2001" t="str">
        <f>HYPERLINK("http://www.corstruth.com.au/SA/PNG2/173784_SHR040_cs.png","173784_SHR040_0.25m Bins")</f>
        <v>173784_SHR040_0.25m Bins</v>
      </c>
      <c r="C2001" t="str">
        <f>HYPERLINK("http://www.corstruth.com.au/SA/CSV/173784_SHR040.csv","173784_SHR040_CSV File 1m Bins")</f>
        <v>173784_SHR040_CSV File 1m Bins</v>
      </c>
      <c r="D2001">
        <v>173784</v>
      </c>
      <c r="E2001" t="s">
        <v>2163</v>
      </c>
      <c r="F2001" t="str">
        <f>HYPERLINK("https://drillhole.pir.sa.gov.au/Details.aspx?DRILLHOLE_NO=173784","Geol Survey Link")</f>
        <v>Geol Survey Link</v>
      </c>
      <c r="I2001">
        <v>-35.3078</v>
      </c>
      <c r="J2001">
        <v>139.739</v>
      </c>
      <c r="K2001" t="str">
        <f>HYPERLINK("https://sarigdata.pir.sa.gov.au/nvcl/NVCLDataServices/mosaic.html?datasetid=9859fd64-3c63-450a-9d11-2264319efe1","173784_SHR040_Core Image")</f>
        <v>173784_SHR040_Core Image</v>
      </c>
    </row>
    <row r="2002" spans="1:11" x14ac:dyDescent="0.25">
      <c r="A2002" t="str">
        <f>HYPERLINK("http://www.corstruth.com.au/SA/173785_SHR041_cs.png","173785_SHR041_A4")</f>
        <v>173785_SHR041_A4</v>
      </c>
      <c r="B2002" t="str">
        <f>HYPERLINK("http://www.corstruth.com.au/SA/PNG2/173785_SHR041_cs.png","173785_SHR041_0.25m Bins")</f>
        <v>173785_SHR041_0.25m Bins</v>
      </c>
      <c r="C2002" t="str">
        <f>HYPERLINK("http://www.corstruth.com.au/SA/CSV/173785_SHR041.csv","173785_SHR041_CSV File 1m Bins")</f>
        <v>173785_SHR041_CSV File 1m Bins</v>
      </c>
      <c r="D2002">
        <v>173785</v>
      </c>
      <c r="E2002" t="s">
        <v>2163</v>
      </c>
      <c r="F2002" t="str">
        <f>HYPERLINK("https://drillhole.pir.sa.gov.au/Details.aspx?DRILLHOLE_NO=173785","Geol Survey Link")</f>
        <v>Geol Survey Link</v>
      </c>
      <c r="I2002">
        <v>-35.307699999999997</v>
      </c>
      <c r="J2002">
        <v>139.739</v>
      </c>
      <c r="K2002" t="str">
        <f>HYPERLINK("https://sarigdata.pir.sa.gov.au/nvcl/NVCLDataServices/mosaic.html?datasetid=16300551-d126-47d3-b7d1-9ab961b03b5","173785_SHR041_Core Image")</f>
        <v>173785_SHR041_Core Image</v>
      </c>
    </row>
    <row r="2003" spans="1:11" x14ac:dyDescent="0.25">
      <c r="A2003" t="str">
        <f>HYPERLINK("http://www.corstruth.com.au/SA/173_MTDAVIES-NC1_cs.png","173_MTDAVIES-NC1_A4")</f>
        <v>173_MTDAVIES-NC1_A4</v>
      </c>
      <c r="D2003">
        <v>173</v>
      </c>
      <c r="E2003" t="s">
        <v>2163</v>
      </c>
      <c r="F2003" t="str">
        <f>HYPERLINK("https://drillhole.pir.sa.gov.au/Details.aspx?DRILLHOLE_NO=173","Geol Survey Link")</f>
        <v>Geol Survey Link</v>
      </c>
      <c r="I2003">
        <v>-26.005400000000002</v>
      </c>
      <c r="J2003">
        <v>129.18299999999999</v>
      </c>
    </row>
    <row r="2004" spans="1:11" x14ac:dyDescent="0.25">
      <c r="A2004" t="str">
        <f>HYPERLINK("http://www.corstruth.com.au/SA/174023_PL01_cs.png","174023_PL01_A4")</f>
        <v>174023_PL01_A4</v>
      </c>
      <c r="B2004" t="str">
        <f>HYPERLINK("http://www.corstruth.com.au/SA/PNG2/174023_PL01_cs.png","174023_PL01_0.25m Bins")</f>
        <v>174023_PL01_0.25m Bins</v>
      </c>
      <c r="C2004" t="str">
        <f>HYPERLINK("http://www.corstruth.com.au/SA/CSV/174023_PL01.csv","174023_PL01_CSV File 1m Bins")</f>
        <v>174023_PL01_CSV File 1m Bins</v>
      </c>
      <c r="D2004">
        <v>174023</v>
      </c>
      <c r="E2004" t="s">
        <v>2163</v>
      </c>
      <c r="F2004" t="str">
        <f>HYPERLINK("https://drillhole.pir.sa.gov.au/Details.aspx?DRILLHOLE_NO=174023","Geol Survey Link")</f>
        <v>Geol Survey Link</v>
      </c>
      <c r="I2004">
        <v>-35.490299999999998</v>
      </c>
      <c r="J2004">
        <v>139.31800000000001</v>
      </c>
      <c r="K2004" t="str">
        <f>HYPERLINK("https://sarigdata.pir.sa.gov.au/nvcl/NVCLDataServices/mosaic.html?datasetid=dba79617-84b3-4f3b-9c5f-eba3a2e227b","174023_PL01_Core Image")</f>
        <v>174023_PL01_Core Image</v>
      </c>
    </row>
    <row r="2005" spans="1:11" x14ac:dyDescent="0.25">
      <c r="A2005" t="str">
        <f>HYPERLINK("http://www.corstruth.com.au/SA/174034_LadbrokeGrove3_cs.png","174034_LadbrokeGrove3_A4")</f>
        <v>174034_LadbrokeGrove3_A4</v>
      </c>
      <c r="B2005" t="str">
        <f>HYPERLINK("http://www.corstruth.com.au/SA/PNG2/174034_LadbrokeGrove3_cs.png","174034_LadbrokeGrove3_0.25m Bins")</f>
        <v>174034_LadbrokeGrove3_0.25m Bins</v>
      </c>
      <c r="C2005" t="str">
        <f>HYPERLINK("http://www.corstruth.com.au/SA/CSV/174034_LadbrokeGrove3.csv","174034_LadbrokeGrove3_CSV File 1m Bins")</f>
        <v>174034_LadbrokeGrove3_CSV File 1m Bins</v>
      </c>
      <c r="D2005">
        <v>174034</v>
      </c>
      <c r="E2005" t="s">
        <v>2163</v>
      </c>
      <c r="F2005" t="str">
        <f>HYPERLINK("https://drillhole.pir.sa.gov.au/Details.aspx?DRILLHOLE_NO=174034","Geol Survey Link")</f>
        <v>Geol Survey Link</v>
      </c>
      <c r="I2005">
        <v>-37.464100000000002</v>
      </c>
      <c r="J2005">
        <v>140.78200000000001</v>
      </c>
      <c r="K2005" t="str">
        <f>HYPERLINK("https://sarigdata.pir.sa.gov.au/nvcl/NVCLDataServices/mosaic.html?datasetid=c27944ad-1e84-4acf-a5c6-37605f047d0","174034_LadbrokeGrove3_Core Image")</f>
        <v>174034_LadbrokeGrove3_Core Image</v>
      </c>
    </row>
    <row r="2006" spans="1:11" x14ac:dyDescent="0.25">
      <c r="A2006" t="str">
        <f>HYPERLINK("http://www.corstruth.com.au/SA/174046_MTR-10_cs.png","174046_MTR-10_A4")</f>
        <v>174046_MTR-10_A4</v>
      </c>
      <c r="B2006" t="str">
        <f>HYPERLINK("http://www.corstruth.com.au/SA/PNG2/174046_MTR-10_cs.png","174046_MTR-10_0.25m Bins")</f>
        <v>174046_MTR-10_0.25m Bins</v>
      </c>
      <c r="C2006" t="str">
        <f>HYPERLINK("http://www.corstruth.com.au/SA/CSV/174046_MTR-10.csv","174046_MTR-10_CSV File 1m Bins")</f>
        <v>174046_MTR-10_CSV File 1m Bins</v>
      </c>
      <c r="D2006">
        <v>174046</v>
      </c>
      <c r="E2006" t="s">
        <v>2163</v>
      </c>
      <c r="F2006" t="str">
        <f>HYPERLINK("https://drillhole.pir.sa.gov.au/Details.aspx?DRILLHOLE_NO=174046","Geol Survey Link")</f>
        <v>Geol Survey Link</v>
      </c>
      <c r="I2006">
        <v>-36.272199999999998</v>
      </c>
      <c r="J2006">
        <v>139.88499999999999</v>
      </c>
      <c r="K2006" t="str">
        <f>HYPERLINK("https://sarigdata.pir.sa.gov.au/nvcl/NVCLDataServices/mosaic.html?datasetid=d51c6a86-79d6-487d-934d-ef6cb122bab","174046_MTR-10_Core Image")</f>
        <v>174046_MTR-10_Core Image</v>
      </c>
    </row>
    <row r="2007" spans="1:11" x14ac:dyDescent="0.25">
      <c r="A2007" t="str">
        <f>HYPERLINK("http://www.corstruth.com.au/SA/174047_MTR-11_cs.png","174047_MTR-11_A4")</f>
        <v>174047_MTR-11_A4</v>
      </c>
      <c r="B2007" t="str">
        <f>HYPERLINK("http://www.corstruth.com.au/SA/PNG2/174047_MTR-11_cs.png","174047_MTR-11_0.25m Bins")</f>
        <v>174047_MTR-11_0.25m Bins</v>
      </c>
      <c r="C2007" t="str">
        <f>HYPERLINK("http://www.corstruth.com.au/SA/CSV/174047_MTR-11.csv","174047_MTR-11_CSV File 1m Bins")</f>
        <v>174047_MTR-11_CSV File 1m Bins</v>
      </c>
      <c r="D2007">
        <v>174047</v>
      </c>
      <c r="E2007" t="s">
        <v>2163</v>
      </c>
      <c r="F2007" t="str">
        <f>HYPERLINK("https://drillhole.pir.sa.gov.au/Details.aspx?DRILLHOLE_NO=174047","Geol Survey Link")</f>
        <v>Geol Survey Link</v>
      </c>
      <c r="I2007">
        <v>-36.2744</v>
      </c>
      <c r="J2007">
        <v>139.87799999999999</v>
      </c>
      <c r="K2007" t="str">
        <f>HYPERLINK("https://sarigdata.pir.sa.gov.au/nvcl/NVCLDataServices/mosaic.html?datasetid=c11e04d6-e509-4c3d-a04f-ac0edcde86d","174047_MTR-11_Core Image")</f>
        <v>174047_MTR-11_Core Image</v>
      </c>
    </row>
    <row r="2008" spans="1:11" x14ac:dyDescent="0.25">
      <c r="A2008" t="str">
        <f>HYPERLINK("http://www.corstruth.com.au/SA/174048_MTR-12_cs.png","174048_MTR-12_A4")</f>
        <v>174048_MTR-12_A4</v>
      </c>
      <c r="B2008" t="str">
        <f>HYPERLINK("http://www.corstruth.com.au/SA/PNG2/174048_MTR-12_cs.png","174048_MTR-12_0.25m Bins")</f>
        <v>174048_MTR-12_0.25m Bins</v>
      </c>
      <c r="C2008" t="str">
        <f>HYPERLINK("http://www.corstruth.com.au/SA/CSV/174048_MTR-12.csv","174048_MTR-12_CSV File 1m Bins")</f>
        <v>174048_MTR-12_CSV File 1m Bins</v>
      </c>
      <c r="D2008">
        <v>174048</v>
      </c>
      <c r="E2008" t="s">
        <v>2163</v>
      </c>
      <c r="F2008" t="str">
        <f>HYPERLINK("https://drillhole.pir.sa.gov.au/Details.aspx?DRILLHOLE_NO=174048","Geol Survey Link")</f>
        <v>Geol Survey Link</v>
      </c>
      <c r="I2008">
        <v>-35.981200000000001</v>
      </c>
      <c r="J2008">
        <v>139.81100000000001</v>
      </c>
      <c r="K2008" t="str">
        <f>HYPERLINK("https://sarigdata.pir.sa.gov.au/nvcl/NVCLDataServices/mosaic.html?datasetid=c5009ba3-a82b-45e9-b307-24e55eb33ce","174048_MTR-12_Core Image")</f>
        <v>174048_MTR-12_Core Image</v>
      </c>
    </row>
    <row r="2009" spans="1:11" x14ac:dyDescent="0.25">
      <c r="A2009" t="str">
        <f>HYPERLINK("http://www.corstruth.com.au/SA/174049_MTR-13_cs.png","174049_MTR-13_A4")</f>
        <v>174049_MTR-13_A4</v>
      </c>
      <c r="B2009" t="str">
        <f>HYPERLINK("http://www.corstruth.com.au/SA/PNG2/174049_MTR-13_cs.png","174049_MTR-13_0.25m Bins")</f>
        <v>174049_MTR-13_0.25m Bins</v>
      </c>
      <c r="C2009" t="str">
        <f>HYPERLINK("http://www.corstruth.com.au/SA/CSV/174049_MTR-13.csv","174049_MTR-13_CSV File 1m Bins")</f>
        <v>174049_MTR-13_CSV File 1m Bins</v>
      </c>
      <c r="D2009">
        <v>174049</v>
      </c>
      <c r="E2009" t="s">
        <v>2163</v>
      </c>
      <c r="F2009" t="str">
        <f>HYPERLINK("https://drillhole.pir.sa.gov.au/Details.aspx?DRILLHOLE_NO=174049","Geol Survey Link")</f>
        <v>Geol Survey Link</v>
      </c>
      <c r="I2009">
        <v>-35.981000000000002</v>
      </c>
      <c r="J2009">
        <v>139.786</v>
      </c>
      <c r="K2009" t="str">
        <f>HYPERLINK("https://sarigdata.pir.sa.gov.au/nvcl/NVCLDataServices/mosaic.html?datasetid=3b113cdf-9401-457b-8499-155167ec352","174049_MTR-13_Core Image")</f>
        <v>174049_MTR-13_Core Image</v>
      </c>
    </row>
    <row r="2010" spans="1:11" x14ac:dyDescent="0.25">
      <c r="A2010" t="str">
        <f>HYPERLINK("http://www.corstruth.com.au/SA/174386_WIR_DWM1A_cs.png","174386_WIR_DWM1A_A4")</f>
        <v>174386_WIR_DWM1A_A4</v>
      </c>
      <c r="D2010">
        <v>174386</v>
      </c>
      <c r="E2010" t="s">
        <v>2163</v>
      </c>
      <c r="F2010" t="str">
        <f>HYPERLINK("https://drillhole.pir.sa.gov.au/Details.aspx?DRILLHOLE_NO=174386","Geol Survey Link")</f>
        <v>Geol Survey Link</v>
      </c>
      <c r="I2010">
        <v>-31.073899999999998</v>
      </c>
      <c r="J2010">
        <v>138.90899999999999</v>
      </c>
    </row>
    <row r="2011" spans="1:11" x14ac:dyDescent="0.25">
      <c r="A2011" t="str">
        <f>HYPERLINK("http://www.corstruth.com.au/SA/174397_RHILL_DLP1_cs.png","174397_RHILL_DLP1_A4")</f>
        <v>174397_RHILL_DLP1_A4</v>
      </c>
      <c r="D2011">
        <v>174397</v>
      </c>
      <c r="E2011" t="s">
        <v>2163</v>
      </c>
      <c r="F2011" t="str">
        <f>HYPERLINK("https://drillhole.pir.sa.gov.au/Details.aspx?DRILLHOLE_NO=174397","Geol Survey Link")</f>
        <v>Geol Survey Link</v>
      </c>
      <c r="I2011">
        <v>-31.284400000000002</v>
      </c>
      <c r="J2011">
        <v>138.94300000000001</v>
      </c>
    </row>
    <row r="2012" spans="1:11" x14ac:dyDescent="0.25">
      <c r="A2012" t="str">
        <f>HYPERLINK("http://www.corstruth.com.au/SA/174398_RHILL_DLP2_cs.png","174398_RHILL_DLP2_A4")</f>
        <v>174398_RHILL_DLP2_A4</v>
      </c>
      <c r="D2012">
        <v>174398</v>
      </c>
      <c r="E2012" t="s">
        <v>2163</v>
      </c>
      <c r="F2012" t="str">
        <f>HYPERLINK("https://drillhole.pir.sa.gov.au/Details.aspx?DRILLHOLE_NO=174398","Geol Survey Link")</f>
        <v>Geol Survey Link</v>
      </c>
      <c r="I2012">
        <v>-31.284400000000002</v>
      </c>
      <c r="J2012">
        <v>138.94300000000001</v>
      </c>
    </row>
    <row r="2013" spans="1:11" x14ac:dyDescent="0.25">
      <c r="A2013" t="str">
        <f>HYPERLINK("http://www.corstruth.com.au/SA/174399_RHILL_DTP1_cs.png","174399_RHILL_DTP1_A4")</f>
        <v>174399_RHILL_DTP1_A4</v>
      </c>
      <c r="D2013">
        <v>174399</v>
      </c>
      <c r="E2013" t="s">
        <v>2163</v>
      </c>
      <c r="F2013" t="str">
        <f>HYPERLINK("https://drillhole.pir.sa.gov.au/Details.aspx?DRILLHOLE_NO=174399","Geol Survey Link")</f>
        <v>Geol Survey Link</v>
      </c>
      <c r="I2013">
        <v>-31.195900000000002</v>
      </c>
      <c r="J2013">
        <v>138.87299999999999</v>
      </c>
    </row>
    <row r="2014" spans="1:11" x14ac:dyDescent="0.25">
      <c r="A2014" t="str">
        <f>HYPERLINK("http://www.corstruth.com.au/SA/1743_KENPK_K2D1_cs.png","1743_KENPK_K2D1_A4")</f>
        <v>1743_KENPK_K2D1_A4</v>
      </c>
      <c r="D2014">
        <v>1743</v>
      </c>
      <c r="E2014" t="s">
        <v>2163</v>
      </c>
      <c r="F2014" t="str">
        <f>HYPERLINK("https://drillhole.pir.sa.gov.au/Details.aspx?DRILLHOLE_NO=1743","Geol Survey Link")</f>
        <v>Geol Survey Link</v>
      </c>
      <c r="I2014">
        <v>-26.159300000000002</v>
      </c>
      <c r="J2014">
        <v>132.81700000000001</v>
      </c>
    </row>
    <row r="2015" spans="1:11" x14ac:dyDescent="0.25">
      <c r="A2015" t="str">
        <f>HYPERLINK("http://www.corstruth.com.au/SA/174400_RHILL_DTP2_cs.png","174400_RHILL_DTP2_A4")</f>
        <v>174400_RHILL_DTP2_A4</v>
      </c>
      <c r="D2015">
        <v>174400</v>
      </c>
      <c r="E2015" t="s">
        <v>2163</v>
      </c>
      <c r="F2015" t="str">
        <f>HYPERLINK("https://drillhole.pir.sa.gov.au/Details.aspx?DRILLHOLE_NO=174400","Geol Survey Link")</f>
        <v>Geol Survey Link</v>
      </c>
      <c r="I2015">
        <v>-31.200399999999998</v>
      </c>
      <c r="J2015">
        <v>138.87100000000001</v>
      </c>
    </row>
    <row r="2016" spans="1:11" x14ac:dyDescent="0.25">
      <c r="A2016" t="str">
        <f>HYPERLINK("http://www.corstruth.com.au/SA/1744_KENPK_K2D2_cs.png","1744_KENPK_K2D2_A4")</f>
        <v>1744_KENPK_K2D2_A4</v>
      </c>
      <c r="D2016">
        <v>1744</v>
      </c>
      <c r="E2016" t="s">
        <v>2163</v>
      </c>
      <c r="F2016" t="str">
        <f>HYPERLINK("https://drillhole.pir.sa.gov.au/Details.aspx?DRILLHOLE_NO=1744","Geol Survey Link")</f>
        <v>Geol Survey Link</v>
      </c>
      <c r="I2016">
        <v>-26.159300000000002</v>
      </c>
      <c r="J2016">
        <v>132.81700000000001</v>
      </c>
    </row>
    <row r="2017" spans="1:11" x14ac:dyDescent="0.25">
      <c r="A2017" t="str">
        <f>HYPERLINK("http://www.corstruth.com.au/SA/17456_Calcookara_Mine_DDH1_cs.png","17456_Calcookara_Mine_DDH1_A4")</f>
        <v>17456_Calcookara_Mine_DDH1_A4</v>
      </c>
      <c r="B2017" t="str">
        <f>HYPERLINK("http://www.corstruth.com.au/SA/PNG2/17456_Calcookara_Mine_DDH1_cs.png","17456_Calcookara_Mine_DDH1_0.25m Bins")</f>
        <v>17456_Calcookara_Mine_DDH1_0.25m Bins</v>
      </c>
      <c r="C2017" t="str">
        <f>HYPERLINK("http://www.corstruth.com.au/SA/CSV/17456_Calcookara_Mine_DDH1.csv","17456_Calcookara_Mine_DDH1_CSV File 1m Bins")</f>
        <v>17456_Calcookara_Mine_DDH1_CSV File 1m Bins</v>
      </c>
      <c r="D2017">
        <v>17456</v>
      </c>
      <c r="E2017" t="s">
        <v>2163</v>
      </c>
      <c r="F2017" t="str">
        <f>HYPERLINK("https://drillhole.pir.sa.gov.au/Details.aspx?DRILLHOLE_NO=17456","Geol Survey Link")</f>
        <v>Geol Survey Link</v>
      </c>
      <c r="I2017">
        <v>-33.619199999999999</v>
      </c>
      <c r="J2017">
        <v>136.72499999999999</v>
      </c>
      <c r="K2017" t="str">
        <f>HYPERLINK("https://sarigdata.pir.sa.gov.au/nvcl/NVCLDataServices/mosaic.html?datasetid=62732b64-e615-4b98-9680-f7763ceb66f","17456_Calcookara_Mine_DDH1_Core Image")</f>
        <v>17456_Calcookara_Mine_DDH1_Core Image</v>
      </c>
    </row>
    <row r="2018" spans="1:11" x14ac:dyDescent="0.25">
      <c r="A2018" t="str">
        <f>HYPERLINK("http://www.corstruth.com.au/SA/1745_KENPK_K2D3_cs.png","1745_KENPK_K2D3_A4")</f>
        <v>1745_KENPK_K2D3_A4</v>
      </c>
      <c r="D2018">
        <v>1745</v>
      </c>
      <c r="E2018" t="s">
        <v>2163</v>
      </c>
      <c r="F2018" t="str">
        <f>HYPERLINK("https://drillhole.pir.sa.gov.au/Details.aspx?DRILLHOLE_NO=1745","Geol Survey Link")</f>
        <v>Geol Survey Link</v>
      </c>
      <c r="I2018">
        <v>-26.159300000000002</v>
      </c>
      <c r="J2018">
        <v>132.81700000000001</v>
      </c>
    </row>
    <row r="2019" spans="1:11" x14ac:dyDescent="0.25">
      <c r="A2019" t="str">
        <f>HYPERLINK("http://www.corstruth.com.au/SA/174630_WYN-1_cs.png","174630_WYN-1_A4")</f>
        <v>174630_WYN-1_A4</v>
      </c>
      <c r="B2019" t="str">
        <f>HYPERLINK("http://www.corstruth.com.au/SA/PNG2/174630_WYN-1_cs.png","174630_WYN-1_0.25m Bins")</f>
        <v>174630_WYN-1_0.25m Bins</v>
      </c>
      <c r="C2019" t="str">
        <f>HYPERLINK("http://www.corstruth.com.au/SA/CSV/174630_WYN-1.csv","174630_WYN-1_CSV File 1m Bins")</f>
        <v>174630_WYN-1_CSV File 1m Bins</v>
      </c>
      <c r="D2019">
        <v>174630</v>
      </c>
      <c r="E2019" t="s">
        <v>2163</v>
      </c>
      <c r="F2019" t="str">
        <f>HYPERLINK("https://drillhole.pir.sa.gov.au/Details.aspx?DRILLHOLE_NO=174630","Geol Survey Link")</f>
        <v>Geol Survey Link</v>
      </c>
      <c r="I2019">
        <v>-35.307899999999997</v>
      </c>
      <c r="J2019">
        <v>139.92699999999999</v>
      </c>
      <c r="K2019" t="str">
        <f>HYPERLINK("https://sarigdata.pir.sa.gov.au/nvcl/NVCLDataServices/mosaic.html?datasetid=3c781b5a-fab4-4fdd-88ad-8313b3911ef","174630_WYN-1_Core Image")</f>
        <v>174630_WYN-1_Core Image</v>
      </c>
    </row>
    <row r="2020" spans="1:11" x14ac:dyDescent="0.25">
      <c r="A2020" t="str">
        <f>HYPERLINK("http://www.corstruth.com.au/SA/1746_KENPK_K2D4_cs.png","1746_KENPK_K2D4_A4")</f>
        <v>1746_KENPK_K2D4_A4</v>
      </c>
      <c r="D2020">
        <v>1746</v>
      </c>
      <c r="E2020" t="s">
        <v>2163</v>
      </c>
      <c r="F2020" t="str">
        <f>HYPERLINK("https://drillhole.pir.sa.gov.au/Details.aspx?DRILLHOLE_NO=1746","Geol Survey Link")</f>
        <v>Geol Survey Link</v>
      </c>
      <c r="I2020">
        <v>-26.159300000000002</v>
      </c>
      <c r="J2020">
        <v>132.81700000000001</v>
      </c>
    </row>
    <row r="2021" spans="1:11" x14ac:dyDescent="0.25">
      <c r="A2021" t="str">
        <f>HYPERLINK("http://www.corstruth.com.au/SA/1747_KENPK_K2D5_cs.png","1747_KENPK_K2D5_A4")</f>
        <v>1747_KENPK_K2D5_A4</v>
      </c>
      <c r="D2021">
        <v>1747</v>
      </c>
      <c r="E2021" t="s">
        <v>2163</v>
      </c>
      <c r="F2021" t="str">
        <f>HYPERLINK("https://drillhole.pir.sa.gov.au/Details.aspx?DRILLHOLE_NO=1747","Geol Survey Link")</f>
        <v>Geol Survey Link</v>
      </c>
      <c r="I2021">
        <v>-26.159300000000002</v>
      </c>
      <c r="J2021">
        <v>132.81700000000001</v>
      </c>
    </row>
    <row r="2022" spans="1:11" x14ac:dyDescent="0.25">
      <c r="A2022" t="str">
        <f>HYPERLINK("http://www.corstruth.com.au/SA/1748_KENPK_K2D6_cs.png","1748_KENPK_K2D6_A4")</f>
        <v>1748_KENPK_K2D6_A4</v>
      </c>
      <c r="D2022">
        <v>1748</v>
      </c>
      <c r="E2022" t="s">
        <v>2163</v>
      </c>
      <c r="F2022" t="str">
        <f>HYPERLINK("https://drillhole.pir.sa.gov.au/Details.aspx?DRILLHOLE_NO=1748","Geol Survey Link")</f>
        <v>Geol Survey Link</v>
      </c>
      <c r="I2022">
        <v>-26.159199999999998</v>
      </c>
      <c r="J2022">
        <v>132.81700000000001</v>
      </c>
    </row>
    <row r="2023" spans="1:11" x14ac:dyDescent="0.25">
      <c r="A2023" t="str">
        <f>HYPERLINK("http://www.corstruth.com.au/SA/1749_KENPK_K2D7_cs.png","1749_KENPK_K2D7_A4")</f>
        <v>1749_KENPK_K2D7_A4</v>
      </c>
      <c r="D2023">
        <v>1749</v>
      </c>
      <c r="E2023" t="s">
        <v>2163</v>
      </c>
      <c r="F2023" t="str">
        <f>HYPERLINK("https://drillhole.pir.sa.gov.au/Details.aspx?DRILLHOLE_NO=1749","Geol Survey Link")</f>
        <v>Geol Survey Link</v>
      </c>
      <c r="I2023">
        <v>-26.159300000000002</v>
      </c>
      <c r="J2023">
        <v>132.81700000000001</v>
      </c>
    </row>
    <row r="2024" spans="1:11" x14ac:dyDescent="0.25">
      <c r="A2024" t="str">
        <f>HYPERLINK("http://www.corstruth.com.au/SA/174_MTDAVIES-NC2_cs.png","174_MTDAVIES-NC2_A4")</f>
        <v>174_MTDAVIES-NC2_A4</v>
      </c>
      <c r="D2024">
        <v>174</v>
      </c>
      <c r="E2024" t="s">
        <v>2163</v>
      </c>
      <c r="F2024" t="str">
        <f>HYPERLINK("https://drillhole.pir.sa.gov.au/Details.aspx?DRILLHOLE_NO=174","Geol Survey Link")</f>
        <v>Geol Survey Link</v>
      </c>
      <c r="I2024">
        <v>-26.007100000000001</v>
      </c>
      <c r="J2024">
        <v>129.20400000000001</v>
      </c>
    </row>
    <row r="2025" spans="1:11" x14ac:dyDescent="0.25">
      <c r="A2025" t="str">
        <f>HYPERLINK("http://www.corstruth.com.au/SA/175078_NHDDH1_cs.png","175078_NHDDH1_A4")</f>
        <v>175078_NHDDH1_A4</v>
      </c>
      <c r="D2025">
        <v>175078</v>
      </c>
      <c r="E2025" t="s">
        <v>2163</v>
      </c>
      <c r="F2025" t="str">
        <f>HYPERLINK("https://drillhole.pir.sa.gov.au/Details.aspx?DRILLHOLE_NO=175078","Geol Survey Link")</f>
        <v>Geol Survey Link</v>
      </c>
      <c r="I2025">
        <v>-31.694800000000001</v>
      </c>
      <c r="J2025">
        <v>134.78100000000001</v>
      </c>
    </row>
    <row r="2026" spans="1:11" x14ac:dyDescent="0.25">
      <c r="A2026" t="str">
        <f>HYPERLINK("http://www.corstruth.com.au/SA/175079_NHDDH02_cs.png","175079_NHDDH02_A4")</f>
        <v>175079_NHDDH02_A4</v>
      </c>
      <c r="B2026" t="str">
        <f>HYPERLINK("http://www.corstruth.com.au/SA/PNG2/175079_NHDDH02_cs.png","175079_NHDDH02_0.25m Bins")</f>
        <v>175079_NHDDH02_0.25m Bins</v>
      </c>
      <c r="C2026" t="str">
        <f>HYPERLINK("http://www.corstruth.com.au/SA/CSV/175079_NHDDH02.csv","175079_NHDDH02_CSV File 1m Bins")</f>
        <v>175079_NHDDH02_CSV File 1m Bins</v>
      </c>
      <c r="D2026">
        <v>175079</v>
      </c>
      <c r="E2026" t="s">
        <v>2163</v>
      </c>
      <c r="F2026" t="str">
        <f>HYPERLINK("https://drillhole.pir.sa.gov.au/Details.aspx?DRILLHOLE_NO=175079","Geol Survey Link")</f>
        <v>Geol Survey Link</v>
      </c>
      <c r="I2026">
        <v>-31.665900000000001</v>
      </c>
      <c r="J2026">
        <v>134.79</v>
      </c>
      <c r="K2026" t="str">
        <f>HYPERLINK("https://sarigdata.pir.sa.gov.au/nvcl/NVCLDataServices/mosaic.html?datasetid=cefe669d-3438-45c3-a0c6-da723c02c11","175079_NHDDH02_Core Image")</f>
        <v>175079_NHDDH02_Core Image</v>
      </c>
    </row>
    <row r="2027" spans="1:11" x14ac:dyDescent="0.25">
      <c r="A2027" t="str">
        <f>HYPERLINK("http://www.corstruth.com.au/SA/175080_NHDDH03_cs.png","175080_NHDDH03_A4")</f>
        <v>175080_NHDDH03_A4</v>
      </c>
      <c r="B2027" t="str">
        <f>HYPERLINK("http://www.corstruth.com.au/SA/PNG2/175080_NHDDH03_cs.png","175080_NHDDH03_0.25m Bins")</f>
        <v>175080_NHDDH03_0.25m Bins</v>
      </c>
      <c r="C2027" t="str">
        <f>HYPERLINK("http://www.corstruth.com.au/SA/CSV/175080_NHDDH03.csv","175080_NHDDH03_CSV File 1m Bins")</f>
        <v>175080_NHDDH03_CSV File 1m Bins</v>
      </c>
      <c r="D2027">
        <v>175080</v>
      </c>
      <c r="E2027" t="s">
        <v>2163</v>
      </c>
      <c r="F2027" t="str">
        <f>HYPERLINK("https://drillhole.pir.sa.gov.au/Details.aspx?DRILLHOLE_NO=175080","Geol Survey Link")</f>
        <v>Geol Survey Link</v>
      </c>
      <c r="I2027">
        <v>-31.669499999999999</v>
      </c>
      <c r="J2027">
        <v>134.78899999999999</v>
      </c>
      <c r="K2027" t="str">
        <f>HYPERLINK("https://sarigdata.pir.sa.gov.au/nvcl/NVCLDataServices/mosaic.html?datasetid=7100bb36-dde9-49f1-bfcf-ac8038e6cb0","175080_NHDDH03_Core Image")</f>
        <v>175080_NHDDH03_Core Image</v>
      </c>
    </row>
    <row r="2028" spans="1:11" x14ac:dyDescent="0.25">
      <c r="A2028" t="str">
        <f>HYPERLINK("http://www.corstruth.com.au/SA/1750_KENPK_K2D8_cs.png","1750_KENPK_K2D8_A4")</f>
        <v>1750_KENPK_K2D8_A4</v>
      </c>
      <c r="D2028">
        <v>1750</v>
      </c>
      <c r="E2028" t="s">
        <v>2163</v>
      </c>
      <c r="F2028" t="str">
        <f>HYPERLINK("https://drillhole.pir.sa.gov.au/Details.aspx?DRILLHOLE_NO=1750","Geol Survey Link")</f>
        <v>Geol Survey Link</v>
      </c>
      <c r="I2028">
        <v>-26.159300000000002</v>
      </c>
      <c r="J2028">
        <v>132.81700000000001</v>
      </c>
    </row>
    <row r="2029" spans="1:11" x14ac:dyDescent="0.25">
      <c r="A2029" t="str">
        <f>HYPERLINK("http://www.corstruth.com.au/SA/175315_98WDDH1_cs.png","175315_98WDDH1_A4")</f>
        <v>175315_98WDDH1_A4</v>
      </c>
      <c r="B2029" t="str">
        <f>HYPERLINK("http://www.corstruth.com.au/SA/PNG2/175315_98WDDH1_cs.png","175315_98WDDH1_0.25m Bins")</f>
        <v>175315_98WDDH1_0.25m Bins</v>
      </c>
      <c r="C2029" t="str">
        <f>HYPERLINK("http://www.corstruth.com.au/SA/CSV/175315_98WDDH1.csv","175315_98WDDH1_CSV File 1m Bins")</f>
        <v>175315_98WDDH1_CSV File 1m Bins</v>
      </c>
      <c r="D2029">
        <v>175315</v>
      </c>
      <c r="E2029" t="s">
        <v>2163</v>
      </c>
      <c r="F2029" t="str">
        <f>HYPERLINK("https://drillhole.pir.sa.gov.au/Details.aspx?DRILLHOLE_NO=175315","Geol Survey Link")</f>
        <v>Geol Survey Link</v>
      </c>
      <c r="I2029">
        <v>-32.776899999999998</v>
      </c>
      <c r="J2029">
        <v>136.48099999999999</v>
      </c>
      <c r="K2029" t="str">
        <f>HYPERLINK("https://sarigdata.pir.sa.gov.au/nvcl/NVCLDataServices/mosaic.html?datasetid=2e0f61dc-536c-4709-9b61-1f67c80cb9b","175315_98WDDH1_Core Image")</f>
        <v>175315_98WDDH1_Core Image</v>
      </c>
    </row>
    <row r="2030" spans="1:11" x14ac:dyDescent="0.25">
      <c r="A2030" t="str">
        <f>HYPERLINK("http://www.corstruth.com.au/SA/175316_98WDDH02_cs.png","175316_98WDDH02_A4")</f>
        <v>175316_98WDDH02_A4</v>
      </c>
      <c r="B2030" t="str">
        <f>HYPERLINK("http://www.corstruth.com.au/SA/PNG2/175316_98WDDH02_cs.png","175316_98WDDH02_0.25m Bins")</f>
        <v>175316_98WDDH02_0.25m Bins</v>
      </c>
      <c r="C2030" t="str">
        <f>HYPERLINK("http://www.corstruth.com.au/SA/CSV/175316_98WDDH02.csv","175316_98WDDH02_CSV File 1m Bins")</f>
        <v>175316_98WDDH02_CSV File 1m Bins</v>
      </c>
      <c r="D2030">
        <v>175316</v>
      </c>
      <c r="E2030" t="s">
        <v>2163</v>
      </c>
      <c r="F2030" t="str">
        <f>HYPERLINK("https://drillhole.pir.sa.gov.au/Details.aspx?DRILLHOLE_NO=175316","Geol Survey Link")</f>
        <v>Geol Survey Link</v>
      </c>
      <c r="I2030">
        <v>-32.778599999999997</v>
      </c>
      <c r="J2030">
        <v>136.482</v>
      </c>
    </row>
    <row r="2031" spans="1:11" x14ac:dyDescent="0.25">
      <c r="A2031" t="str">
        <f>HYPERLINK("http://www.corstruth.com.au/SA/175317_98WDDH3_cs.png","175317_98WDDH3_A4")</f>
        <v>175317_98WDDH3_A4</v>
      </c>
      <c r="B2031" t="str">
        <f>HYPERLINK("http://www.corstruth.com.au/SA/PNG2/175317_98WDDH3_cs.png","175317_98WDDH3_0.25m Bins")</f>
        <v>175317_98WDDH3_0.25m Bins</v>
      </c>
      <c r="C2031" t="str">
        <f>HYPERLINK("http://www.corstruth.com.au/SA/CSV/175317_98WDDH3.csv","175317_98WDDH3_CSV File 1m Bins")</f>
        <v>175317_98WDDH3_CSV File 1m Bins</v>
      </c>
      <c r="D2031">
        <v>175317</v>
      </c>
      <c r="E2031" t="s">
        <v>2163</v>
      </c>
      <c r="F2031" t="str">
        <f>HYPERLINK("https://drillhole.pir.sa.gov.au/Details.aspx?DRILLHOLE_NO=175317","Geol Survey Link")</f>
        <v>Geol Survey Link</v>
      </c>
      <c r="I2031">
        <v>-32.778599999999997</v>
      </c>
      <c r="J2031">
        <v>136.482</v>
      </c>
      <c r="K2031" t="str">
        <f>HYPERLINK("https://sarigdata.pir.sa.gov.au/nvcl/NVCLDataServices/mosaic.html?datasetid=5b566bae-955a-4054-96bd-c21c41ff90e","175317_98WDDH3_Core Image")</f>
        <v>175317_98WDDH3_Core Image</v>
      </c>
    </row>
    <row r="2032" spans="1:11" x14ac:dyDescent="0.25">
      <c r="A2032" t="str">
        <f>HYPERLINK("http://www.corstruth.com.au/SA/175318_98WDDH4_cs.png","175318_98WDDH4_A4")</f>
        <v>175318_98WDDH4_A4</v>
      </c>
      <c r="B2032" t="str">
        <f>HYPERLINK("http://www.corstruth.com.au/SA/PNG2/175318_98WDDH4_cs.png","175318_98WDDH4_0.25m Bins")</f>
        <v>175318_98WDDH4_0.25m Bins</v>
      </c>
      <c r="C2032" t="str">
        <f>HYPERLINK("http://www.corstruth.com.au/SA/CSV/175318_98WDDH4.csv","175318_98WDDH4_CSV File 1m Bins")</f>
        <v>175318_98WDDH4_CSV File 1m Bins</v>
      </c>
      <c r="D2032">
        <v>175318</v>
      </c>
      <c r="E2032" t="s">
        <v>2163</v>
      </c>
      <c r="F2032" t="str">
        <f>HYPERLINK("https://drillhole.pir.sa.gov.au/Details.aspx?DRILLHOLE_NO=175318","Geol Survey Link")</f>
        <v>Geol Survey Link</v>
      </c>
      <c r="I2032">
        <v>-32.776000000000003</v>
      </c>
      <c r="J2032">
        <v>136.48099999999999</v>
      </c>
      <c r="K2032" t="str">
        <f>HYPERLINK("https://sarigdata.pir.sa.gov.au/nvcl/NVCLDataServices/mosaic.html?datasetid=286919b9-080e-4cab-b2f9-35e55df840e","175318_98WDDH4_Core Image")</f>
        <v>175318_98WDDH4_Core Image</v>
      </c>
    </row>
    <row r="2033" spans="1:11" x14ac:dyDescent="0.25">
      <c r="A2033" t="str">
        <f>HYPERLINK("http://www.corstruth.com.au/SA/175318_WEED_98WDDH004_cs.png","175318_WEED_98WDDH004_A4")</f>
        <v>175318_WEED_98WDDH004_A4</v>
      </c>
      <c r="D2033">
        <v>175318</v>
      </c>
      <c r="E2033" t="s">
        <v>2163</v>
      </c>
      <c r="F2033" t="str">
        <f>HYPERLINK("https://drillhole.pir.sa.gov.au/Details.aspx?DRILLHOLE_NO=175318","Geol Survey Link")</f>
        <v>Geol Survey Link</v>
      </c>
      <c r="I2033">
        <v>-32.776000000000003</v>
      </c>
      <c r="J2033">
        <v>136.48099999999999</v>
      </c>
    </row>
    <row r="2034" spans="1:11" x14ac:dyDescent="0.25">
      <c r="A2034" t="str">
        <f>HYPERLINK("http://www.corstruth.com.au/SA/175_MTDAVIES-NC3_cs.png","175_MTDAVIES-NC3_A4")</f>
        <v>175_MTDAVIES-NC3_A4</v>
      </c>
      <c r="D2034">
        <v>175</v>
      </c>
      <c r="E2034" t="s">
        <v>2163</v>
      </c>
      <c r="F2034" t="str">
        <f>HYPERLINK("https://drillhole.pir.sa.gov.au/Details.aspx?DRILLHOLE_NO=175","Geol Survey Link")</f>
        <v>Geol Survey Link</v>
      </c>
      <c r="I2034">
        <v>-26.017099999999999</v>
      </c>
      <c r="J2034">
        <v>129.21100000000001</v>
      </c>
    </row>
    <row r="2035" spans="1:11" x14ac:dyDescent="0.25">
      <c r="A2035" t="str">
        <f>HYPERLINK("http://www.corstruth.com.au/SA/176038_TEROWIE_TSDD2_cs.png","176038_TEROWIE_TSDD2_A4")</f>
        <v>176038_TEROWIE_TSDD2_A4</v>
      </c>
      <c r="D2035">
        <v>176038</v>
      </c>
      <c r="E2035" t="s">
        <v>2163</v>
      </c>
      <c r="F2035" t="str">
        <f>HYPERLINK("https://drillhole.pir.sa.gov.au/Details.aspx?DRILLHOLE_NO=176038","Geol Survey Link")</f>
        <v>Geol Survey Link</v>
      </c>
      <c r="I2035">
        <v>-33.175600000000003</v>
      </c>
      <c r="J2035">
        <v>138.91200000000001</v>
      </c>
    </row>
    <row r="2036" spans="1:11" x14ac:dyDescent="0.25">
      <c r="A2036" t="str">
        <f>HYPERLINK("http://www.corstruth.com.au/SA/1765_MARRYAT_MID1_cs.png","1765_MARRYAT_MID1_A4")</f>
        <v>1765_MARRYAT_MID1_A4</v>
      </c>
      <c r="D2036">
        <v>1765</v>
      </c>
      <c r="E2036" t="s">
        <v>2163</v>
      </c>
      <c r="F2036" t="str">
        <f>HYPERLINK("https://drillhole.pir.sa.gov.au/Details.aspx?DRILLHOLE_NO=1765","Geol Survey Link")</f>
        <v>Geol Survey Link</v>
      </c>
      <c r="I2036">
        <v>-26.2104</v>
      </c>
      <c r="J2036">
        <v>132.75</v>
      </c>
    </row>
    <row r="2037" spans="1:11" x14ac:dyDescent="0.25">
      <c r="A2037" t="str">
        <f>HYPERLINK("http://www.corstruth.com.au/SA/1773_KENPK_FPD1_cs.png","1773_KENPK_FPD1_A4")</f>
        <v>1773_KENPK_FPD1_A4</v>
      </c>
      <c r="D2037">
        <v>1773</v>
      </c>
      <c r="E2037" t="s">
        <v>2163</v>
      </c>
      <c r="F2037" t="str">
        <f>HYPERLINK("https://drillhole.pir.sa.gov.au/Details.aspx?DRILLHOLE_NO=1773","Geol Survey Link")</f>
        <v>Geol Survey Link</v>
      </c>
      <c r="I2037">
        <v>-26.185500000000001</v>
      </c>
      <c r="J2037">
        <v>132.55000000000001</v>
      </c>
    </row>
    <row r="2038" spans="1:11" x14ac:dyDescent="0.25">
      <c r="A2038" t="str">
        <f>HYPERLINK("http://www.corstruth.com.au/SA/177955_Yudnamutana_cs.png","177955_Yudnamutana_A4")</f>
        <v>177955_Yudnamutana_A4</v>
      </c>
      <c r="D2038">
        <v>177955</v>
      </c>
      <c r="E2038" t="s">
        <v>2163</v>
      </c>
      <c r="F2038" t="str">
        <f>HYPERLINK("https://drillhole.pir.sa.gov.au/Details.aspx?DRILLHOLE_NO=177955","Geol Survey Link")</f>
        <v>Geol Survey Link</v>
      </c>
      <c r="I2038">
        <v>-30.183900000000001</v>
      </c>
      <c r="J2038">
        <v>139.27000000000001</v>
      </c>
    </row>
    <row r="2039" spans="1:11" x14ac:dyDescent="0.25">
      <c r="A2039" t="str">
        <f>HYPERLINK("http://www.corstruth.com.au/SA/177_MTDAVIES-NC4_cs.png","177_MTDAVIES-NC4_A4")</f>
        <v>177_MTDAVIES-NC4_A4</v>
      </c>
      <c r="D2039">
        <v>177</v>
      </c>
      <c r="E2039" t="s">
        <v>2163</v>
      </c>
      <c r="F2039" t="str">
        <f>HYPERLINK("https://drillhole.pir.sa.gov.au/Details.aspx?DRILLHOLE_NO=177","Geol Survey Link")</f>
        <v>Geol Survey Link</v>
      </c>
      <c r="I2039">
        <v>-26.0015</v>
      </c>
      <c r="J2039">
        <v>129.208</v>
      </c>
    </row>
    <row r="2040" spans="1:11" x14ac:dyDescent="0.25">
      <c r="A2040" t="str">
        <f>HYPERLINK("http://www.corstruth.com.au/SA/178_MTDAVIES-NC5_cs.png","178_MTDAVIES-NC5_A4")</f>
        <v>178_MTDAVIES-NC5_A4</v>
      </c>
      <c r="D2040">
        <v>178</v>
      </c>
      <c r="E2040" t="s">
        <v>2163</v>
      </c>
      <c r="F2040" t="str">
        <f>HYPERLINK("https://drillhole.pir.sa.gov.au/Details.aspx?DRILLHOLE_NO=178","Geol Survey Link")</f>
        <v>Geol Survey Link</v>
      </c>
      <c r="I2040">
        <v>-26.0015</v>
      </c>
      <c r="J2040">
        <v>129.208</v>
      </c>
    </row>
    <row r="2041" spans="1:11" x14ac:dyDescent="0.25">
      <c r="A2041" t="str">
        <f>HYPERLINK("http://www.corstruth.com.au/SA/179131_TRURO_DD92TR1_cs.png","179131_TRURO_DD92TR1_A4")</f>
        <v>179131_TRURO_DD92TR1_A4</v>
      </c>
      <c r="D2041">
        <v>179131</v>
      </c>
      <c r="E2041" t="s">
        <v>2163</v>
      </c>
      <c r="F2041" t="str">
        <f>HYPERLINK("https://drillhole.pir.sa.gov.au/Details.aspx?DRILLHOLE_NO=179131","Geol Survey Link")</f>
        <v>Geol Survey Link</v>
      </c>
      <c r="I2041">
        <v>-34.512799999999999</v>
      </c>
      <c r="J2041">
        <v>139.124</v>
      </c>
    </row>
    <row r="2042" spans="1:11" x14ac:dyDescent="0.25">
      <c r="A2042" t="str">
        <f>HYPERLINK("http://www.corstruth.com.au/SA/179391_BEV_186_55A_cs.png","179391_BEV_186_55A_A4")</f>
        <v>179391_BEV_186_55A_A4</v>
      </c>
      <c r="D2042">
        <v>179391</v>
      </c>
      <c r="E2042" t="s">
        <v>2163</v>
      </c>
      <c r="F2042" t="str">
        <f>HYPERLINK("https://drillhole.pir.sa.gov.au/Details.aspx?DRILLHOLE_NO=179391","Geol Survey Link")</f>
        <v>Geol Survey Link</v>
      </c>
      <c r="I2042">
        <v>-30.1921</v>
      </c>
      <c r="J2042">
        <v>139.59899999999999</v>
      </c>
    </row>
    <row r="2043" spans="1:11" x14ac:dyDescent="0.25">
      <c r="A2043" t="str">
        <f>HYPERLINK("http://www.corstruth.com.au/SA/179393_BEV_186_56B_cs.png","179393_BEV_186_56B_A4")</f>
        <v>179393_BEV_186_56B_A4</v>
      </c>
      <c r="D2043">
        <v>179393</v>
      </c>
      <c r="E2043" t="s">
        <v>2163</v>
      </c>
      <c r="F2043" t="str">
        <f>HYPERLINK("https://drillhole.pir.sa.gov.au/Details.aspx?DRILLHOLE_NO=179393","Geol Survey Link")</f>
        <v>Geol Survey Link</v>
      </c>
      <c r="I2043">
        <v>-30.198799999999999</v>
      </c>
      <c r="J2043">
        <v>139.59</v>
      </c>
    </row>
    <row r="2044" spans="1:11" x14ac:dyDescent="0.25">
      <c r="A2044" t="str">
        <f>HYPERLINK("http://www.corstruth.com.au/SA/179456_BEV_186_72A_cs.png","179456_BEV_186_72A_A4")</f>
        <v>179456_BEV_186_72A_A4</v>
      </c>
      <c r="D2044">
        <v>179456</v>
      </c>
      <c r="E2044" t="s">
        <v>2163</v>
      </c>
      <c r="F2044" t="str">
        <f>HYPERLINK("https://drillhole.pir.sa.gov.au/Details.aspx?DRILLHOLE_NO=179456","Geol Survey Link")</f>
        <v>Geol Survey Link</v>
      </c>
      <c r="I2044">
        <v>-30.156199999999998</v>
      </c>
      <c r="J2044">
        <v>139.60599999999999</v>
      </c>
    </row>
    <row r="2045" spans="1:11" x14ac:dyDescent="0.25">
      <c r="A2045" t="str">
        <f>HYPERLINK("http://www.corstruth.com.au/SA/179460_BEV_186_112_cs.png","179460_BEV_186_112_A4")</f>
        <v>179460_BEV_186_112_A4</v>
      </c>
      <c r="D2045">
        <v>179460</v>
      </c>
      <c r="E2045" t="s">
        <v>2163</v>
      </c>
      <c r="F2045" t="str">
        <f>HYPERLINK("https://drillhole.pir.sa.gov.au/Details.aspx?DRILLHOLE_NO=179460","Geol Survey Link")</f>
        <v>Geol Survey Link</v>
      </c>
      <c r="I2045">
        <v>-30.184000000000001</v>
      </c>
      <c r="J2045">
        <v>139.59700000000001</v>
      </c>
    </row>
    <row r="2046" spans="1:11" x14ac:dyDescent="0.25">
      <c r="A2046" t="str">
        <f>HYPERLINK("http://www.corstruth.com.au/SA/179463_BEV_186_101A_cs.png","179463_BEV_186_101A_A4")</f>
        <v>179463_BEV_186_101A_A4</v>
      </c>
      <c r="D2046">
        <v>179463</v>
      </c>
      <c r="E2046" t="s">
        <v>2163</v>
      </c>
      <c r="F2046" t="str">
        <f>HYPERLINK("https://drillhole.pir.sa.gov.au/Details.aspx?DRILLHOLE_NO=179463","Geol Survey Link")</f>
        <v>Geol Survey Link</v>
      </c>
      <c r="I2046">
        <v>-30.182200000000002</v>
      </c>
      <c r="J2046">
        <v>139.607</v>
      </c>
    </row>
    <row r="2047" spans="1:11" x14ac:dyDescent="0.25">
      <c r="A2047" t="str">
        <f>HYPERLINK("http://www.corstruth.com.au/SA/179464_BEV_186_71A_cs.png","179464_BEV_186_71A_A4")</f>
        <v>179464_BEV_186_71A_A4</v>
      </c>
      <c r="D2047">
        <v>179464</v>
      </c>
      <c r="E2047" t="s">
        <v>2163</v>
      </c>
      <c r="F2047" t="str">
        <f>HYPERLINK("https://drillhole.pir.sa.gov.au/Details.aspx?DRILLHOLE_NO=179464","Geol Survey Link")</f>
        <v>Geol Survey Link</v>
      </c>
      <c r="I2047">
        <v>-30.162700000000001</v>
      </c>
      <c r="J2047">
        <v>139.60499999999999</v>
      </c>
    </row>
    <row r="2048" spans="1:11" x14ac:dyDescent="0.25">
      <c r="A2048" t="str">
        <f>HYPERLINK("http://www.corstruth.com.au/SA/17981_FH5_cs.png","17981_FH5_A4")</f>
        <v>17981_FH5_A4</v>
      </c>
      <c r="D2048">
        <v>17981</v>
      </c>
      <c r="E2048" t="s">
        <v>2163</v>
      </c>
      <c r="F2048" t="str">
        <f>HYPERLINK("https://drillhole.pir.sa.gov.au/Details.aspx?DRILLHOLE_NO=17981","Geol Survey Link")</f>
        <v>Geol Survey Link</v>
      </c>
      <c r="I2048">
        <v>-32.263199999999998</v>
      </c>
      <c r="J2048">
        <v>136.976</v>
      </c>
      <c r="K2048" t="str">
        <f>HYPERLINK("https://sarigdata.pir.sa.gov.au/nvcl/NVCLDataServices/mosaic.html?datasetid=ab4b9212-fad2-4328-a618-d44dc8889d0","17981_FH5_Core Image")</f>
        <v>17981_FH5_Core Image</v>
      </c>
    </row>
    <row r="2049" spans="1:11" x14ac:dyDescent="0.25">
      <c r="A2049" t="str">
        <f>HYPERLINK("http://www.corstruth.com.au/SA/179835_BEV_186_110_cs.png","179835_BEV_186_110_A4")</f>
        <v>179835_BEV_186_110_A4</v>
      </c>
      <c r="D2049">
        <v>179835</v>
      </c>
      <c r="E2049" t="s">
        <v>2163</v>
      </c>
      <c r="F2049" t="str">
        <f>HYPERLINK("https://drillhole.pir.sa.gov.au/Details.aspx?DRILLHOLE_NO=179835","Geol Survey Link")</f>
        <v>Geol Survey Link</v>
      </c>
      <c r="I2049">
        <v>-30.189900000000002</v>
      </c>
      <c r="J2049">
        <v>139.596</v>
      </c>
    </row>
    <row r="2050" spans="1:11" x14ac:dyDescent="0.25">
      <c r="A2050" t="str">
        <f>HYPERLINK("http://www.corstruth.com.au/SA/179883_BEV_186_33A_cs.png","179883_BEV_186_33A_A4")</f>
        <v>179883_BEV_186_33A_A4</v>
      </c>
      <c r="D2050">
        <v>179883</v>
      </c>
      <c r="E2050" t="s">
        <v>2163</v>
      </c>
      <c r="F2050" t="str">
        <f>HYPERLINK("https://drillhole.pir.sa.gov.au/Details.aspx?DRILLHOLE_NO=179883","Geol Survey Link")</f>
        <v>Geol Survey Link</v>
      </c>
      <c r="I2050">
        <v>-30.169799999999999</v>
      </c>
      <c r="J2050">
        <v>139.59299999999999</v>
      </c>
    </row>
    <row r="2051" spans="1:11" x14ac:dyDescent="0.25">
      <c r="A2051" t="str">
        <f>HYPERLINK("http://www.corstruth.com.au/SA/179918_BEV_186_70A_cs.png","179918_BEV_186_70A_A4")</f>
        <v>179918_BEV_186_70A_A4</v>
      </c>
      <c r="D2051">
        <v>179918</v>
      </c>
      <c r="E2051" t="s">
        <v>2163</v>
      </c>
      <c r="F2051" t="str">
        <f>HYPERLINK("https://drillhole.pir.sa.gov.au/Details.aspx?DRILLHOLE_NO=179918","Geol Survey Link")</f>
        <v>Geol Survey Link</v>
      </c>
      <c r="I2051">
        <v>-30.169499999999999</v>
      </c>
      <c r="J2051">
        <v>139.60499999999999</v>
      </c>
    </row>
    <row r="2052" spans="1:11" x14ac:dyDescent="0.25">
      <c r="A2052" t="str">
        <f>HYPERLINK("http://www.corstruth.com.au/SA/179_MTDAVIES-NC6_cs.png","179_MTDAVIES-NC6_A4")</f>
        <v>179_MTDAVIES-NC6_A4</v>
      </c>
      <c r="D2052">
        <v>179</v>
      </c>
      <c r="E2052" t="s">
        <v>2163</v>
      </c>
      <c r="F2052" t="str">
        <f>HYPERLINK("https://drillhole.pir.sa.gov.au/Details.aspx?DRILLHOLE_NO=179","Geol Survey Link")</f>
        <v>Geol Survey Link</v>
      </c>
      <c r="I2052">
        <v>-26.0015</v>
      </c>
      <c r="J2052">
        <v>129.208</v>
      </c>
    </row>
    <row r="2053" spans="1:11" x14ac:dyDescent="0.25">
      <c r="A2053" t="str">
        <f>HYPERLINK("http://www.corstruth.com.au/SA/180496_BM2_cs.png","180496_BM2_A4")</f>
        <v>180496_BM2_A4</v>
      </c>
      <c r="D2053">
        <v>180496</v>
      </c>
      <c r="E2053" t="s">
        <v>2163</v>
      </c>
      <c r="F2053" t="str">
        <f>HYPERLINK("https://drillhole.pir.sa.gov.au/Details.aspx?DRILLHOLE_NO=180496","Geol Survey Link")</f>
        <v>Geol Survey Link</v>
      </c>
      <c r="I2053">
        <v>-30.196400000000001</v>
      </c>
      <c r="J2053">
        <v>139.244</v>
      </c>
    </row>
    <row r="2054" spans="1:11" x14ac:dyDescent="0.25">
      <c r="A2054" t="str">
        <f>HYPERLINK("http://www.corstruth.com.au/SA/180498_BM5_cs.png","180498_BM5_A4")</f>
        <v>180498_BM5_A4</v>
      </c>
      <c r="D2054">
        <v>180498</v>
      </c>
      <c r="E2054" t="s">
        <v>2163</v>
      </c>
      <c r="F2054" t="str">
        <f>HYPERLINK("https://drillhole.pir.sa.gov.au/Details.aspx?DRILLHOLE_NO=180498","Geol Survey Link")</f>
        <v>Geol Survey Link</v>
      </c>
      <c r="I2054">
        <v>-30.191600000000001</v>
      </c>
      <c r="J2054">
        <v>139.24199999999999</v>
      </c>
    </row>
    <row r="2055" spans="1:11" x14ac:dyDescent="0.25">
      <c r="A2055" t="str">
        <f>HYPERLINK("http://www.corstruth.com.au/SA/18057_Woomera1_cs.png","18057_Woomera1_A4")</f>
        <v>18057_Woomera1_A4</v>
      </c>
      <c r="D2055">
        <v>18057</v>
      </c>
      <c r="E2055" t="s">
        <v>2163</v>
      </c>
      <c r="F2055" t="str">
        <f>HYPERLINK("https://drillhole.pir.sa.gov.au/Details.aspx?DRILLHOLE_NO=18057","Geol Survey Link")</f>
        <v>Geol Survey Link</v>
      </c>
      <c r="I2055">
        <v>-31.181899999999999</v>
      </c>
      <c r="J2055">
        <v>136.851</v>
      </c>
      <c r="K2055" t="str">
        <f>HYPERLINK("https://sarigdata.pir.sa.gov.au/nvcl/NVCLDataServices/mosaic.html?datasetid=75602efd-fde2-4ff2-8fc4-9acd37a7570","18057_Woomera1_Core Image")</f>
        <v>18057_Woomera1_Core Image</v>
      </c>
    </row>
    <row r="2056" spans="1:11" x14ac:dyDescent="0.25">
      <c r="A2056" t="str">
        <f>HYPERLINK("http://www.corstruth.com.au/SA/180584_TER1_cs.png","180584_TER1_A4")</f>
        <v>180584_TER1_A4</v>
      </c>
      <c r="B2056" t="str">
        <f>HYPERLINK("http://www.corstruth.com.au/SA/PNG2/180584_TER1_cs.png","180584_TER1_0.25m Bins")</f>
        <v>180584_TER1_0.25m Bins</v>
      </c>
      <c r="C2056" t="str">
        <f>HYPERLINK("http://www.corstruth.com.au/SA/CSV/180584_TER1.csv","180584_TER1_CSV File 1m Bins")</f>
        <v>180584_TER1_CSV File 1m Bins</v>
      </c>
      <c r="D2056">
        <v>180584</v>
      </c>
      <c r="E2056" t="s">
        <v>2163</v>
      </c>
      <c r="F2056" t="str">
        <f>HYPERLINK("https://drillhole.pir.sa.gov.au/Details.aspx?DRILLHOLE_NO=180584","Geol Survey Link")</f>
        <v>Geol Survey Link</v>
      </c>
      <c r="I2056">
        <v>-34.784399999999998</v>
      </c>
      <c r="J2056">
        <v>137.495</v>
      </c>
      <c r="K2056" t="str">
        <f>HYPERLINK("https://sarigdata.pir.sa.gov.au/nvcl/NVCLDataServices/mosaic.html?datasetid=d732f0e5-daae-4301-94a8-67d87449b2b","180584_TER1_Core Image")</f>
        <v>180584_TER1_Core Image</v>
      </c>
    </row>
    <row r="2057" spans="1:11" x14ac:dyDescent="0.25">
      <c r="A2057" t="str">
        <f>HYPERLINK("http://www.corstruth.com.au/SA/18092_Vanguard1_cs.png","18092_Vanguard1_A4")</f>
        <v>18092_Vanguard1_A4</v>
      </c>
      <c r="B2057" t="str">
        <f>HYPERLINK("http://www.corstruth.com.au/SA/PNG2/18092_Vanguard1_cs.png","18092_Vanguard1_0.25m Bins")</f>
        <v>18092_Vanguard1_0.25m Bins</v>
      </c>
      <c r="C2057" t="str">
        <f>HYPERLINK("http://www.corstruth.com.au/SA/CSV/18092_Vanguard1.csv","18092_Vanguard1_CSV File 1m Bins")</f>
        <v>18092_Vanguard1_CSV File 1m Bins</v>
      </c>
      <c r="D2057">
        <v>18092</v>
      </c>
      <c r="E2057" t="s">
        <v>2163</v>
      </c>
      <c r="F2057" t="str">
        <f>HYPERLINK("https://drillhole.pir.sa.gov.au/Details.aspx?DRILLHOLE_NO=18092","Geol Survey Link")</f>
        <v>Geol Survey Link</v>
      </c>
      <c r="I2057">
        <v>-31.439699999999998</v>
      </c>
      <c r="J2057">
        <v>136.93</v>
      </c>
      <c r="K2057" t="str">
        <f>HYPERLINK("https://sarigdata.pir.sa.gov.au/nvcl/NVCLDataServices/mosaic.html?datasetid=f8bf6a19-be5e-41cc-9ee7-82d93edea3e","18092_Vanguard1_Core Image")</f>
        <v>18092_Vanguard1_Core Image</v>
      </c>
    </row>
    <row r="2058" spans="1:11" x14ac:dyDescent="0.25">
      <c r="A2058" t="str">
        <f>HYPERLINK("http://www.corstruth.com.au/SA/18093_WJD1_cs.png","18093_WJD1_A4")</f>
        <v>18093_WJD1_A4</v>
      </c>
      <c r="D2058">
        <v>18093</v>
      </c>
      <c r="E2058" t="s">
        <v>2163</v>
      </c>
      <c r="F2058" t="str">
        <f>HYPERLINK("https://drillhole.pir.sa.gov.au/Details.aspx?DRILLHOLE_NO=18093","Geol Survey Link")</f>
        <v>Geol Survey Link</v>
      </c>
      <c r="I2058">
        <v>-31.065899999999999</v>
      </c>
      <c r="J2058">
        <v>136.96600000000001</v>
      </c>
      <c r="K2058" t="str">
        <f>HYPERLINK("https://sarigdata.pir.sa.gov.au/nvcl/NVCLDataServices/mosaic.html?datasetid=c2c85c68-f01f-4d0e-88d1-1ba93ba7f63","18093_WJD1_Core Image")</f>
        <v>18093_WJD1_Core Image</v>
      </c>
    </row>
    <row r="2059" spans="1:11" x14ac:dyDescent="0.25">
      <c r="A2059" t="str">
        <f>HYPERLINK("http://www.corstruth.com.au/SA/180_NC7_cs.png","180_NC7_A4")</f>
        <v>180_NC7_A4</v>
      </c>
      <c r="D2059">
        <v>180</v>
      </c>
      <c r="E2059" t="s">
        <v>2163</v>
      </c>
      <c r="F2059" t="str">
        <f>HYPERLINK("https://drillhole.pir.sa.gov.au/Details.aspx?DRILLHOLE_NO=180","Geol Survey Link")</f>
        <v>Geol Survey Link</v>
      </c>
      <c r="I2059">
        <v>-26.0015</v>
      </c>
      <c r="J2059">
        <v>129.208</v>
      </c>
    </row>
    <row r="2060" spans="1:11" x14ac:dyDescent="0.25">
      <c r="A2060" t="str">
        <f>HYPERLINK("http://www.corstruth.com.au/SA/1810_WHP_WHD1_cs.png","1810_WHP_WHD1_A4")</f>
        <v>1810_WHP_WHD1_A4</v>
      </c>
      <c r="D2060">
        <v>1810</v>
      </c>
      <c r="E2060" t="s">
        <v>2163</v>
      </c>
      <c r="F2060" t="str">
        <f>HYPERLINK("https://drillhole.pir.sa.gov.au/Details.aspx?DRILLHOLE_NO=1810","Geol Survey Link")</f>
        <v>Geol Survey Link</v>
      </c>
      <c r="I2060">
        <v>-26.309000000000001</v>
      </c>
      <c r="J2060">
        <v>132.73099999999999</v>
      </c>
    </row>
    <row r="2061" spans="1:11" x14ac:dyDescent="0.25">
      <c r="A2061" t="str">
        <f>HYPERLINK("http://www.corstruth.com.au/SA/181105_DRD1_DingoRidge_cs.png","181105_DRD1_DingoRidge_A4")</f>
        <v>181105_DRD1_DingoRidge_A4</v>
      </c>
      <c r="D2061">
        <v>181105</v>
      </c>
      <c r="E2061" t="s">
        <v>2163</v>
      </c>
      <c r="F2061" t="str">
        <f>HYPERLINK("https://drillhole.pir.sa.gov.au/Details.aspx?DRILLHOLE_NO=181105","Geol Survey Link")</f>
        <v>Geol Survey Link</v>
      </c>
      <c r="I2061">
        <v>-32.410600000000002</v>
      </c>
      <c r="J2061">
        <v>140.899</v>
      </c>
    </row>
    <row r="2062" spans="1:11" x14ac:dyDescent="0.25">
      <c r="A2062" t="str">
        <f>HYPERLINK("http://www.corstruth.com.au/SA/1811_WHP_WHD2_cs.png","1811_WHP_WHD2_A4")</f>
        <v>1811_WHP_WHD2_A4</v>
      </c>
      <c r="D2062">
        <v>1811</v>
      </c>
      <c r="E2062" t="s">
        <v>2163</v>
      </c>
      <c r="F2062" t="str">
        <f>HYPERLINK("https://drillhole.pir.sa.gov.au/Details.aspx?DRILLHOLE_NO=1811","Geol Survey Link")</f>
        <v>Geol Survey Link</v>
      </c>
      <c r="I2062">
        <v>-26.3139</v>
      </c>
      <c r="J2062">
        <v>132.73099999999999</v>
      </c>
    </row>
    <row r="2063" spans="1:11" x14ac:dyDescent="0.25">
      <c r="A2063" t="str">
        <f>HYPERLINK("http://www.corstruth.com.au/SA/181283_WEED_00WDDH005_cs.png","181283_WEED_00WDDH005_A4")</f>
        <v>181283_WEED_00WDDH005_A4</v>
      </c>
      <c r="D2063">
        <v>181283</v>
      </c>
      <c r="E2063" t="s">
        <v>2163</v>
      </c>
      <c r="F2063" t="str">
        <f>HYPERLINK("https://drillhole.pir.sa.gov.au/Details.aspx?DRILLHOLE_NO=181283","Geol Survey Link")</f>
        <v>Geol Survey Link</v>
      </c>
      <c r="I2063">
        <v>-32.777000000000001</v>
      </c>
      <c r="J2063">
        <v>136.47800000000001</v>
      </c>
    </row>
    <row r="2064" spans="1:11" x14ac:dyDescent="0.25">
      <c r="A2064" t="str">
        <f>HYPERLINK("http://www.corstruth.com.au/SA/181284_WEED_00WDDH006_cs.png","181284_WEED_00WDDH006_A4")</f>
        <v>181284_WEED_00WDDH006_A4</v>
      </c>
      <c r="D2064">
        <v>181284</v>
      </c>
      <c r="E2064" t="s">
        <v>2163</v>
      </c>
      <c r="F2064" t="str">
        <f>HYPERLINK("https://drillhole.pir.sa.gov.au/Details.aspx?DRILLHOLE_NO=181284","Geol Survey Link")</f>
        <v>Geol Survey Link</v>
      </c>
      <c r="I2064">
        <v>-32.753</v>
      </c>
      <c r="J2064">
        <v>136.447</v>
      </c>
    </row>
    <row r="2065" spans="1:11" x14ac:dyDescent="0.25">
      <c r="A2065" t="str">
        <f>HYPERLINK("http://www.corstruth.com.au/SA/1812_KENPK_KP3_cs.png","1812_KENPK_KP3_A4")</f>
        <v>1812_KENPK_KP3_A4</v>
      </c>
      <c r="D2065">
        <v>1812</v>
      </c>
      <c r="E2065" t="s">
        <v>2163</v>
      </c>
      <c r="F2065" t="str">
        <f>HYPERLINK("https://drillhole.pir.sa.gov.au/Details.aspx?DRILLHOLE_NO=1812","Geol Survey Link")</f>
        <v>Geol Survey Link</v>
      </c>
      <c r="I2065">
        <v>-26.151199999999999</v>
      </c>
      <c r="J2065">
        <v>132.78200000000001</v>
      </c>
    </row>
    <row r="2066" spans="1:11" x14ac:dyDescent="0.25">
      <c r="A2066" t="str">
        <f>HYPERLINK("http://www.corstruth.com.au/SA/1813_KENPK_KP2_cs.png","1813_KENPK_KP2_A4")</f>
        <v>1813_KENPK_KP2_A4</v>
      </c>
      <c r="D2066">
        <v>1813</v>
      </c>
      <c r="E2066" t="s">
        <v>2163</v>
      </c>
      <c r="F2066" t="str">
        <f>HYPERLINK("https://drillhole.pir.sa.gov.au/Details.aspx?DRILLHOLE_NO=1813","Geol Survey Link")</f>
        <v>Geol Survey Link</v>
      </c>
      <c r="I2066">
        <v>-26.1511</v>
      </c>
      <c r="J2066">
        <v>132.78200000000001</v>
      </c>
    </row>
    <row r="2067" spans="1:11" x14ac:dyDescent="0.25">
      <c r="A2067" t="str">
        <f>HYPERLINK("http://www.corstruth.com.au/SA/1814_KENPK_KP1_cs.png","1814_KENPK_KP1_A4")</f>
        <v>1814_KENPK_KP1_A4</v>
      </c>
      <c r="D2067">
        <v>1814</v>
      </c>
      <c r="E2067" t="s">
        <v>2163</v>
      </c>
      <c r="F2067" t="str">
        <f>HYPERLINK("https://drillhole.pir.sa.gov.au/Details.aspx?DRILLHOLE_NO=1814","Geol Survey Link")</f>
        <v>Geol Survey Link</v>
      </c>
      <c r="I2067">
        <v>-26.1511</v>
      </c>
      <c r="J2067">
        <v>132.78200000000001</v>
      </c>
    </row>
    <row r="2068" spans="1:11" x14ac:dyDescent="0.25">
      <c r="A2068" t="str">
        <f>HYPERLINK("http://www.corstruth.com.au/SA/18159_CSD_1_cs.png","18159_CSD_1_A4")</f>
        <v>18159_CSD_1_A4</v>
      </c>
      <c r="D2068">
        <v>18159</v>
      </c>
      <c r="E2068" t="s">
        <v>2163</v>
      </c>
      <c r="F2068" t="str">
        <f>HYPERLINK("https://drillhole.pir.sa.gov.au/Details.aspx?DRILLHOLE_NO=18159","Geol Survey Link")</f>
        <v>Geol Survey Link</v>
      </c>
      <c r="I2068">
        <v>-30.945499999999999</v>
      </c>
      <c r="J2068">
        <v>136.84399999999999</v>
      </c>
      <c r="K2068" t="str">
        <f>HYPERLINK("https://sarigdata.pir.sa.gov.au/nvcl/NVCLDataServices/mosaic.html?datasetid=89c8c277-f32b-4228-ad33-a94dfb2320d","18159_CSD_1_Core Image")</f>
        <v>18159_CSD_1_Core Image</v>
      </c>
    </row>
    <row r="2069" spans="1:11" x14ac:dyDescent="0.25">
      <c r="A2069" t="str">
        <f>HYPERLINK("http://www.corstruth.com.au/SA/18160_HHD_1_cs.png","18160_HHD_1_A4")</f>
        <v>18160_HHD_1_A4</v>
      </c>
      <c r="D2069">
        <v>18160</v>
      </c>
      <c r="E2069" t="s">
        <v>2163</v>
      </c>
      <c r="F2069" t="str">
        <f>HYPERLINK("https://drillhole.pir.sa.gov.au/Details.aspx?DRILLHOLE_NO=18160","Geol Survey Link")</f>
        <v>Geol Survey Link</v>
      </c>
      <c r="I2069">
        <v>-30.782599999999999</v>
      </c>
      <c r="J2069">
        <v>136.76900000000001</v>
      </c>
      <c r="K2069" t="str">
        <f>HYPERLINK("https://sarigdata.pir.sa.gov.au/nvcl/NVCLDataServices/mosaic.html?datasetid=d0b99b99-76cd-45ab-a7dd-393fb08cda3","18160_HHD_1_Core Image")</f>
        <v>18160_HHD_1_Core Image</v>
      </c>
    </row>
    <row r="2070" spans="1:11" x14ac:dyDescent="0.25">
      <c r="A2070" t="str">
        <f>HYPERLINK("http://www.corstruth.com.au/SA/18189_BD1_cs.png","18189_BD1_A4")</f>
        <v>18189_BD1_A4</v>
      </c>
      <c r="B2070" t="str">
        <f>HYPERLINK("http://www.corstruth.com.au/SA/PNG2/18189_BD1_cs.png","18189_BD1_0.25m Bins")</f>
        <v>18189_BD1_0.25m Bins</v>
      </c>
      <c r="C2070" t="str">
        <f>HYPERLINK("http://www.corstruth.com.au/SA/CSV/18189_BD1.csv","18189_BD1_CSV File 1m Bins")</f>
        <v>18189_BD1_CSV File 1m Bins</v>
      </c>
      <c r="D2070">
        <v>18189</v>
      </c>
      <c r="E2070" t="s">
        <v>2163</v>
      </c>
      <c r="F2070" t="str">
        <f>HYPERLINK("https://drillhole.pir.sa.gov.au/Details.aspx?DRILLHOLE_NO=18189","Geol Survey Link")</f>
        <v>Geol Survey Link</v>
      </c>
      <c r="I2070">
        <v>-30.148599999999998</v>
      </c>
      <c r="J2070">
        <v>136.84399999999999</v>
      </c>
      <c r="K2070" t="str">
        <f>HYPERLINK("https://sarigdata.pir.sa.gov.au/nvcl/NVCLDataServices/mosaic.html?datasetid=2514e3fe-46fd-488c-82b9-fdb943d9205","18189_BD1_Core Image")</f>
        <v>18189_BD1_Core Image</v>
      </c>
    </row>
    <row r="2071" spans="1:11" x14ac:dyDescent="0.25">
      <c r="A2071" t="str">
        <f>HYPERLINK("http://www.corstruth.com.au/SA/18190_BD2_cs.png","18190_BD2_A4")</f>
        <v>18190_BD2_A4</v>
      </c>
      <c r="B2071" t="str">
        <f>HYPERLINK("http://www.corstruth.com.au/SA/PNG2/18190_BD2_cs.png","18190_BD2_0.25m Bins")</f>
        <v>18190_BD2_0.25m Bins</v>
      </c>
      <c r="C2071" t="str">
        <f>HYPERLINK("http://www.corstruth.com.au/SA/CSV/18190_BD2.csv","18190_BD2_CSV File 1m Bins")</f>
        <v>18190_BD2_CSV File 1m Bins</v>
      </c>
      <c r="D2071">
        <v>18190</v>
      </c>
      <c r="E2071" t="s">
        <v>2163</v>
      </c>
      <c r="F2071" t="str">
        <f>HYPERLINK("https://drillhole.pir.sa.gov.au/Details.aspx?DRILLHOLE_NO=18190","Geol Survey Link")</f>
        <v>Geol Survey Link</v>
      </c>
      <c r="I2071">
        <v>-30.122399999999999</v>
      </c>
      <c r="J2071">
        <v>136.815</v>
      </c>
      <c r="K2071" t="str">
        <f>HYPERLINK("https://sarigdata.pir.sa.gov.au/nvcl/NVCLDataServices/mosaic.html?datasetid=128291eb-4ede-4111-8453-a0270709976","18190_BD2_Core Image")</f>
        <v>18190_BD2_Core Image</v>
      </c>
    </row>
    <row r="2072" spans="1:11" x14ac:dyDescent="0.25">
      <c r="A2072" t="str">
        <f>HYPERLINK("http://www.corstruth.com.au/SA/182173_Piglet1_cs.png","182173_Piglet1_A4")</f>
        <v>182173_Piglet1_A4</v>
      </c>
      <c r="B2072" t="str">
        <f>HYPERLINK("http://www.corstruth.com.au/SA/PNG2/182173_Piglet1_cs.png","182173_Piglet1_0.25m Bins")</f>
        <v>182173_Piglet1_0.25m Bins</v>
      </c>
      <c r="C2072" t="str">
        <f>HYPERLINK("http://www.corstruth.com.au/SA/CSV/182173_Piglet1.csv","182173_Piglet1_CSV File 1m Bins")</f>
        <v>182173_Piglet1_CSV File 1m Bins</v>
      </c>
      <c r="D2072">
        <v>182173</v>
      </c>
      <c r="E2072" t="s">
        <v>2163</v>
      </c>
      <c r="F2072" t="str">
        <f>HYPERLINK("https://drillhole.pir.sa.gov.au/Details.aspx?DRILLHOLE_NO=182173","Geol Survey Link")</f>
        <v>Geol Survey Link</v>
      </c>
      <c r="I2072">
        <v>-29.8428</v>
      </c>
      <c r="J2072">
        <v>132.53100000000001</v>
      </c>
      <c r="K2072" t="str">
        <f>HYPERLINK("https://sarigdata.pir.sa.gov.au/nvcl/NVCLDataServices/mosaic.html?datasetid=36bff42f-8be7-49a1-bbf2-6470398eac8","182173_Piglet1_Core Image")</f>
        <v>182173_Piglet1_Core Image</v>
      </c>
    </row>
    <row r="2073" spans="1:11" x14ac:dyDescent="0.25">
      <c r="A2073" t="str">
        <f>HYPERLINK("http://www.corstruth.com.au/SA/182_NC9_cs.png","182_NC9_A4")</f>
        <v>182_NC9_A4</v>
      </c>
      <c r="D2073">
        <v>182</v>
      </c>
      <c r="E2073" t="s">
        <v>2163</v>
      </c>
      <c r="F2073" t="str">
        <f>HYPERLINK("https://drillhole.pir.sa.gov.au/Details.aspx?DRILLHOLE_NO=182","Geol Survey Link")</f>
        <v>Geol Survey Link</v>
      </c>
      <c r="I2073">
        <v>-26.0122</v>
      </c>
      <c r="J2073">
        <v>129.197</v>
      </c>
    </row>
    <row r="2074" spans="1:11" x14ac:dyDescent="0.25">
      <c r="A2074" t="str">
        <f>HYPERLINK("http://www.corstruth.com.au/SA/183615_RAMDAM_RDD1_cs.png","183615_RAMDAM_RDD1_A4")</f>
        <v>183615_RAMDAM_RDD1_A4</v>
      </c>
      <c r="D2074">
        <v>183615</v>
      </c>
      <c r="E2074" t="s">
        <v>2163</v>
      </c>
      <c r="F2074" t="str">
        <f>HYPERLINK("https://drillhole.pir.sa.gov.au/Details.aspx?DRILLHOLE_NO=183615","Geol Survey Link")</f>
        <v>Geol Survey Link</v>
      </c>
      <c r="I2074">
        <v>-31.8935</v>
      </c>
      <c r="J2074">
        <v>140.53399999999999</v>
      </c>
    </row>
    <row r="2075" spans="1:11" x14ac:dyDescent="0.25">
      <c r="A2075" t="str">
        <f>HYPERLINK("http://www.corstruth.com.au/SA/183619_CD_2_cs.png","183619_CD_2_A4")</f>
        <v>183619_CD_2_A4</v>
      </c>
      <c r="B2075" t="str">
        <f>HYPERLINK("http://www.corstruth.com.au/SA/PNG2/183619_CD_2_cs.png","183619_CD_2_0.25m Bins")</f>
        <v>183619_CD_2_0.25m Bins</v>
      </c>
      <c r="C2075" t="str">
        <f>HYPERLINK("http://www.corstruth.com.au/SA/CSV/183619_CD_2.csv","183619_CD_2_CSV File 1m Bins")</f>
        <v>183619_CD_2_CSV File 1m Bins</v>
      </c>
      <c r="D2075">
        <v>183619</v>
      </c>
      <c r="E2075" t="s">
        <v>2163</v>
      </c>
      <c r="F2075" t="str">
        <f>HYPERLINK("https://drillhole.pir.sa.gov.au/Details.aspx?DRILLHOLE_NO=183619","Geol Survey Link")</f>
        <v>Geol Survey Link</v>
      </c>
      <c r="I2075">
        <v>-31.1675</v>
      </c>
      <c r="J2075">
        <v>129.47800000000001</v>
      </c>
      <c r="K2075" t="str">
        <f>HYPERLINK("https://sarigdata.pir.sa.gov.au/nvcl/NVCLDataServices/mosaic.html?datasetid=0011bdfc-7b07-47d1-97a5-79708523307","183619_CD_2_Core Image")</f>
        <v>183619_CD_2_Core Image</v>
      </c>
    </row>
    <row r="2076" spans="1:11" x14ac:dyDescent="0.25">
      <c r="A2076" t="str">
        <f>HYPERLINK("http://www.corstruth.com.au/SA/183620_CD_3_cs.png","183620_CD_3_A4")</f>
        <v>183620_CD_3_A4</v>
      </c>
      <c r="B2076" t="str">
        <f>HYPERLINK("http://www.corstruth.com.au/SA/PNG2/183620_CD_3_cs.png","183620_CD_3_0.25m Bins")</f>
        <v>183620_CD_3_0.25m Bins</v>
      </c>
      <c r="C2076" t="str">
        <f>HYPERLINK("http://www.corstruth.com.au/SA/CSV/183620_CD_3.csv","183620_CD_3_CSV File 1m Bins")</f>
        <v>183620_CD_3_CSV File 1m Bins</v>
      </c>
      <c r="D2076">
        <v>183620</v>
      </c>
      <c r="E2076" t="s">
        <v>2163</v>
      </c>
      <c r="F2076" t="str">
        <f>HYPERLINK("https://drillhole.pir.sa.gov.au/Details.aspx?DRILLHOLE_NO=183620","Geol Survey Link")</f>
        <v>Geol Survey Link</v>
      </c>
      <c r="I2076">
        <v>-30.971399999999999</v>
      </c>
      <c r="J2076">
        <v>129.279</v>
      </c>
      <c r="K2076" t="str">
        <f>HYPERLINK("https://sarigdata.pir.sa.gov.au/nvcl/NVCLDataServices/mosaic.html?datasetid=04ef34a2-b927-46de-ac0f-c6a9237e524","183620_CD_3_Core Image")</f>
        <v>183620_CD_3_Core Image</v>
      </c>
    </row>
    <row r="2077" spans="1:11" x14ac:dyDescent="0.25">
      <c r="A2077" t="str">
        <f>HYPERLINK("http://www.corstruth.com.au/SA/183624_CD_7_cs.png","183624_CD_7_A4")</f>
        <v>183624_CD_7_A4</v>
      </c>
      <c r="B2077" t="str">
        <f>HYPERLINK("http://www.corstruth.com.au/SA/PNG2/183624_CD_7_cs.png","183624_CD_7_0.25m Bins")</f>
        <v>183624_CD_7_0.25m Bins</v>
      </c>
      <c r="C2077" t="str">
        <f>HYPERLINK("http://www.corstruth.com.au/SA/CSV/183624_CD_7.csv","183624_CD_7_CSV File 1m Bins")</f>
        <v>183624_CD_7_CSV File 1m Bins</v>
      </c>
      <c r="D2077">
        <v>183624</v>
      </c>
      <c r="E2077" t="s">
        <v>2163</v>
      </c>
      <c r="F2077" t="str">
        <f>HYPERLINK("https://drillhole.pir.sa.gov.au/Details.aspx?DRILLHOLE_NO=183624","Geol Survey Link")</f>
        <v>Geol Survey Link</v>
      </c>
      <c r="I2077">
        <v>-30.740300000000001</v>
      </c>
      <c r="J2077">
        <v>129.28700000000001</v>
      </c>
      <c r="K2077" t="str">
        <f>HYPERLINK("https://sarigdata.pir.sa.gov.au/nvcl/NVCLDataServices/mosaic.html?datasetid=735e956c-1b80-468b-b195-cc3e4af9ecc","183624_CD_7_Core Image")</f>
        <v>183624_CD_7_Core Image</v>
      </c>
    </row>
    <row r="2078" spans="1:11" x14ac:dyDescent="0.25">
      <c r="A2078" t="str">
        <f>HYPERLINK("http://www.corstruth.com.au/SA/184147_BlackHill1_Core_cs.png","184147_BlackHill1_Core_A4")</f>
        <v>184147_BlackHill1_Core_A4</v>
      </c>
      <c r="B2078" t="str">
        <f>HYPERLINK("http://www.corstruth.com.au/SA/PNG2/184147_BlackHill1_Core_cs.png","184147_BlackHill1_Core_0.25m Bins")</f>
        <v>184147_BlackHill1_Core_0.25m Bins</v>
      </c>
      <c r="C2078" t="str">
        <f>HYPERLINK("http://www.corstruth.com.au/SA/CSV/184147_BlackHill1_Core.csv","184147_BlackHill1_Core_CSV File 1m Bins")</f>
        <v>184147_BlackHill1_Core_CSV File 1m Bins</v>
      </c>
      <c r="D2078">
        <v>184147</v>
      </c>
      <c r="E2078" t="s">
        <v>2163</v>
      </c>
      <c r="F2078" t="str">
        <f>HYPERLINK("https://drillhole.pir.sa.gov.au/Details.aspx?DRILLHOLE_NO=184147","Geol Survey Link")</f>
        <v>Geol Survey Link</v>
      </c>
      <c r="I2078">
        <v>-34.657899999999998</v>
      </c>
      <c r="J2078">
        <v>139.453</v>
      </c>
      <c r="K2078" t="str">
        <f>HYPERLINK("https://sarigdata.pir.sa.gov.au/nvcl/NVCLDataServices/mosaic.html?datasetid=43c21b77-63bc-4a92-a077-1eaa4c3651b","184147_BlackHill1_Core_Core Image")</f>
        <v>184147_BlackHill1_Core_Core Image</v>
      </c>
    </row>
    <row r="2079" spans="1:11" x14ac:dyDescent="0.25">
      <c r="A2079" t="str">
        <f>HYPERLINK("http://www.corstruth.com.au/SA/184730_GY1_cs.png","184730_GY1_A4")</f>
        <v>184730_GY1_A4</v>
      </c>
      <c r="B2079" t="str">
        <f>HYPERLINK("http://www.corstruth.com.au/SA/PNG2/184730_GY1_cs.png","184730_GY1_0.25m Bins")</f>
        <v>184730_GY1_0.25m Bins</v>
      </c>
      <c r="C2079" t="str">
        <f>HYPERLINK("http://www.corstruth.com.au/SA/CSV/184730_GY1.csv","184730_GY1_CSV File 1m Bins")</f>
        <v>184730_GY1_CSV File 1m Bins</v>
      </c>
      <c r="D2079">
        <v>184730</v>
      </c>
      <c r="E2079" t="s">
        <v>2163</v>
      </c>
      <c r="F2079" t="str">
        <f>HYPERLINK("https://drillhole.pir.sa.gov.au/Details.aspx?DRILLHOLE_NO=184730","Geol Survey Link")</f>
        <v>Geol Survey Link</v>
      </c>
      <c r="I2079">
        <v>-31.4438</v>
      </c>
      <c r="J2079">
        <v>137.173</v>
      </c>
      <c r="K2079" t="str">
        <f>HYPERLINK("https://sarigdata.pir.sa.gov.au/nvcl/NVCLDataServices/mosaic.html?datasetid=0f96b010-7832-465b-b0ab-926c3a5eb21","184730_GY1_Core Image")</f>
        <v>184730_GY1_Core Image</v>
      </c>
    </row>
    <row r="2080" spans="1:11" x14ac:dyDescent="0.25">
      <c r="A2080" t="str">
        <f>HYPERLINK("http://www.corstruth.com.au/SA/184731_GY13_cs.png","184731_GY13_A4")</f>
        <v>184731_GY13_A4</v>
      </c>
      <c r="B2080" t="str">
        <f>HYPERLINK("http://www.corstruth.com.au/SA/PNG2/184731_GY13_cs.png","184731_GY13_0.25m Bins")</f>
        <v>184731_GY13_0.25m Bins</v>
      </c>
      <c r="C2080" t="str">
        <f>HYPERLINK("http://www.corstruth.com.au/SA/CSV/184731_GY13.csv","184731_GY13_CSV File 1m Bins")</f>
        <v>184731_GY13_CSV File 1m Bins</v>
      </c>
      <c r="D2080">
        <v>184731</v>
      </c>
      <c r="E2080" t="s">
        <v>2163</v>
      </c>
      <c r="F2080" t="str">
        <f>HYPERLINK("https://drillhole.pir.sa.gov.au/Details.aspx?DRILLHOLE_NO=184731","Geol Survey Link")</f>
        <v>Geol Survey Link</v>
      </c>
      <c r="I2080">
        <v>-31.445399999999999</v>
      </c>
      <c r="J2080">
        <v>137.18199999999999</v>
      </c>
      <c r="K2080" t="str">
        <f>HYPERLINK("https://sarigdata.pir.sa.gov.au/nvcl/NVCLDataServices/mosaic.html?datasetid=e8086c1c-7ad5-49b7-bb2f-419eb22e75d","184731_GY13_Core Image")</f>
        <v>184731_GY13_Core Image</v>
      </c>
    </row>
    <row r="2081" spans="1:11" x14ac:dyDescent="0.25">
      <c r="A2081" t="str">
        <f>HYPERLINK("http://www.corstruth.com.au/SA/185374_DDOOMC001_cs.png","185374_DDOOMC001_A4")</f>
        <v>185374_DDOOMC001_A4</v>
      </c>
      <c r="D2081">
        <v>185374</v>
      </c>
      <c r="E2081" t="s">
        <v>2163</v>
      </c>
      <c r="F2081" t="str">
        <f>HYPERLINK("https://drillhole.pir.sa.gov.au/Details.aspx?DRILLHOLE_NO=185374","Geol Survey Link")</f>
        <v>Geol Survey Link</v>
      </c>
      <c r="I2081">
        <v>-28.511700000000001</v>
      </c>
      <c r="J2081">
        <v>136.36099999999999</v>
      </c>
    </row>
    <row r="2082" spans="1:11" x14ac:dyDescent="0.25">
      <c r="A2082" t="str">
        <f>HYPERLINK("http://www.corstruth.com.au/SA/185375_DDOOMC002_cs.png","185375_DDOOMC002_A4")</f>
        <v>185375_DDOOMC002_A4</v>
      </c>
      <c r="D2082">
        <v>185375</v>
      </c>
      <c r="E2082" t="s">
        <v>2163</v>
      </c>
      <c r="F2082" t="str">
        <f>HYPERLINK("https://drillhole.pir.sa.gov.au/Details.aspx?DRILLHOLE_NO=185375","Geol Survey Link")</f>
        <v>Geol Survey Link</v>
      </c>
      <c r="I2082">
        <v>-28.513000000000002</v>
      </c>
      <c r="J2082">
        <v>136.36000000000001</v>
      </c>
    </row>
    <row r="2083" spans="1:11" x14ac:dyDescent="0.25">
      <c r="A2083" t="str">
        <f>HYPERLINK("http://www.corstruth.com.au/SA/185376_DDOOMC003_cs.png","185376_DDOOMC003_A4")</f>
        <v>185376_DDOOMC003_A4</v>
      </c>
      <c r="D2083">
        <v>185376</v>
      </c>
      <c r="E2083" t="s">
        <v>2163</v>
      </c>
      <c r="F2083" t="str">
        <f>HYPERLINK("https://drillhole.pir.sa.gov.au/Details.aspx?DRILLHOLE_NO=185376","Geol Survey Link")</f>
        <v>Geol Survey Link</v>
      </c>
      <c r="I2083">
        <v>-28.514900000000001</v>
      </c>
      <c r="J2083">
        <v>136.357</v>
      </c>
    </row>
    <row r="2084" spans="1:11" x14ac:dyDescent="0.25">
      <c r="A2084" t="str">
        <f>HYPERLINK("http://www.corstruth.com.au/SA/185377_DDOOMC004_cs.png","185377_DDOOMC004_A4")</f>
        <v>185377_DDOOMC004_A4</v>
      </c>
      <c r="D2084">
        <v>185377</v>
      </c>
      <c r="E2084" t="s">
        <v>2163</v>
      </c>
      <c r="F2084" t="str">
        <f>HYPERLINK("https://drillhole.pir.sa.gov.au/Details.aspx?DRILLHOLE_NO=185377","Geol Survey Link")</f>
        <v>Geol Survey Link</v>
      </c>
      <c r="I2084">
        <v>-28.490500000000001</v>
      </c>
      <c r="J2084">
        <v>136.33600000000001</v>
      </c>
    </row>
    <row r="2085" spans="1:11" x14ac:dyDescent="0.25">
      <c r="A2085" t="str">
        <f>HYPERLINK("http://www.corstruth.com.au/SA/185379_DDOOMC006_cs.png","185379_DDOOMC006_A4")</f>
        <v>185379_DDOOMC006_A4</v>
      </c>
      <c r="D2085">
        <v>185379</v>
      </c>
      <c r="E2085" t="s">
        <v>2163</v>
      </c>
      <c r="F2085" t="str">
        <f>HYPERLINK("https://drillhole.pir.sa.gov.au/Details.aspx?DRILLHOLE_NO=185379","Geol Survey Link")</f>
        <v>Geol Survey Link</v>
      </c>
      <c r="I2085">
        <v>-28.488600000000002</v>
      </c>
      <c r="J2085">
        <v>136.339</v>
      </c>
    </row>
    <row r="2086" spans="1:11" x14ac:dyDescent="0.25">
      <c r="A2086" t="str">
        <f>HYPERLINK("http://www.corstruth.com.au/SA/185383_UCD98-1_cs.png","185383_UCD98-1_A4")</f>
        <v>185383_UCD98-1_A4</v>
      </c>
      <c r="D2086">
        <v>185383</v>
      </c>
      <c r="E2086" t="s">
        <v>2163</v>
      </c>
      <c r="F2086" t="str">
        <f>HYPERLINK("https://drillhole.pir.sa.gov.au/Details.aspx?DRILLHOLE_NO=185383","Geol Survey Link")</f>
        <v>Geol Survey Link</v>
      </c>
      <c r="I2086">
        <v>-28.363199999999999</v>
      </c>
      <c r="J2086">
        <v>136.559</v>
      </c>
    </row>
    <row r="2087" spans="1:11" x14ac:dyDescent="0.25">
      <c r="A2087" t="str">
        <f>HYPERLINK("http://www.corstruth.com.au/SA/185401_KOKDD4_cs.png","185401_KOKDD4_A4")</f>
        <v>185401_KOKDD4_A4</v>
      </c>
      <c r="B2087" t="str">
        <f>HYPERLINK("http://www.corstruth.com.au/SA/PNG2/185401_KOKDD4_cs.png","185401_KOKDD4_0.25m Bins")</f>
        <v>185401_KOKDD4_0.25m Bins</v>
      </c>
      <c r="C2087" t="str">
        <f>HYPERLINK("http://www.corstruth.com.au/SA/CSV/185401_KOKDD4.csv","185401_KOKDD4_CSV File 1m Bins")</f>
        <v>185401_KOKDD4_CSV File 1m Bins</v>
      </c>
      <c r="D2087">
        <v>185401</v>
      </c>
      <c r="E2087" t="s">
        <v>2163</v>
      </c>
      <c r="F2087" t="str">
        <f>HYPERLINK("https://drillhole.pir.sa.gov.au/Details.aspx?DRILLHOLE_NO=185401","Geol Survey Link")</f>
        <v>Geol Survey Link</v>
      </c>
      <c r="I2087">
        <v>-31.039400000000001</v>
      </c>
      <c r="J2087">
        <v>135.124</v>
      </c>
      <c r="K2087" t="str">
        <f>HYPERLINK("https://sarigdata.pir.sa.gov.au/nvcl/NVCLDataServices/mosaic.html?datasetid=fd934c15-bfa9-46c6-b8dd-a48e43e5963","185401_KOKDD4_Core Image")</f>
        <v>185401_KOKDD4_Core Image</v>
      </c>
    </row>
    <row r="2088" spans="1:11" x14ac:dyDescent="0.25">
      <c r="A2088" t="str">
        <f>HYPERLINK("http://www.corstruth.com.au/SA/185404_KOKDD7_cs.png","185404_KOKDD7_A4")</f>
        <v>185404_KOKDD7_A4</v>
      </c>
      <c r="B2088" t="str">
        <f>HYPERLINK("http://www.corstruth.com.au/SA/PNG2/185404_KOKDD7_cs.png","185404_KOKDD7_0.25m Bins")</f>
        <v>185404_KOKDD7_0.25m Bins</v>
      </c>
      <c r="C2088" t="str">
        <f>HYPERLINK("http://www.corstruth.com.au/SA/CSV/185404_KOKDD7.csv","185404_KOKDD7_CSV File 1m Bins")</f>
        <v>185404_KOKDD7_CSV File 1m Bins</v>
      </c>
      <c r="D2088">
        <v>185404</v>
      </c>
      <c r="E2088" t="s">
        <v>2163</v>
      </c>
      <c r="F2088" t="str">
        <f>HYPERLINK("https://drillhole.pir.sa.gov.au/Details.aspx?DRILLHOLE_NO=185404","Geol Survey Link")</f>
        <v>Geol Survey Link</v>
      </c>
      <c r="I2088">
        <v>-31.035499999999999</v>
      </c>
      <c r="J2088">
        <v>135.124</v>
      </c>
      <c r="K2088" t="str">
        <f>HYPERLINK("https://sarigdata.pir.sa.gov.au/nvcl/NVCLDataServices/mosaic.html?datasetid=efaefbac-6300-465e-a402-2598d5667d7","185404_KOKDD7_Core Image")</f>
        <v>185404_KOKDD7_Core Image</v>
      </c>
    </row>
    <row r="2089" spans="1:11" x14ac:dyDescent="0.25">
      <c r="A2089" t="str">
        <f>HYPERLINK("http://www.corstruth.com.au/SA/185410_KOKDD13_cs.png","185410_KOKDD13_A4")</f>
        <v>185410_KOKDD13_A4</v>
      </c>
      <c r="B2089" t="str">
        <f>HYPERLINK("http://www.corstruth.com.au/SA/PNG2/185410_KOKDD13_cs.png","185410_KOKDD13_0.25m Bins")</f>
        <v>185410_KOKDD13_0.25m Bins</v>
      </c>
      <c r="C2089" t="str">
        <f>HYPERLINK("http://www.corstruth.com.au/SA/CSV/185410_KOKDD13.csv","185410_KOKDD13_CSV File 1m Bins")</f>
        <v>185410_KOKDD13_CSV File 1m Bins</v>
      </c>
      <c r="D2089">
        <v>185410</v>
      </c>
      <c r="E2089" t="s">
        <v>2163</v>
      </c>
      <c r="F2089" t="str">
        <f>HYPERLINK("https://drillhole.pir.sa.gov.au/Details.aspx?DRILLHOLE_NO=185410","Geol Survey Link")</f>
        <v>Geol Survey Link</v>
      </c>
      <c r="I2089">
        <v>-31.026599999999998</v>
      </c>
      <c r="J2089">
        <v>135.12299999999999</v>
      </c>
      <c r="K2089" t="str">
        <f>HYPERLINK("https://sarigdata.pir.sa.gov.au/nvcl/NVCLDataServices/mosaic.html?datasetid=891b33ed-3c71-43de-b4d6-a7e89b46e9b","185410_KOKDD13_Core Image")</f>
        <v>185410_KOKDD13_Core Image</v>
      </c>
    </row>
    <row r="2090" spans="1:11" x14ac:dyDescent="0.25">
      <c r="A2090" t="str">
        <f>HYPERLINK("http://www.corstruth.com.au/SA/185412_KOKDD15_cs.png","185412_KOKDD15_A4")</f>
        <v>185412_KOKDD15_A4</v>
      </c>
      <c r="B2090" t="str">
        <f>HYPERLINK("http://www.corstruth.com.au/SA/PNG2/185412_KOKDD15_cs.png","185412_KOKDD15_0.25m Bins")</f>
        <v>185412_KOKDD15_0.25m Bins</v>
      </c>
      <c r="C2090" t="str">
        <f>HYPERLINK("http://www.corstruth.com.au/SA/CSV/185412_KOKDD15.csv","185412_KOKDD15_CSV File 1m Bins")</f>
        <v>185412_KOKDD15_CSV File 1m Bins</v>
      </c>
      <c r="D2090">
        <v>185412</v>
      </c>
      <c r="E2090" t="s">
        <v>2163</v>
      </c>
      <c r="F2090" t="str">
        <f>HYPERLINK("https://drillhole.pir.sa.gov.au/Details.aspx?DRILLHOLE_NO=185412","Geol Survey Link")</f>
        <v>Geol Survey Link</v>
      </c>
      <c r="I2090">
        <v>-31.023299999999999</v>
      </c>
      <c r="J2090">
        <v>135.124</v>
      </c>
      <c r="K2090" t="str">
        <f>HYPERLINK("https://sarigdata.pir.sa.gov.au/nvcl/NVCLDataServices/mosaic.html?datasetid=599a5306-1744-492a-9e56-f218676c682","185412_KOKDD15_Core Image")</f>
        <v>185412_KOKDD15_Core Image</v>
      </c>
    </row>
    <row r="2091" spans="1:11" x14ac:dyDescent="0.25">
      <c r="A2091" t="str">
        <f>HYPERLINK("http://www.corstruth.com.au/SA/185415_KOKDD18_cs.png","185415_KOKDD18_A4")</f>
        <v>185415_KOKDD18_A4</v>
      </c>
      <c r="B2091" t="str">
        <f>HYPERLINK("http://www.corstruth.com.au/SA/PNG2/185415_KOKDD18_cs.png","185415_KOKDD18_0.25m Bins")</f>
        <v>185415_KOKDD18_0.25m Bins</v>
      </c>
      <c r="C2091" t="str">
        <f>HYPERLINK("http://www.corstruth.com.au/SA/CSV/185415_KOKDD18.csv","185415_KOKDD18_CSV File 1m Bins")</f>
        <v>185415_KOKDD18_CSV File 1m Bins</v>
      </c>
      <c r="D2091">
        <v>185415</v>
      </c>
      <c r="E2091" t="s">
        <v>2163</v>
      </c>
      <c r="F2091" t="str">
        <f>HYPERLINK("https://drillhole.pir.sa.gov.au/Details.aspx?DRILLHOLE_NO=185415","Geol Survey Link")</f>
        <v>Geol Survey Link</v>
      </c>
      <c r="I2091">
        <v>-31.007200000000001</v>
      </c>
      <c r="J2091">
        <v>135.125</v>
      </c>
      <c r="K2091" t="str">
        <f>HYPERLINK("https://sarigdata.pir.sa.gov.au/nvcl/NVCLDataServices/mosaic.html?datasetid=f26ca537-5603-418e-a2bb-0d523960642","185415_KOKDD18_Core Image")</f>
        <v>185415_KOKDD18_Core Image</v>
      </c>
    </row>
    <row r="2092" spans="1:11" x14ac:dyDescent="0.25">
      <c r="A2092" t="str">
        <f>HYPERLINK("http://www.corstruth.com.au/SA/185417_KOKDD20_cs.png","185417_KOKDD20_A4")</f>
        <v>185417_KOKDD20_A4</v>
      </c>
      <c r="B2092" t="str">
        <f>HYPERLINK("http://www.corstruth.com.au/SA/PNG2/185417_KOKDD20_cs.png","185417_KOKDD20_0.25m Bins")</f>
        <v>185417_KOKDD20_0.25m Bins</v>
      </c>
      <c r="C2092" t="str">
        <f>HYPERLINK("http://www.corstruth.com.au/SA/CSV/185417_KOKDD20.csv","185417_KOKDD20_CSV File 1m Bins")</f>
        <v>185417_KOKDD20_CSV File 1m Bins</v>
      </c>
      <c r="D2092">
        <v>185417</v>
      </c>
      <c r="E2092" t="s">
        <v>2163</v>
      </c>
      <c r="F2092" t="str">
        <f>HYPERLINK("https://drillhole.pir.sa.gov.au/Details.aspx?DRILLHOLE_NO=185417","Geol Survey Link")</f>
        <v>Geol Survey Link</v>
      </c>
      <c r="I2092">
        <v>-31.0288</v>
      </c>
      <c r="J2092">
        <v>135.12299999999999</v>
      </c>
      <c r="K2092" t="str">
        <f>HYPERLINK("https://sarigdata.pir.sa.gov.au/nvcl/NVCLDataServices/mosaic.html?datasetid=0c3e3530-3ba7-402d-9c1d-7da903793c8","185417_KOKDD20_Core Image")</f>
        <v>185417_KOKDD20_Core Image</v>
      </c>
    </row>
    <row r="2093" spans="1:11" x14ac:dyDescent="0.25">
      <c r="A2093" t="str">
        <f>HYPERLINK("http://www.corstruth.com.au/SA/185421_KOKDD24_cs.png","185421_KOKDD24_A4")</f>
        <v>185421_KOKDD24_A4</v>
      </c>
      <c r="B2093" t="str">
        <f>HYPERLINK("http://www.corstruth.com.au/SA/PNG2/185421_KOKDD24_cs.png","185421_KOKDD24_0.25m Bins")</f>
        <v>185421_KOKDD24_0.25m Bins</v>
      </c>
      <c r="C2093" t="str">
        <f>HYPERLINK("http://www.corstruth.com.au/SA/CSV/185421_KOKDD24.csv","185421_KOKDD24_CSV File 1m Bins")</f>
        <v>185421_KOKDD24_CSV File 1m Bins</v>
      </c>
      <c r="D2093">
        <v>185421</v>
      </c>
      <c r="E2093" t="s">
        <v>2163</v>
      </c>
      <c r="F2093" t="str">
        <f>HYPERLINK("https://drillhole.pir.sa.gov.au/Details.aspx?DRILLHOLE_NO=185421","Geol Survey Link")</f>
        <v>Geol Survey Link</v>
      </c>
      <c r="I2093">
        <v>-31.031500000000001</v>
      </c>
      <c r="J2093">
        <v>135.125</v>
      </c>
      <c r="K2093" t="str">
        <f>HYPERLINK("https://sarigdata.pir.sa.gov.au/nvcl/NVCLDataServices/mosaic.html?datasetid=1faf00de-42fa-4d7a-8b07-19d7821c809","185421_KOKDD24_Core Image")</f>
        <v>185421_KOKDD24_Core Image</v>
      </c>
    </row>
    <row r="2094" spans="1:11" x14ac:dyDescent="0.25">
      <c r="A2094" t="str">
        <f>HYPERLINK("http://www.corstruth.com.au/SA/185422_KOKDD25_cs.png","185422_KOKDD25_A4")</f>
        <v>185422_KOKDD25_A4</v>
      </c>
      <c r="B2094" t="str">
        <f>HYPERLINK("http://www.corstruth.com.au/SA/PNG2/185422_KOKDD25_cs.png","185422_KOKDD25_0.25m Bins")</f>
        <v>185422_KOKDD25_0.25m Bins</v>
      </c>
      <c r="C2094" t="str">
        <f>HYPERLINK("http://www.corstruth.com.au/SA/CSV/185422_KOKDD25.csv","185422_KOKDD25_CSV File 1m Bins")</f>
        <v>185422_KOKDD25_CSV File 1m Bins</v>
      </c>
      <c r="D2094">
        <v>185422</v>
      </c>
      <c r="E2094" t="s">
        <v>2163</v>
      </c>
      <c r="F2094" t="str">
        <f>HYPERLINK("https://drillhole.pir.sa.gov.au/Details.aspx?DRILLHOLE_NO=185422","Geol Survey Link")</f>
        <v>Geol Survey Link</v>
      </c>
      <c r="I2094">
        <v>-31.025200000000002</v>
      </c>
      <c r="J2094">
        <v>135.12299999999999</v>
      </c>
      <c r="K2094" t="str">
        <f>HYPERLINK("https://sarigdata.pir.sa.gov.au/nvcl/NVCLDataServices/mosaic.html?datasetid=7e575487-9b01-4160-a003-9f9e01bd27c","185422_KOKDD25_Core Image")</f>
        <v>185422_KOKDD25_Core Image</v>
      </c>
    </row>
    <row r="2095" spans="1:11" x14ac:dyDescent="0.25">
      <c r="A2095" t="str">
        <f>HYPERLINK("http://www.corstruth.com.au/SA/185425_KOKDD28_cs.png","185425_KOKDD28_A4")</f>
        <v>185425_KOKDD28_A4</v>
      </c>
      <c r="B2095" t="str">
        <f>HYPERLINK("http://www.corstruth.com.au/SA/PNG2/185425_KOKDD28_cs.png","185425_KOKDD28_0.25m Bins")</f>
        <v>185425_KOKDD28_0.25m Bins</v>
      </c>
      <c r="C2095" t="str">
        <f>HYPERLINK("http://www.corstruth.com.au/SA/CSV/185425_KOKDD28.csv","185425_KOKDD28_CSV File 1m Bins")</f>
        <v>185425_KOKDD28_CSV File 1m Bins</v>
      </c>
      <c r="D2095">
        <v>185425</v>
      </c>
      <c r="E2095" t="s">
        <v>2163</v>
      </c>
      <c r="F2095" t="str">
        <f>HYPERLINK("https://drillhole.pir.sa.gov.au/Details.aspx?DRILLHOLE_NO=185425","Geol Survey Link")</f>
        <v>Geol Survey Link</v>
      </c>
      <c r="I2095">
        <v>-31.0504</v>
      </c>
      <c r="J2095">
        <v>135.065</v>
      </c>
      <c r="K2095" t="str">
        <f>HYPERLINK("https://sarigdata.pir.sa.gov.au/nvcl/NVCLDataServices/mosaic.html?datasetid=42d21e2a-c08f-45a1-9e8b-8d70b957c13","185425_KOKDD28_Core Image")</f>
        <v>185425_KOKDD28_Core Image</v>
      </c>
    </row>
    <row r="2096" spans="1:11" x14ac:dyDescent="0.25">
      <c r="A2096" t="str">
        <f>HYPERLINK("http://www.corstruth.com.au/SA/185429_KOKDD32_cs.png","185429_KOKDD32_A4")</f>
        <v>185429_KOKDD32_A4</v>
      </c>
      <c r="B2096" t="str">
        <f>HYPERLINK("http://www.corstruth.com.au/SA/PNG2/185429_KOKDD32_cs.png","185429_KOKDD32_0.25m Bins")</f>
        <v>185429_KOKDD32_0.25m Bins</v>
      </c>
      <c r="C2096" t="str">
        <f>HYPERLINK("http://www.corstruth.com.au/SA/CSV/185429_KOKDD32.csv","185429_KOKDD32_CSV File 1m Bins")</f>
        <v>185429_KOKDD32_CSV File 1m Bins</v>
      </c>
      <c r="D2096">
        <v>185429</v>
      </c>
      <c r="E2096" t="s">
        <v>2163</v>
      </c>
      <c r="F2096" t="str">
        <f>HYPERLINK("https://drillhole.pir.sa.gov.au/Details.aspx?DRILLHOLE_NO=185429","Geol Survey Link")</f>
        <v>Geol Survey Link</v>
      </c>
      <c r="I2096">
        <v>-31.075800000000001</v>
      </c>
      <c r="J2096">
        <v>135.03200000000001</v>
      </c>
      <c r="K2096" t="str">
        <f>HYPERLINK("https://sarigdata.pir.sa.gov.au/nvcl/NVCLDataServices/mosaic.html?datasetid=034c763c-2fce-40b7-9286-7794d7f558c","185429_KOKDD32_Core Image")</f>
        <v>185429_KOKDD32_Core Image</v>
      </c>
    </row>
    <row r="2097" spans="1:11" x14ac:dyDescent="0.25">
      <c r="A2097" t="str">
        <f>HYPERLINK("http://www.corstruth.com.au/SA/185432_KOKDD35_cs.png","185432_KOKDD35_A4")</f>
        <v>185432_KOKDD35_A4</v>
      </c>
      <c r="B2097" t="str">
        <f>HYPERLINK("http://www.corstruth.com.au/SA/PNG2/185432_KOKDD35_cs.png","185432_KOKDD35_0.25m Bins")</f>
        <v>185432_KOKDD35_0.25m Bins</v>
      </c>
      <c r="C2097" t="str">
        <f>HYPERLINK("http://www.corstruth.com.au/SA/CSV/185432_KOKDD35.csv","185432_KOKDD35_CSV File 1m Bins")</f>
        <v>185432_KOKDD35_CSV File 1m Bins</v>
      </c>
      <c r="D2097">
        <v>185432</v>
      </c>
      <c r="E2097" t="s">
        <v>2163</v>
      </c>
      <c r="F2097" t="str">
        <f>HYPERLINK("https://drillhole.pir.sa.gov.au/Details.aspx?DRILLHOLE_NO=185432","Geol Survey Link")</f>
        <v>Geol Survey Link</v>
      </c>
      <c r="I2097">
        <v>-31.0763</v>
      </c>
      <c r="J2097">
        <v>135.04400000000001</v>
      </c>
      <c r="K2097" t="str">
        <f>HYPERLINK("https://sarigdata.pir.sa.gov.au/nvcl/NVCLDataServices/mosaic.html?datasetid=55da1663-57bd-46df-b3dc-cca98c66a6b","185432_KOKDD35_Core Image")</f>
        <v>185432_KOKDD35_Core Image</v>
      </c>
    </row>
    <row r="2098" spans="1:11" x14ac:dyDescent="0.25">
      <c r="A2098" t="str">
        <f>HYPERLINK("http://www.corstruth.com.au/SA/185511_TARDD85_cs.png","185511_TARDD85_A4")</f>
        <v>185511_TARDD85_A4</v>
      </c>
      <c r="B2098" t="str">
        <f>HYPERLINK("http://www.corstruth.com.au/SA/PNG2/185511_TARDD85_cs.png","185511_TARDD85_0.25m Bins")</f>
        <v>185511_TARDD85_0.25m Bins</v>
      </c>
      <c r="C2098" t="str">
        <f>HYPERLINK("http://www.corstruth.com.au/SA/CSV/185511_TARDD85.csv","185511_TARDD85_CSV File 1m Bins")</f>
        <v>185511_TARDD85_CSV File 1m Bins</v>
      </c>
      <c r="D2098">
        <v>185511</v>
      </c>
      <c r="E2098" t="s">
        <v>2163</v>
      </c>
      <c r="F2098" t="str">
        <f>HYPERLINK("https://drillhole.pir.sa.gov.au/Details.aspx?DRILLHOLE_NO=185511","Geol Survey Link")</f>
        <v>Geol Survey Link</v>
      </c>
      <c r="I2098">
        <v>-30.802700000000002</v>
      </c>
      <c r="J2098">
        <v>134.637</v>
      </c>
      <c r="K2098" t="str">
        <f>HYPERLINK("https://sarigdata.pir.sa.gov.au/nvcl/NVCLDataServices/mosaic.html?datasetid=164f0947-e627-4822-9b27-f05edd74ed7","185511_TARDD85_Core Image")</f>
        <v>185511_TARDD85_Core Image</v>
      </c>
    </row>
    <row r="2099" spans="1:11" x14ac:dyDescent="0.25">
      <c r="A2099" t="str">
        <f>HYPERLINK("http://www.corstruth.com.au/SA/185512_TARDD86_cs.png","185512_TARDD86_A4")</f>
        <v>185512_TARDD86_A4</v>
      </c>
      <c r="B2099" t="str">
        <f>HYPERLINK("http://www.corstruth.com.au/SA/PNG2/185512_TARDD86_cs.png","185512_TARDD86_0.25m Bins")</f>
        <v>185512_TARDD86_0.25m Bins</v>
      </c>
      <c r="C2099" t="str">
        <f>HYPERLINK("http://www.corstruth.com.au/SA/CSV/185512_TARDD86.csv","185512_TARDD86_CSV File 1m Bins")</f>
        <v>185512_TARDD86_CSV File 1m Bins</v>
      </c>
      <c r="D2099">
        <v>185512</v>
      </c>
      <c r="E2099" t="s">
        <v>2163</v>
      </c>
      <c r="F2099" t="str">
        <f>HYPERLINK("https://drillhole.pir.sa.gov.au/Details.aspx?DRILLHOLE_NO=185512","Geol Survey Link")</f>
        <v>Geol Survey Link</v>
      </c>
      <c r="I2099">
        <v>-30.802</v>
      </c>
      <c r="J2099">
        <v>134.636</v>
      </c>
      <c r="K2099" t="str">
        <f>HYPERLINK("https://sarigdata.pir.sa.gov.au/nvcl/NVCLDataServices/mosaic.html?datasetid=cd337f3f-3c7e-4a00-a3de-648aceee05c","185512_TARDD86_Core Image")</f>
        <v>185512_TARDD86_Core Image</v>
      </c>
    </row>
    <row r="2100" spans="1:11" x14ac:dyDescent="0.25">
      <c r="A2100" t="str">
        <f>HYPERLINK("http://www.corstruth.com.au/SA/185513_TAR_DD87_cs.png","185513_TAR_DD87_A4")</f>
        <v>185513_TAR_DD87_A4</v>
      </c>
      <c r="D2100">
        <v>185513</v>
      </c>
      <c r="E2100" t="s">
        <v>2163</v>
      </c>
      <c r="F2100" t="str">
        <f>HYPERLINK("https://drillhole.pir.sa.gov.au/Details.aspx?DRILLHOLE_NO=185513","Geol Survey Link")</f>
        <v>Geol Survey Link</v>
      </c>
      <c r="I2100">
        <v>-30.8035</v>
      </c>
      <c r="J2100">
        <v>134.636</v>
      </c>
    </row>
    <row r="2101" spans="1:11" x14ac:dyDescent="0.25">
      <c r="A2101" t="str">
        <f>HYPERLINK("http://www.corstruth.com.au/SA/185581_CD93_1_cs.png","185581_CD93_1_A4")</f>
        <v>185581_CD93_1_A4</v>
      </c>
      <c r="B2101" t="str">
        <f>HYPERLINK("http://www.corstruth.com.au/SA/PNG2/185581_CD93_1_cs.png","185581_CD93_1_0.25m Bins")</f>
        <v>185581_CD93_1_0.25m Bins</v>
      </c>
      <c r="C2101" t="str">
        <f>HYPERLINK("http://www.corstruth.com.au/SA/CSV/185581_CD93_1.csv","185581_CD93_1_CSV File 1m Bins")</f>
        <v>185581_CD93_1_CSV File 1m Bins</v>
      </c>
      <c r="D2101">
        <v>185581</v>
      </c>
      <c r="E2101" t="s">
        <v>2163</v>
      </c>
      <c r="F2101" t="str">
        <f>HYPERLINK("https://drillhole.pir.sa.gov.au/Details.aspx?DRILLHOLE_NO=185581","Geol Survey Link")</f>
        <v>Geol Survey Link</v>
      </c>
      <c r="I2101">
        <v>-29.299199999999999</v>
      </c>
      <c r="J2101">
        <v>135.11699999999999</v>
      </c>
      <c r="K2101" t="str">
        <f>HYPERLINK("https://sarigdata.pir.sa.gov.au/nvcl/NVCLDataServices/mosaic.html?datasetid=2806ed67-94e1-45fb-812e-19fafe49bb3","185581_CD93_1_Core Image")</f>
        <v>185581_CD93_1_Core Image</v>
      </c>
    </row>
    <row r="2102" spans="1:11" x14ac:dyDescent="0.25">
      <c r="A2102" t="str">
        <f>HYPERLINK("http://www.corstruth.com.au/SA/185582_CD93_2_cs.png","185582_CD93_2_A4")</f>
        <v>185582_CD93_2_A4</v>
      </c>
      <c r="B2102" t="str">
        <f>HYPERLINK("http://www.corstruth.com.au/SA/PNG2/185582_CD93_2_cs.png","185582_CD93_2_0.25m Bins")</f>
        <v>185582_CD93_2_0.25m Bins</v>
      </c>
      <c r="C2102" t="str">
        <f>HYPERLINK("http://www.corstruth.com.au/SA/CSV/185582_CD93_2.csv","185582_CD93_2_CSV File 1m Bins")</f>
        <v>185582_CD93_2_CSV File 1m Bins</v>
      </c>
      <c r="D2102">
        <v>185582</v>
      </c>
      <c r="E2102" t="s">
        <v>2163</v>
      </c>
      <c r="F2102" t="str">
        <f>HYPERLINK("https://drillhole.pir.sa.gov.au/Details.aspx?DRILLHOLE_NO=185582","Geol Survey Link")</f>
        <v>Geol Survey Link</v>
      </c>
      <c r="I2102">
        <v>-29.2987</v>
      </c>
      <c r="J2102">
        <v>135.12299999999999</v>
      </c>
      <c r="K2102" t="str">
        <f>HYPERLINK("https://sarigdata.pir.sa.gov.au/nvcl/NVCLDataServices/mosaic.html?datasetid=74a23406-f63a-48f7-86bd-bebd237f65e","185582_CD93_2_Core Image")</f>
        <v>185582_CD93_2_Core Image</v>
      </c>
    </row>
    <row r="2103" spans="1:11" x14ac:dyDescent="0.25">
      <c r="A2103" t="str">
        <f>HYPERLINK("http://www.corstruth.com.au/SA/185583_CD93_3_cs.png","185583_CD93_3_A4")</f>
        <v>185583_CD93_3_A4</v>
      </c>
      <c r="B2103" t="str">
        <f>HYPERLINK("http://www.corstruth.com.au/SA/PNG2/185583_CD93_3_cs.png","185583_CD93_3_0.25m Bins")</f>
        <v>185583_CD93_3_0.25m Bins</v>
      </c>
      <c r="C2103" t="str">
        <f>HYPERLINK("http://www.corstruth.com.au/SA/CSV/185583_CD93_3.csv","185583_CD93_3_CSV File 1m Bins")</f>
        <v>185583_CD93_3_CSV File 1m Bins</v>
      </c>
      <c r="D2103">
        <v>185583</v>
      </c>
      <c r="E2103" t="s">
        <v>2163</v>
      </c>
      <c r="F2103" t="str">
        <f>HYPERLINK("https://drillhole.pir.sa.gov.au/Details.aspx?DRILLHOLE_NO=185583","Geol Survey Link")</f>
        <v>Geol Survey Link</v>
      </c>
      <c r="I2103">
        <v>-29.428899999999999</v>
      </c>
      <c r="J2103">
        <v>135.44</v>
      </c>
      <c r="K2103" t="str">
        <f>HYPERLINK("https://sarigdata.pir.sa.gov.au/nvcl/NVCLDataServices/mosaic.html?datasetid=b492002e-a0e3-46f7-b4d5-45ef4a7b195","185583_CD93_3_Core Image")</f>
        <v>185583_CD93_3_Core Image</v>
      </c>
    </row>
    <row r="2104" spans="1:11" x14ac:dyDescent="0.25">
      <c r="A2104" t="str">
        <f>HYPERLINK("http://www.corstruth.com.au/SA/185584_CD93_4_cs.png","185584_CD93_4_A4")</f>
        <v>185584_CD93_4_A4</v>
      </c>
      <c r="B2104" t="str">
        <f>HYPERLINK("http://www.corstruth.com.au/SA/PNG2/185584_CD93_4_cs.png","185584_CD93_4_0.25m Bins")</f>
        <v>185584_CD93_4_0.25m Bins</v>
      </c>
      <c r="C2104" t="str">
        <f>HYPERLINK("http://www.corstruth.com.au/SA/CSV/185584_CD93_4.csv","185584_CD93_4_CSV File 1m Bins")</f>
        <v>185584_CD93_4_CSV File 1m Bins</v>
      </c>
      <c r="D2104">
        <v>185584</v>
      </c>
      <c r="E2104" t="s">
        <v>2163</v>
      </c>
      <c r="F2104" t="str">
        <f>HYPERLINK("https://drillhole.pir.sa.gov.au/Details.aspx?DRILLHOLE_NO=185584","Geol Survey Link")</f>
        <v>Geol Survey Link</v>
      </c>
      <c r="I2104">
        <v>-29.436</v>
      </c>
      <c r="J2104">
        <v>135.447</v>
      </c>
      <c r="K2104" t="str">
        <f>HYPERLINK("https://sarigdata.pir.sa.gov.au/nvcl/NVCLDataServices/mosaic.html?datasetid=194f216a-e014-4886-981b-75b69ad23b4","185584_CD93_4_Core Image")</f>
        <v>185584_CD93_4_Core Image</v>
      </c>
    </row>
    <row r="2105" spans="1:11" x14ac:dyDescent="0.25">
      <c r="A2105" t="str">
        <f>HYPERLINK("http://www.corstruth.com.au/SA/185585_CD93_5_cs.png","185585_CD93_5_A4")</f>
        <v>185585_CD93_5_A4</v>
      </c>
      <c r="B2105" t="str">
        <f>HYPERLINK("http://www.corstruth.com.au/SA/PNG2/185585_CD93_5_cs.png","185585_CD93_5_0.25m Bins")</f>
        <v>185585_CD93_5_0.25m Bins</v>
      </c>
      <c r="C2105" t="str">
        <f>HYPERLINK("http://www.corstruth.com.au/SA/CSV/185585_CD93_5.csv","185585_CD93_5_CSV File 1m Bins")</f>
        <v>185585_CD93_5_CSV File 1m Bins</v>
      </c>
      <c r="D2105">
        <v>185585</v>
      </c>
      <c r="E2105" t="s">
        <v>2163</v>
      </c>
      <c r="F2105" t="str">
        <f>HYPERLINK("https://drillhole.pir.sa.gov.au/Details.aspx?DRILLHOLE_NO=185585","Geol Survey Link")</f>
        <v>Geol Survey Link</v>
      </c>
      <c r="I2105">
        <v>-29.438500000000001</v>
      </c>
      <c r="J2105">
        <v>135.44399999999999</v>
      </c>
      <c r="K2105" t="str">
        <f>HYPERLINK("https://sarigdata.pir.sa.gov.au/nvcl/NVCLDataServices/mosaic.html?datasetid=770cba9c-1194-440d-aac8-63e81fa15c0","185585_CD93_5_Core Image")</f>
        <v>185585_CD93_5_Core Image</v>
      </c>
    </row>
    <row r="2106" spans="1:11" x14ac:dyDescent="0.25">
      <c r="A2106" t="str">
        <f>HYPERLINK("http://www.corstruth.com.au/SA/185586_CD93_6_cs.png","185586_CD93_6_A4")</f>
        <v>185586_CD93_6_A4</v>
      </c>
      <c r="B2106" t="str">
        <f>HYPERLINK("http://www.corstruth.com.au/SA/PNG2/185586_CD93_6_cs.png","185586_CD93_6_0.25m Bins")</f>
        <v>185586_CD93_6_0.25m Bins</v>
      </c>
      <c r="C2106" t="str">
        <f>HYPERLINK("http://www.corstruth.com.au/SA/CSV/185586_CD93_6.csv","185586_CD93_6_CSV File 1m Bins")</f>
        <v>185586_CD93_6_CSV File 1m Bins</v>
      </c>
      <c r="D2106">
        <v>185586</v>
      </c>
      <c r="E2106" t="s">
        <v>2163</v>
      </c>
      <c r="F2106" t="str">
        <f>HYPERLINK("https://drillhole.pir.sa.gov.au/Details.aspx?DRILLHOLE_NO=185586","Geol Survey Link")</f>
        <v>Geol Survey Link</v>
      </c>
      <c r="I2106">
        <v>-29.446899999999999</v>
      </c>
      <c r="J2106">
        <v>135.46299999999999</v>
      </c>
      <c r="K2106" t="str">
        <f>HYPERLINK("https://sarigdata.pir.sa.gov.au/nvcl/NVCLDataServices/mosaic.html?datasetid=65003539-e21b-4f2a-9b0f-79ae5099d48","185586_CD93_6_Core Image")</f>
        <v>185586_CD93_6_Core Image</v>
      </c>
    </row>
    <row r="2107" spans="1:11" x14ac:dyDescent="0.25">
      <c r="A2107" t="str">
        <f>HYPERLINK("http://www.corstruth.com.au/SA/185587_CD93_7_cs.png","185587_CD93_7_A4")</f>
        <v>185587_CD93_7_A4</v>
      </c>
      <c r="B2107" t="str">
        <f>HYPERLINK("http://www.corstruth.com.au/SA/PNG2/185587_CD93_7_cs.png","185587_CD93_7_0.25m Bins")</f>
        <v>185587_CD93_7_0.25m Bins</v>
      </c>
      <c r="C2107" t="str">
        <f>HYPERLINK("http://www.corstruth.com.au/SA/CSV/185587_CD93_7.csv","185587_CD93_7_CSV File 1m Bins")</f>
        <v>185587_CD93_7_CSV File 1m Bins</v>
      </c>
      <c r="D2107">
        <v>185587</v>
      </c>
      <c r="E2107" t="s">
        <v>2163</v>
      </c>
      <c r="F2107" t="str">
        <f>HYPERLINK("https://drillhole.pir.sa.gov.au/Details.aspx?DRILLHOLE_NO=185587","Geol Survey Link")</f>
        <v>Geol Survey Link</v>
      </c>
      <c r="I2107">
        <v>-29.3</v>
      </c>
      <c r="J2107">
        <v>135.12100000000001</v>
      </c>
      <c r="K2107" t="str">
        <f>HYPERLINK("https://sarigdata.pir.sa.gov.au/nvcl/NVCLDataServices/mosaic.html?datasetid=1a70e358-6aa2-4ff6-bc0a-863a84da80c","185587_CD93_7_Core Image")</f>
        <v>185587_CD93_7_Core Image</v>
      </c>
    </row>
    <row r="2108" spans="1:11" x14ac:dyDescent="0.25">
      <c r="A2108" t="str">
        <f>HYPERLINK("http://www.corstruth.com.au/SA/185588_CD93_8_cs.png","185588_CD93_8_A4")</f>
        <v>185588_CD93_8_A4</v>
      </c>
      <c r="B2108" t="str">
        <f>HYPERLINK("http://www.corstruth.com.au/SA/PNG2/185588_CD93_8_cs.png","185588_CD93_8_0.25m Bins")</f>
        <v>185588_CD93_8_0.25m Bins</v>
      </c>
      <c r="C2108" t="str">
        <f>HYPERLINK("http://www.corstruth.com.au/SA/CSV/185588_CD93_8.csv","185588_CD93_8_CSV File 1m Bins")</f>
        <v>185588_CD93_8_CSV File 1m Bins</v>
      </c>
      <c r="D2108">
        <v>185588</v>
      </c>
      <c r="E2108" t="s">
        <v>2163</v>
      </c>
      <c r="F2108" t="str">
        <f>HYPERLINK("https://drillhole.pir.sa.gov.au/Details.aspx?DRILLHOLE_NO=185588","Geol Survey Link")</f>
        <v>Geol Survey Link</v>
      </c>
      <c r="I2108">
        <v>-29.300599999999999</v>
      </c>
      <c r="J2108">
        <v>135.125</v>
      </c>
      <c r="K2108" t="str">
        <f>HYPERLINK("https://sarigdata.pir.sa.gov.au/nvcl/NVCLDataServices/mosaic.html?datasetid=2a812da0-8a7d-40ef-a933-57df57df450","185588_CD93_8_Core Image")</f>
        <v>185588_CD93_8_Core Image</v>
      </c>
    </row>
    <row r="2109" spans="1:11" x14ac:dyDescent="0.25">
      <c r="A2109" t="str">
        <f>HYPERLINK("http://www.corstruth.com.au/SA/185589_CD93_9_cs.png","185589_CD93_9_A4")</f>
        <v>185589_CD93_9_A4</v>
      </c>
      <c r="B2109" t="str">
        <f>HYPERLINK("http://www.corstruth.com.au/SA/PNG2/185589_CD93_9_cs.png","185589_CD93_9_0.25m Bins")</f>
        <v>185589_CD93_9_0.25m Bins</v>
      </c>
      <c r="C2109" t="str">
        <f>HYPERLINK("http://www.corstruth.com.au/SA/CSV/185589_CD93_9.csv","185589_CD93_9_CSV File 1m Bins")</f>
        <v>185589_CD93_9_CSV File 1m Bins</v>
      </c>
      <c r="D2109">
        <v>185589</v>
      </c>
      <c r="E2109" t="s">
        <v>2163</v>
      </c>
      <c r="F2109" t="str">
        <f>HYPERLINK("https://drillhole.pir.sa.gov.au/Details.aspx?DRILLHOLE_NO=185589","Geol Survey Link")</f>
        <v>Geol Survey Link</v>
      </c>
      <c r="I2109">
        <v>-29.2348</v>
      </c>
      <c r="J2109">
        <v>134.435</v>
      </c>
      <c r="K2109" t="str">
        <f>HYPERLINK("https://sarigdata.pir.sa.gov.au/nvcl/NVCLDataServices/mosaic.html?datasetid=2df1492f-586d-4c85-91fd-42be5178e12","185589_CD93_9_Core Image")</f>
        <v>185589_CD93_9_Core Image</v>
      </c>
    </row>
    <row r="2110" spans="1:11" x14ac:dyDescent="0.25">
      <c r="A2110" t="str">
        <f>HYPERLINK("http://www.corstruth.com.au/SA/185_NC12_cs.png","185_NC12_A4")</f>
        <v>185_NC12_A4</v>
      </c>
      <c r="D2110">
        <v>185</v>
      </c>
      <c r="E2110" t="s">
        <v>2163</v>
      </c>
      <c r="F2110" t="str">
        <f>HYPERLINK("https://drillhole.pir.sa.gov.au/Details.aspx?DRILLHOLE_NO=185","Geol Survey Link")</f>
        <v>Geol Survey Link</v>
      </c>
      <c r="I2110">
        <v>-26.0183</v>
      </c>
      <c r="J2110">
        <v>129.11600000000001</v>
      </c>
    </row>
    <row r="2111" spans="1:11" x14ac:dyDescent="0.25">
      <c r="A2111" t="str">
        <f>HYPERLINK("http://www.corstruth.com.au/SA/186162_TAR_DD88_cs.png","186162_TAR_DD88_A4")</f>
        <v>186162_TAR_DD88_A4</v>
      </c>
      <c r="D2111">
        <v>186162</v>
      </c>
      <c r="E2111" t="s">
        <v>2163</v>
      </c>
      <c r="F2111" t="str">
        <f>HYPERLINK("https://drillhole.pir.sa.gov.au/Details.aspx?DRILLHOLE_NO=186162","Geol Survey Link")</f>
        <v>Geol Survey Link</v>
      </c>
      <c r="I2111">
        <v>-30.804200000000002</v>
      </c>
      <c r="J2111">
        <v>134.637</v>
      </c>
    </row>
    <row r="2112" spans="1:11" x14ac:dyDescent="0.25">
      <c r="A2112" t="str">
        <f>HYPERLINK("http://www.corstruth.com.au/SA/186163_TARDD90_cs.png","186163_TARDD90_A4")</f>
        <v>186163_TARDD90_A4</v>
      </c>
      <c r="B2112" t="str">
        <f>HYPERLINK("http://www.corstruth.com.au/SA/PNG2/186163_TARDD90_cs.png","186163_TARDD90_0.25m Bins")</f>
        <v>186163_TARDD90_0.25m Bins</v>
      </c>
      <c r="C2112" t="str">
        <f>HYPERLINK("http://www.corstruth.com.au/SA/CSV/186163_TARDD90.csv","186163_TARDD90_CSV File 1m Bins")</f>
        <v>186163_TARDD90_CSV File 1m Bins</v>
      </c>
      <c r="D2112">
        <v>186163</v>
      </c>
      <c r="E2112" t="s">
        <v>2163</v>
      </c>
      <c r="F2112" t="str">
        <f>HYPERLINK("https://drillhole.pir.sa.gov.au/Details.aspx?DRILLHOLE_NO=186163","Geol Survey Link")</f>
        <v>Geol Survey Link</v>
      </c>
      <c r="I2112">
        <v>-30.813500000000001</v>
      </c>
      <c r="J2112">
        <v>134.672</v>
      </c>
      <c r="K2112" t="str">
        <f>HYPERLINK("https://sarigdata.pir.sa.gov.au/nvcl/NVCLDataServices/mosaic.html?datasetid=775555cf-d76e-49ab-bc6c-9441f4c7dc0","186163_TARDD90_Core Image")</f>
        <v>186163_TARDD90_Core Image</v>
      </c>
    </row>
    <row r="2113" spans="1:11" x14ac:dyDescent="0.25">
      <c r="A2113" t="str">
        <f>HYPERLINK("http://www.corstruth.com.au/SA/186164_TARDD91_cs.png","186164_TARDD91_A4")</f>
        <v>186164_TARDD91_A4</v>
      </c>
      <c r="B2113" t="str">
        <f>HYPERLINK("http://www.corstruth.com.au/SA/PNG2/186164_TARDD91_cs.png","186164_TARDD91_0.25m Bins")</f>
        <v>186164_TARDD91_0.25m Bins</v>
      </c>
      <c r="C2113" t="str">
        <f>HYPERLINK("http://www.corstruth.com.au/SA/CSV/186164_TARDD91.csv","186164_TARDD91_CSV File 1m Bins")</f>
        <v>186164_TARDD91_CSV File 1m Bins</v>
      </c>
      <c r="D2113">
        <v>186164</v>
      </c>
      <c r="E2113" t="s">
        <v>2163</v>
      </c>
      <c r="F2113" t="str">
        <f>HYPERLINK("https://drillhole.pir.sa.gov.au/Details.aspx?DRILLHOLE_NO=186164","Geol Survey Link")</f>
        <v>Geol Survey Link</v>
      </c>
      <c r="I2113">
        <v>-30.812200000000001</v>
      </c>
      <c r="J2113">
        <v>134.672</v>
      </c>
      <c r="K2113" t="str">
        <f>HYPERLINK("https://sarigdata.pir.sa.gov.au/nvcl/NVCLDataServices/mosaic.html?datasetid=0f8a10ac-68d5-4039-b5f1-32ab3b84fec","186164_TARDD91_Core Image")</f>
        <v>186164_TARDD91_Core Image</v>
      </c>
    </row>
    <row r="2114" spans="1:11" x14ac:dyDescent="0.25">
      <c r="A2114" t="str">
        <f>HYPERLINK("http://www.corstruth.com.au/SA/186165_TARDD92_cs.png","186165_TARDD92_A4")</f>
        <v>186165_TARDD92_A4</v>
      </c>
      <c r="B2114" t="str">
        <f>HYPERLINK("http://www.corstruth.com.au/SA/PNG2/186165_TARDD92_cs.png","186165_TARDD92_0.25m Bins")</f>
        <v>186165_TARDD92_0.25m Bins</v>
      </c>
      <c r="C2114" t="str">
        <f>HYPERLINK("http://www.corstruth.com.au/SA/CSV/186165_TARDD92.csv","186165_TARDD92_CSV File 1m Bins")</f>
        <v>186165_TARDD92_CSV File 1m Bins</v>
      </c>
      <c r="D2114">
        <v>186165</v>
      </c>
      <c r="E2114" t="s">
        <v>2163</v>
      </c>
      <c r="F2114" t="str">
        <f>HYPERLINK("https://drillhole.pir.sa.gov.au/Details.aspx?DRILLHOLE_NO=186165","Geol Survey Link")</f>
        <v>Geol Survey Link</v>
      </c>
      <c r="I2114">
        <v>-30.814399999999999</v>
      </c>
      <c r="J2114">
        <v>134.672</v>
      </c>
      <c r="K2114" t="str">
        <f>HYPERLINK("https://sarigdata.pir.sa.gov.au/nvcl/NVCLDataServices/mosaic.html?datasetid=675d157f-4ae0-4e14-89a4-14cf4813618","186165_TARDD92_Core Image")</f>
        <v>186165_TARDD92_Core Image</v>
      </c>
    </row>
    <row r="2115" spans="1:11" x14ac:dyDescent="0.25">
      <c r="A2115" t="str">
        <f>HYPERLINK("http://www.corstruth.com.au/SA/186166_TARDD93_cs.png","186166_TARDD93_A4")</f>
        <v>186166_TARDD93_A4</v>
      </c>
      <c r="B2115" t="str">
        <f>HYPERLINK("http://www.corstruth.com.au/SA/PNG2/186166_TARDD93_cs.png","186166_TARDD93_0.25m Bins")</f>
        <v>186166_TARDD93_0.25m Bins</v>
      </c>
      <c r="C2115" t="str">
        <f>HYPERLINK("http://www.corstruth.com.au/SA/CSV/186166_TARDD93.csv","186166_TARDD93_CSV File 1m Bins")</f>
        <v>186166_TARDD93_CSV File 1m Bins</v>
      </c>
      <c r="D2115">
        <v>186166</v>
      </c>
      <c r="E2115" t="s">
        <v>2163</v>
      </c>
      <c r="F2115" t="str">
        <f>HYPERLINK("https://drillhole.pir.sa.gov.au/Details.aspx?DRILLHOLE_NO=186166","Geol Survey Link")</f>
        <v>Geol Survey Link</v>
      </c>
      <c r="I2115">
        <v>-30.812899999999999</v>
      </c>
      <c r="J2115">
        <v>134.672</v>
      </c>
      <c r="K2115" t="str">
        <f>HYPERLINK("https://sarigdata.pir.sa.gov.au/nvcl/NVCLDataServices/mosaic.html?datasetid=58b92ce9-214f-4e75-b1da-38de0720ee8","186166_TARDD93_Core Image")</f>
        <v>186166_TARDD93_Core Image</v>
      </c>
    </row>
    <row r="2116" spans="1:11" x14ac:dyDescent="0.25">
      <c r="A2116" t="str">
        <f>HYPERLINK("http://www.corstruth.com.au/SA/186196_PADD1_cs.png","186196_PADD1_A4")</f>
        <v>186196_PADD1_A4</v>
      </c>
      <c r="B2116" t="str">
        <f>HYPERLINK("http://www.corstruth.com.au/SA/PNG2/186196_PADD1_cs.png","186196_PADD1_0.25m Bins")</f>
        <v>186196_PADD1_0.25m Bins</v>
      </c>
      <c r="C2116" t="str">
        <f>HYPERLINK("http://www.corstruth.com.au/SA/CSV/186196_PADD1.csv","186196_PADD1_CSV File 1m Bins")</f>
        <v>186196_PADD1_CSV File 1m Bins</v>
      </c>
      <c r="D2116">
        <v>186196</v>
      </c>
      <c r="E2116" t="s">
        <v>2163</v>
      </c>
      <c r="F2116" t="str">
        <f>HYPERLINK("https://drillhole.pir.sa.gov.au/Details.aspx?DRILLHOLE_NO=186196","Geol Survey Link")</f>
        <v>Geol Survey Link</v>
      </c>
      <c r="I2116">
        <v>-34.695</v>
      </c>
      <c r="J2116">
        <v>139.34399999999999</v>
      </c>
      <c r="K2116" t="str">
        <f>HYPERLINK("https://sarigdata.pir.sa.gov.au/nvcl/NVCLDataServices/mosaic.html?datasetid=33a72bec-6892-47e0-b4a1-019f4fd4a87","186196_PADD1_Core Image")</f>
        <v>186196_PADD1_Core Image</v>
      </c>
    </row>
    <row r="2117" spans="1:11" x14ac:dyDescent="0.25">
      <c r="A2117" t="str">
        <f>HYPERLINK("http://www.corstruth.com.au/SA/186197_PADD2_cs.png","186197_PADD2_A4")</f>
        <v>186197_PADD2_A4</v>
      </c>
      <c r="B2117" t="str">
        <f>HYPERLINK("http://www.corstruth.com.au/SA/PNG2/186197_PADD2_cs.png","186197_PADD2_0.25m Bins")</f>
        <v>186197_PADD2_0.25m Bins</v>
      </c>
      <c r="C2117" t="str">
        <f>HYPERLINK("http://www.corstruth.com.au/SA/CSV/186197_PADD2.csv","186197_PADD2_CSV File 1m Bins")</f>
        <v>186197_PADD2_CSV File 1m Bins</v>
      </c>
      <c r="D2117">
        <v>186197</v>
      </c>
      <c r="E2117" t="s">
        <v>2163</v>
      </c>
      <c r="F2117" t="str">
        <f>HYPERLINK("https://drillhole.pir.sa.gov.au/Details.aspx?DRILLHOLE_NO=186197","Geol Survey Link")</f>
        <v>Geol Survey Link</v>
      </c>
      <c r="I2117">
        <v>-34.7166</v>
      </c>
      <c r="J2117">
        <v>139.387</v>
      </c>
      <c r="K2117" t="str">
        <f>HYPERLINK("https://sarigdata.pir.sa.gov.au/nvcl/NVCLDataServices/mosaic.html?datasetid=d21a5326-a1db-42d9-bbee-f598dc791eb","186197_PADD2_Core Image")</f>
        <v>186197_PADD2_Core Image</v>
      </c>
    </row>
    <row r="2118" spans="1:11" x14ac:dyDescent="0.25">
      <c r="A2118" t="str">
        <f>HYPERLINK("http://www.corstruth.com.au/SA/186199_PADD4_cs.png","186199_PADD4_A4")</f>
        <v>186199_PADD4_A4</v>
      </c>
      <c r="B2118" t="str">
        <f>HYPERLINK("http://www.corstruth.com.au/SA/PNG2/186199_PADD4_cs.png","186199_PADD4_0.25m Bins")</f>
        <v>186199_PADD4_0.25m Bins</v>
      </c>
      <c r="C2118" t="str">
        <f>HYPERLINK("http://www.corstruth.com.au/SA/CSV/186199_PADD4.csv","186199_PADD4_CSV File 1m Bins")</f>
        <v>186199_PADD4_CSV File 1m Bins</v>
      </c>
      <c r="D2118">
        <v>186199</v>
      </c>
      <c r="E2118" t="s">
        <v>2163</v>
      </c>
      <c r="F2118" t="str">
        <f>HYPERLINK("https://drillhole.pir.sa.gov.au/Details.aspx?DRILLHOLE_NO=186199","Geol Survey Link")</f>
        <v>Geol Survey Link</v>
      </c>
      <c r="I2118">
        <v>-34.782800000000002</v>
      </c>
      <c r="J2118">
        <v>139.43600000000001</v>
      </c>
      <c r="K2118" t="str">
        <f>HYPERLINK("https://sarigdata.pir.sa.gov.au/nvcl/NVCLDataServices/mosaic.html?datasetid=5c8b2708-591a-4588-817e-cf6960b2b48","186199_PADD4_Core Image")</f>
        <v>186199_PADD4_Core Image</v>
      </c>
    </row>
    <row r="2119" spans="1:11" x14ac:dyDescent="0.25">
      <c r="A2119" t="str">
        <f>HYPERLINK("http://www.corstruth.com.au/SA/186200_PADD5_cs.png","186200_PADD5_A4")</f>
        <v>186200_PADD5_A4</v>
      </c>
      <c r="B2119" t="str">
        <f>HYPERLINK("http://www.corstruth.com.au/SA/PNG2/186200_PADD5_cs.png","186200_PADD5_0.25m Bins")</f>
        <v>186200_PADD5_0.25m Bins</v>
      </c>
      <c r="C2119" t="str">
        <f>HYPERLINK("http://www.corstruth.com.au/SA/CSV/186200_PADD5.csv","186200_PADD5_CSV File 1m Bins")</f>
        <v>186200_PADD5_CSV File 1m Bins</v>
      </c>
      <c r="D2119">
        <v>186200</v>
      </c>
      <c r="E2119" t="s">
        <v>2163</v>
      </c>
      <c r="F2119" t="str">
        <f>HYPERLINK("https://drillhole.pir.sa.gov.au/Details.aspx?DRILLHOLE_NO=186200","Geol Survey Link")</f>
        <v>Geol Survey Link</v>
      </c>
      <c r="I2119">
        <v>-34.821399999999997</v>
      </c>
      <c r="J2119">
        <v>139.46100000000001</v>
      </c>
      <c r="K2119" t="str">
        <f>HYPERLINK("https://sarigdata.pir.sa.gov.au/nvcl/NVCLDataServices/mosaic.html?datasetid=4aaa675e-8ebc-4f4a-8aaa-4cb77cb16c5","186200_PADD5_Core Image")</f>
        <v>186200_PADD5_Core Image</v>
      </c>
    </row>
    <row r="2120" spans="1:11" x14ac:dyDescent="0.25">
      <c r="A2120" t="str">
        <f>HYPERLINK("http://www.corstruth.com.au/SA/186201_PADD6_cs.png","186201_PADD6_A4")</f>
        <v>186201_PADD6_A4</v>
      </c>
      <c r="B2120" t="str">
        <f>HYPERLINK("http://www.corstruth.com.au/SA/PNG2/186201_PADD6_cs.png","186201_PADD6_0.25m Bins")</f>
        <v>186201_PADD6_0.25m Bins</v>
      </c>
      <c r="C2120" t="str">
        <f>HYPERLINK("http://www.corstruth.com.au/SA/CSV/186201_PADD6.csv","186201_PADD6_CSV File 1m Bins")</f>
        <v>186201_PADD6_CSV File 1m Bins</v>
      </c>
      <c r="D2120">
        <v>186201</v>
      </c>
      <c r="E2120" t="s">
        <v>2163</v>
      </c>
      <c r="F2120" t="str">
        <f>HYPERLINK("https://drillhole.pir.sa.gov.au/Details.aspx?DRILLHOLE_NO=186201","Geol Survey Link")</f>
        <v>Geol Survey Link</v>
      </c>
      <c r="I2120">
        <v>-34.3827</v>
      </c>
      <c r="J2120">
        <v>139.29</v>
      </c>
      <c r="K2120" t="str">
        <f>HYPERLINK("https://sarigdata.pir.sa.gov.au/nvcl/NVCLDataServices/mosaic.html?datasetid=d1f30b6f-0268-40ef-8c1f-b15f8f3bcf1","186201_PADD6_Core Image")</f>
        <v>186201_PADD6_Core Image</v>
      </c>
    </row>
    <row r="2121" spans="1:11" x14ac:dyDescent="0.25">
      <c r="A2121" t="str">
        <f>HYPERLINK("http://www.corstruth.com.au/SA/186202_PADD7_cs.png","186202_PADD7_A4")</f>
        <v>186202_PADD7_A4</v>
      </c>
      <c r="B2121" t="str">
        <f>HYPERLINK("http://www.corstruth.com.au/SA/PNG2/186202_PADD7_cs.png","186202_PADD7_0.25m Bins")</f>
        <v>186202_PADD7_0.25m Bins</v>
      </c>
      <c r="C2121" t="str">
        <f>HYPERLINK("http://www.corstruth.com.au/SA/CSV/186202_PADD7.csv","186202_PADD7_CSV File 1m Bins")</f>
        <v>186202_PADD7_CSV File 1m Bins</v>
      </c>
      <c r="D2121">
        <v>186202</v>
      </c>
      <c r="E2121" t="s">
        <v>2163</v>
      </c>
      <c r="F2121" t="str">
        <f>HYPERLINK("https://drillhole.pir.sa.gov.au/Details.aspx?DRILLHOLE_NO=186202","Geol Survey Link")</f>
        <v>Geol Survey Link</v>
      </c>
      <c r="I2121">
        <v>-34.348100000000002</v>
      </c>
      <c r="J2121">
        <v>139.29599999999999</v>
      </c>
      <c r="K2121" t="str">
        <f>HYPERLINK("https://sarigdata.pir.sa.gov.au/nvcl/NVCLDataServices/mosaic.html?datasetid=ef961d77-4c40-43bb-8eb5-c3109e75a79","186202_PADD7_Core Image")</f>
        <v>186202_PADD7_Core Image</v>
      </c>
    </row>
    <row r="2122" spans="1:11" x14ac:dyDescent="0.25">
      <c r="A2122" t="str">
        <f>HYPERLINK("http://www.corstruth.com.au/SA/186203_PADD8_cs.png","186203_PADD8_A4")</f>
        <v>186203_PADD8_A4</v>
      </c>
      <c r="B2122" t="str">
        <f>HYPERLINK("http://www.corstruth.com.au/SA/PNG2/186203_PADD8_cs.png","186203_PADD8_0.25m Bins")</f>
        <v>186203_PADD8_0.25m Bins</v>
      </c>
      <c r="C2122" t="str">
        <f>HYPERLINK("http://www.corstruth.com.au/SA/CSV/186203_PADD8.csv","186203_PADD8_CSV File 1m Bins")</f>
        <v>186203_PADD8_CSV File 1m Bins</v>
      </c>
      <c r="D2122">
        <v>186203</v>
      </c>
      <c r="E2122" t="s">
        <v>2163</v>
      </c>
      <c r="F2122" t="str">
        <f>HYPERLINK("https://drillhole.pir.sa.gov.au/Details.aspx?DRILLHOLE_NO=186203","Geol Survey Link")</f>
        <v>Geol Survey Link</v>
      </c>
      <c r="I2122">
        <v>-34.324199999999998</v>
      </c>
      <c r="J2122">
        <v>139.39699999999999</v>
      </c>
      <c r="K2122" t="str">
        <f>HYPERLINK("https://sarigdata.pir.sa.gov.au/nvcl/NVCLDataServices/mosaic.html?datasetid=8ac79e76-f123-46d8-a28f-210b79f0e7b","186203_PADD8_Core Image")</f>
        <v>186203_PADD8_Core Image</v>
      </c>
    </row>
    <row r="2123" spans="1:11" x14ac:dyDescent="0.25">
      <c r="A2123" t="str">
        <f>HYPERLINK("http://www.corstruth.com.au/SA/186204_PADD9_cs.png","186204_PADD9_A4")</f>
        <v>186204_PADD9_A4</v>
      </c>
      <c r="B2123" t="str">
        <f>HYPERLINK("http://www.corstruth.com.au/SA/PNG2/186204_PADD9_cs.png","186204_PADD9_0.25m Bins")</f>
        <v>186204_PADD9_0.25m Bins</v>
      </c>
      <c r="C2123" t="str">
        <f>HYPERLINK("http://www.corstruth.com.au/SA/CSV/186204_PADD9.csv","186204_PADD9_CSV File 1m Bins")</f>
        <v>186204_PADD9_CSV File 1m Bins</v>
      </c>
      <c r="D2123">
        <v>186204</v>
      </c>
      <c r="E2123" t="s">
        <v>2163</v>
      </c>
      <c r="F2123" t="str">
        <f>HYPERLINK("https://drillhole.pir.sa.gov.au/Details.aspx?DRILLHOLE_NO=186204","Geol Survey Link")</f>
        <v>Geol Survey Link</v>
      </c>
      <c r="I2123">
        <v>-34.347099999999998</v>
      </c>
      <c r="J2123">
        <v>139.30500000000001</v>
      </c>
      <c r="K2123" t="str">
        <f>HYPERLINK("https://sarigdata.pir.sa.gov.au/nvcl/NVCLDataServices/mosaic.html?datasetid=111e0ce6-f9e2-4420-9d41-24116be01a1","186204_PADD9_Core Image")</f>
        <v>186204_PADD9_Core Image</v>
      </c>
    </row>
    <row r="2124" spans="1:11" x14ac:dyDescent="0.25">
      <c r="A2124" t="str">
        <f>HYPERLINK("http://www.corstruth.com.au/SA/186205_PADD10_cs.png","186205_PADD10_A4")</f>
        <v>186205_PADD10_A4</v>
      </c>
      <c r="B2124" t="str">
        <f>HYPERLINK("http://www.corstruth.com.au/SA/PNG2/186205_PADD10_cs.png","186205_PADD10_0.25m Bins")</f>
        <v>186205_PADD10_0.25m Bins</v>
      </c>
      <c r="C2124" t="str">
        <f>HYPERLINK("http://www.corstruth.com.au/SA/CSV/186205_PADD10.csv","186205_PADD10_CSV File 1m Bins")</f>
        <v>186205_PADD10_CSV File 1m Bins</v>
      </c>
      <c r="D2124">
        <v>186205</v>
      </c>
      <c r="E2124" t="s">
        <v>2163</v>
      </c>
      <c r="F2124" t="str">
        <f>HYPERLINK("https://drillhole.pir.sa.gov.au/Details.aspx?DRILLHOLE_NO=186205","Geol Survey Link")</f>
        <v>Geol Survey Link</v>
      </c>
      <c r="I2124">
        <v>-34.311799999999998</v>
      </c>
      <c r="J2124">
        <v>139.37700000000001</v>
      </c>
      <c r="K2124" t="str">
        <f>HYPERLINK("https://sarigdata.pir.sa.gov.au/nvcl/NVCLDataServices/mosaic.html?datasetid=176deea9-116b-4d1d-a8df-cec8b682200","186205_PADD10_Core Image")</f>
        <v>186205_PADD10_Core Image</v>
      </c>
    </row>
    <row r="2125" spans="1:11" x14ac:dyDescent="0.25">
      <c r="A2125" t="str">
        <f>HYPERLINK("http://www.corstruth.com.au/SA/186232_BGDDH4_cs.png","186232_BGDDH4_A4")</f>
        <v>186232_BGDDH4_A4</v>
      </c>
      <c r="B2125" t="str">
        <f>HYPERLINK("http://www.corstruth.com.au/SA/PNG2/186232_BGDDH4_cs.png","186232_BGDDH4_0.25m Bins")</f>
        <v>186232_BGDDH4_0.25m Bins</v>
      </c>
      <c r="C2125" t="str">
        <f>HYPERLINK("http://www.corstruth.com.au/SA/CSV/186232_BGDDH4.csv","186232_BGDDH4_CSV File 1m Bins")</f>
        <v>186232_BGDDH4_CSV File 1m Bins</v>
      </c>
      <c r="D2125">
        <v>186232</v>
      </c>
      <c r="E2125" t="s">
        <v>2163</v>
      </c>
      <c r="F2125" t="str">
        <f>HYPERLINK("https://drillhole.pir.sa.gov.au/Details.aspx?DRILLHOLE_NO=186232","Geol Survey Link")</f>
        <v>Geol Survey Link</v>
      </c>
      <c r="I2125">
        <v>-30.767800000000001</v>
      </c>
      <c r="J2125">
        <v>134.464</v>
      </c>
      <c r="K2125" t="str">
        <f>HYPERLINK("https://sarigdata.pir.sa.gov.au/nvcl/NVCLDataServices/mosaic.html?datasetid=d58255ff-a84a-4244-b976-98dc147d8fa","186232_BGDDH4_Core Image")</f>
        <v>186232_BGDDH4_Core Image</v>
      </c>
    </row>
    <row r="2126" spans="1:11" x14ac:dyDescent="0.25">
      <c r="A2126" t="str">
        <f>HYPERLINK("http://www.corstruth.com.au/SA/186_NS1_cs.png","186_NS1_A4")</f>
        <v>186_NS1_A4</v>
      </c>
      <c r="D2126">
        <v>186</v>
      </c>
      <c r="E2126" t="s">
        <v>2163</v>
      </c>
      <c r="F2126" t="str">
        <f>HYPERLINK("https://drillhole.pir.sa.gov.au/Details.aspx?DRILLHOLE_NO=186","Geol Survey Link")</f>
        <v>Geol Survey Link</v>
      </c>
      <c r="I2126">
        <v>-26.1919</v>
      </c>
      <c r="J2126">
        <v>129.26300000000001</v>
      </c>
    </row>
    <row r="2127" spans="1:11" x14ac:dyDescent="0.25">
      <c r="A2127" t="str">
        <f>HYPERLINK("http://www.corstruth.com.au/SA/187410_KGD01C_cs.png","187410_KGD01C_A4")</f>
        <v>187410_KGD01C_A4</v>
      </c>
      <c r="B2127" t="str">
        <f>HYPERLINK("http://www.corstruth.com.au/SA/PNG2/187410_KGD01C_cs.png","187410_KGD01C_0.25m Bins")</f>
        <v>187410_KGD01C_0.25m Bins</v>
      </c>
      <c r="C2127" t="str">
        <f>HYPERLINK("http://www.corstruth.com.au/SA/CSV/187410_KGD01C.csv","187410_KGD01C_CSV File 1m Bins")</f>
        <v>187410_KGD01C_CSV File 1m Bins</v>
      </c>
      <c r="D2127">
        <v>187410</v>
      </c>
      <c r="E2127" t="s">
        <v>2163</v>
      </c>
      <c r="F2127" t="str">
        <f>HYPERLINK("https://drillhole.pir.sa.gov.au/Details.aspx?DRILLHOLE_NO=187410","Geol Survey Link")</f>
        <v>Geol Survey Link</v>
      </c>
      <c r="I2127">
        <v>-34.127000000000002</v>
      </c>
      <c r="J2127">
        <v>137.202</v>
      </c>
      <c r="K2127" t="str">
        <f>HYPERLINK("https://sarigdata.pir.sa.gov.au/nvcl/NVCLDataServices/mosaic.html?datasetid=1158aa82-6969-4044-aa72-79fb8bff0eb","187410_KGD01C_Core Image")</f>
        <v>187410_KGD01C_Core Image</v>
      </c>
    </row>
    <row r="2128" spans="1:11" x14ac:dyDescent="0.25">
      <c r="A2128" t="str">
        <f>HYPERLINK("http://www.corstruth.com.au/SA/187_NS2_cs.png","187_NS2_A4")</f>
        <v>187_NS2_A4</v>
      </c>
      <c r="D2128">
        <v>187</v>
      </c>
      <c r="E2128" t="s">
        <v>2163</v>
      </c>
      <c r="F2128" t="str">
        <f>HYPERLINK("https://drillhole.pir.sa.gov.au/Details.aspx?DRILLHOLE_NO=187","Geol Survey Link")</f>
        <v>Geol Survey Link</v>
      </c>
      <c r="I2128">
        <v>-26.187799999999999</v>
      </c>
      <c r="J2128">
        <v>129.26300000000001</v>
      </c>
    </row>
    <row r="2129" spans="1:11" x14ac:dyDescent="0.25">
      <c r="A2129" t="str">
        <f>HYPERLINK("http://www.corstruth.com.au/SA/188414_KD1_cs.png","188414_KD1_A4")</f>
        <v>188414_KD1_A4</v>
      </c>
      <c r="D2129">
        <v>188414</v>
      </c>
      <c r="E2129" t="s">
        <v>2163</v>
      </c>
      <c r="F2129" t="str">
        <f>HYPERLINK("https://drillhole.pir.sa.gov.au/Details.aspx?DRILLHOLE_NO=188414","Geol Survey Link")</f>
        <v>Geol Survey Link</v>
      </c>
      <c r="I2129">
        <v>-33.685600000000001</v>
      </c>
      <c r="J2129">
        <v>137.79499999999999</v>
      </c>
    </row>
    <row r="2130" spans="1:11" x14ac:dyDescent="0.25">
      <c r="A2130" t="str">
        <f>HYPERLINK("http://www.corstruth.com.au/SA/188438_KD18_cs.png","188438_KD18_A4")</f>
        <v>188438_KD18_A4</v>
      </c>
      <c r="D2130">
        <v>188438</v>
      </c>
      <c r="E2130" t="s">
        <v>2163</v>
      </c>
      <c r="F2130" t="str">
        <f>HYPERLINK("https://drillhole.pir.sa.gov.au/Details.aspx?DRILLHOLE_NO=188438","Geol Survey Link")</f>
        <v>Geol Survey Link</v>
      </c>
      <c r="I2130">
        <v>-33.559100000000001</v>
      </c>
      <c r="J2130">
        <v>137.81700000000001</v>
      </c>
    </row>
    <row r="2131" spans="1:11" x14ac:dyDescent="0.25">
      <c r="A2131" t="str">
        <f>HYPERLINK("http://www.corstruth.com.au/SA/188530_DCDH1_cs.png","188530_DCDH1_A4")</f>
        <v>188530_DCDH1_A4</v>
      </c>
      <c r="D2131">
        <v>188530</v>
      </c>
      <c r="E2131" t="s">
        <v>2163</v>
      </c>
      <c r="F2131" t="str">
        <f>HYPERLINK("https://drillhole.pir.sa.gov.au/Details.aspx?DRILLHOLE_NO=188530","Geol Survey Link")</f>
        <v>Geol Survey Link</v>
      </c>
      <c r="I2131">
        <v>-28.509799999999998</v>
      </c>
      <c r="J2131">
        <v>136.358</v>
      </c>
    </row>
    <row r="2132" spans="1:11" x14ac:dyDescent="0.25">
      <c r="A2132" t="str">
        <f>HYPERLINK("http://www.corstruth.com.au/SA/188_NS3_cs.png","188_NS3_A4")</f>
        <v>188_NS3_A4</v>
      </c>
      <c r="D2132">
        <v>188</v>
      </c>
      <c r="E2132" t="s">
        <v>2163</v>
      </c>
      <c r="F2132" t="str">
        <f>HYPERLINK("https://drillhole.pir.sa.gov.au/Details.aspx?DRILLHOLE_NO=188","Geol Survey Link")</f>
        <v>Geol Survey Link</v>
      </c>
      <c r="I2132">
        <v>-26.194600000000001</v>
      </c>
      <c r="J2132">
        <v>129.262</v>
      </c>
    </row>
    <row r="2133" spans="1:11" x14ac:dyDescent="0.25">
      <c r="A2133" t="str">
        <f>HYPERLINK("http://www.corstruth.com.au/SA/189404_93DD10_cs.png","189404_93DD10_A4")</f>
        <v>189404_93DD10_A4</v>
      </c>
      <c r="B2133" t="str">
        <f>HYPERLINK("http://www.corstruth.com.au/SA/PNG2/189404_93DD10_cs.png","189404_93DD10_0.25m Bins")</f>
        <v>189404_93DD10_0.25m Bins</v>
      </c>
      <c r="C2133" t="str">
        <f>HYPERLINK("http://www.corstruth.com.au/SA/CSV/189404_93DD10.csv","189404_93DD10_CSV File 1m Bins")</f>
        <v>189404_93DD10_CSV File 1m Bins</v>
      </c>
      <c r="D2133">
        <v>189404</v>
      </c>
      <c r="E2133" t="s">
        <v>2163</v>
      </c>
      <c r="F2133" t="str">
        <f>HYPERLINK("https://drillhole.pir.sa.gov.au/Details.aspx?DRILLHOLE_NO=189404","Geol Survey Link")</f>
        <v>Geol Survey Link</v>
      </c>
      <c r="I2133">
        <v>-29.7166</v>
      </c>
      <c r="J2133">
        <v>135.57499999999999</v>
      </c>
      <c r="K2133" t="str">
        <f>HYPERLINK("https://sarigdata.pir.sa.gov.au/nvcl/NVCLDataServices/mosaic.html?datasetid=bf527735-fa0a-4577-b5de-bff571e2d51","189404_93DD10_Core Image")</f>
        <v>189404_93DD10_Core Image</v>
      </c>
    </row>
    <row r="2134" spans="1:11" x14ac:dyDescent="0.25">
      <c r="A2134" t="str">
        <f>HYPERLINK("http://www.corstruth.com.au/SA/189_NS4_cs.png","189_NS4_A4")</f>
        <v>189_NS4_A4</v>
      </c>
      <c r="D2134">
        <v>189</v>
      </c>
      <c r="E2134" t="s">
        <v>2163</v>
      </c>
      <c r="F2134" t="str">
        <f>HYPERLINK("https://drillhole.pir.sa.gov.au/Details.aspx?DRILLHOLE_NO=189","Geol Survey Link")</f>
        <v>Geol Survey Link</v>
      </c>
      <c r="I2134">
        <v>-26.193300000000001</v>
      </c>
      <c r="J2134">
        <v>129.273</v>
      </c>
    </row>
    <row r="2135" spans="1:11" x14ac:dyDescent="0.25">
      <c r="A2135" t="str">
        <f>HYPERLINK("http://www.corstruth.com.au/SA/191037_BkHDH1_cs.png","191037_BkHDH1_A4")</f>
        <v>191037_BkHDH1_A4</v>
      </c>
      <c r="D2135">
        <v>191037</v>
      </c>
      <c r="E2135" t="s">
        <v>2163</v>
      </c>
      <c r="F2135" t="str">
        <f>HYPERLINK("https://drillhole.pir.sa.gov.au/Details.aspx?DRILLHOLE_NO=191037","Geol Survey Link")</f>
        <v>Geol Survey Link</v>
      </c>
      <c r="I2135">
        <v>-29.4678</v>
      </c>
      <c r="J2135">
        <v>135.154</v>
      </c>
    </row>
    <row r="2136" spans="1:11" x14ac:dyDescent="0.25">
      <c r="A2136" t="str">
        <f>HYPERLINK("http://www.corstruth.com.au/SA/191038_BkHDH2_cs.png","191038_BkHDH2_A4")</f>
        <v>191038_BkHDH2_A4</v>
      </c>
      <c r="D2136">
        <v>191038</v>
      </c>
      <c r="E2136" t="s">
        <v>2163</v>
      </c>
      <c r="F2136" t="str">
        <f>HYPERLINK("https://drillhole.pir.sa.gov.au/Details.aspx?DRILLHOLE_NO=191038","Geol Survey Link")</f>
        <v>Geol Survey Link</v>
      </c>
      <c r="I2136">
        <v>-29.4678</v>
      </c>
      <c r="J2136">
        <v>135.154</v>
      </c>
    </row>
    <row r="2137" spans="1:11" x14ac:dyDescent="0.25">
      <c r="A2137" t="str">
        <f>HYPERLINK("http://www.corstruth.com.au/SA/191039_BkHDH3_cs.png","191039_BkHDH3_A4")</f>
        <v>191039_BkHDH3_A4</v>
      </c>
      <c r="D2137">
        <v>191039</v>
      </c>
      <c r="E2137" t="s">
        <v>2163</v>
      </c>
      <c r="F2137" t="str">
        <f>HYPERLINK("https://drillhole.pir.sa.gov.au/Details.aspx?DRILLHOLE_NO=191039","Geol Survey Link")</f>
        <v>Geol Survey Link</v>
      </c>
      <c r="I2137">
        <v>-29.4678</v>
      </c>
      <c r="J2137">
        <v>135.154</v>
      </c>
    </row>
    <row r="2138" spans="1:11" x14ac:dyDescent="0.25">
      <c r="A2138" t="str">
        <f>HYPERLINK("http://www.corstruth.com.au/SA/191040_BkHDH4_cs.png","191040_BkHDH4_A4")</f>
        <v>191040_BkHDH4_A4</v>
      </c>
      <c r="D2138">
        <v>191040</v>
      </c>
      <c r="E2138" t="s">
        <v>2163</v>
      </c>
      <c r="F2138" t="str">
        <f>HYPERLINK("https://drillhole.pir.sa.gov.au/Details.aspx?DRILLHOLE_NO=191040","Geol Survey Link")</f>
        <v>Geol Survey Link</v>
      </c>
      <c r="I2138">
        <v>-29.4678</v>
      </c>
      <c r="J2138">
        <v>135.154</v>
      </c>
    </row>
    <row r="2139" spans="1:11" x14ac:dyDescent="0.25">
      <c r="A2139" t="str">
        <f>HYPERLINK("http://www.corstruth.com.au/SA/191041_BkHDH5_cs.png","191041_BkHDH5_A4")</f>
        <v>191041_BkHDH5_A4</v>
      </c>
      <c r="D2139">
        <v>191041</v>
      </c>
      <c r="E2139" t="s">
        <v>2163</v>
      </c>
      <c r="F2139" t="str">
        <f>HYPERLINK("https://drillhole.pir.sa.gov.au/Details.aspx?DRILLHOLE_NO=191041","Geol Survey Link")</f>
        <v>Geol Survey Link</v>
      </c>
      <c r="I2139">
        <v>-29.4678</v>
      </c>
      <c r="J2139">
        <v>135.154</v>
      </c>
    </row>
    <row r="2140" spans="1:11" x14ac:dyDescent="0.25">
      <c r="A2140" t="str">
        <f>HYPERLINK("http://www.corstruth.com.au/SA/191042_BkHDH6_cs.png","191042_BkHDH6_A4")</f>
        <v>191042_BkHDH6_A4</v>
      </c>
      <c r="D2140">
        <v>191042</v>
      </c>
      <c r="E2140" t="s">
        <v>2163</v>
      </c>
      <c r="F2140" t="str">
        <f>HYPERLINK("https://drillhole.pir.sa.gov.au/Details.aspx?DRILLHOLE_NO=191042","Geol Survey Link")</f>
        <v>Geol Survey Link</v>
      </c>
      <c r="I2140">
        <v>-29.4678</v>
      </c>
      <c r="J2140">
        <v>135.154</v>
      </c>
    </row>
    <row r="2141" spans="1:11" x14ac:dyDescent="0.25">
      <c r="A2141" t="str">
        <f>HYPERLINK("http://www.corstruth.com.au/SA/191043_BkHDH7_cs.png","191043_BkHDH7_A4")</f>
        <v>191043_BkHDH7_A4</v>
      </c>
      <c r="D2141">
        <v>191043</v>
      </c>
      <c r="E2141" t="s">
        <v>2163</v>
      </c>
      <c r="F2141" t="str">
        <f>HYPERLINK("https://drillhole.pir.sa.gov.au/Details.aspx?DRILLHOLE_NO=191043","Geol Survey Link")</f>
        <v>Geol Survey Link</v>
      </c>
      <c r="I2141">
        <v>-29.4678</v>
      </c>
      <c r="J2141">
        <v>135.154</v>
      </c>
    </row>
    <row r="2142" spans="1:11" x14ac:dyDescent="0.25">
      <c r="A2142" t="str">
        <f>HYPERLINK("http://www.corstruth.com.au/SA/191044_BkHDH8_cs.png","191044_BkHDH8_A4")</f>
        <v>191044_BkHDH8_A4</v>
      </c>
      <c r="D2142">
        <v>191044</v>
      </c>
      <c r="E2142" t="s">
        <v>2163</v>
      </c>
      <c r="F2142" t="str">
        <f>HYPERLINK("https://drillhole.pir.sa.gov.au/Details.aspx?DRILLHOLE_NO=191044","Geol Survey Link")</f>
        <v>Geol Survey Link</v>
      </c>
      <c r="I2142">
        <v>-29.4678</v>
      </c>
      <c r="J2142">
        <v>135.154</v>
      </c>
    </row>
    <row r="2143" spans="1:11" x14ac:dyDescent="0.25">
      <c r="A2143" t="str">
        <f>HYPERLINK("http://www.corstruth.com.au/SA/191045_BkHDH9_cs.png","191045_BkHDH9_A4")</f>
        <v>191045_BkHDH9_A4</v>
      </c>
      <c r="D2143">
        <v>191045</v>
      </c>
      <c r="E2143" t="s">
        <v>2163</v>
      </c>
      <c r="F2143" t="str">
        <f>HYPERLINK("https://drillhole.pir.sa.gov.au/Details.aspx?DRILLHOLE_NO=191045","Geol Survey Link")</f>
        <v>Geol Survey Link</v>
      </c>
      <c r="I2143">
        <v>-29.4678</v>
      </c>
      <c r="J2143">
        <v>135.154</v>
      </c>
    </row>
    <row r="2144" spans="1:11" x14ac:dyDescent="0.25">
      <c r="A2144" t="str">
        <f>HYPERLINK("http://www.corstruth.com.au/SA/191069_DAV_9_cs.png","191069_DAV_9_A4")</f>
        <v>191069_DAV_9_A4</v>
      </c>
      <c r="D2144">
        <v>191069</v>
      </c>
      <c r="E2144" t="s">
        <v>2163</v>
      </c>
      <c r="F2144" t="str">
        <f>HYPERLINK("https://drillhole.pir.sa.gov.au/Details.aspx?DRILLHOLE_NO=191069","Geol Survey Link")</f>
        <v>Geol Survey Link</v>
      </c>
      <c r="I2144">
        <v>-26.099</v>
      </c>
      <c r="J2144">
        <v>129.13499999999999</v>
      </c>
    </row>
    <row r="2145" spans="1:11" x14ac:dyDescent="0.25">
      <c r="A2145" t="str">
        <f>HYPERLINK("http://www.corstruth.com.au/SA/191079_DAV_13_cs.png","191079_DAV_13_A4")</f>
        <v>191079_DAV_13_A4</v>
      </c>
      <c r="D2145">
        <v>191079</v>
      </c>
      <c r="E2145" t="s">
        <v>2163</v>
      </c>
      <c r="F2145" t="str">
        <f>HYPERLINK("https://drillhole.pir.sa.gov.au/Details.aspx?DRILLHOLE_NO=191079","Geol Survey Link")</f>
        <v>Geol Survey Link</v>
      </c>
      <c r="I2145">
        <v>-26.135899999999999</v>
      </c>
      <c r="J2145">
        <v>129.107</v>
      </c>
    </row>
    <row r="2146" spans="1:11" x14ac:dyDescent="0.25">
      <c r="A2146" t="str">
        <f>HYPERLINK("http://www.corstruth.com.au/SA/191083_DAV_17_cs.png","191083_DAV_17_A4")</f>
        <v>191083_DAV_17_A4</v>
      </c>
      <c r="D2146">
        <v>191083</v>
      </c>
      <c r="E2146" t="s">
        <v>2163</v>
      </c>
      <c r="F2146" t="str">
        <f>HYPERLINK("https://drillhole.pir.sa.gov.au/Details.aspx?DRILLHOLE_NO=191083","Geol Survey Link")</f>
        <v>Geol Survey Link</v>
      </c>
      <c r="I2146">
        <v>-26.3048</v>
      </c>
      <c r="J2146">
        <v>129.12299999999999</v>
      </c>
    </row>
    <row r="2147" spans="1:11" x14ac:dyDescent="0.25">
      <c r="A2147" t="str">
        <f>HYPERLINK("http://www.corstruth.com.au/SA/191087_DAV_21_cs.png","191087_DAV_21_A4")</f>
        <v>191087_DAV_21_A4</v>
      </c>
      <c r="D2147">
        <v>191087</v>
      </c>
      <c r="E2147" t="s">
        <v>2163</v>
      </c>
      <c r="F2147" t="str">
        <f>HYPERLINK("https://drillhole.pir.sa.gov.au/Details.aspx?DRILLHOLE_NO=191087","Geol Survey Link")</f>
        <v>Geol Survey Link</v>
      </c>
      <c r="I2147">
        <v>-26.378299999999999</v>
      </c>
      <c r="J2147">
        <v>129.12200000000001</v>
      </c>
    </row>
    <row r="2148" spans="1:11" x14ac:dyDescent="0.25">
      <c r="A2148" t="str">
        <f>HYPERLINK("http://www.corstruth.com.au/SA/191091_DAV_25_cs.png","191091_DAV_25_A4")</f>
        <v>191091_DAV_25_A4</v>
      </c>
      <c r="D2148">
        <v>191091</v>
      </c>
      <c r="E2148" t="s">
        <v>2163</v>
      </c>
      <c r="F2148" t="str">
        <f>HYPERLINK("https://drillhole.pir.sa.gov.au/Details.aspx?DRILLHOLE_NO=191091","Geol Survey Link")</f>
        <v>Geol Survey Link</v>
      </c>
      <c r="I2148">
        <v>-26.456600000000002</v>
      </c>
      <c r="J2148">
        <v>129.15700000000001</v>
      </c>
    </row>
    <row r="2149" spans="1:11" x14ac:dyDescent="0.25">
      <c r="A2149" t="str">
        <f>HYPERLINK("http://www.corstruth.com.au/SA/191092_DAV_26_cs.png","191092_DAV_26_A4")</f>
        <v>191092_DAV_26_A4</v>
      </c>
      <c r="D2149">
        <v>191092</v>
      </c>
      <c r="E2149" t="s">
        <v>2163</v>
      </c>
      <c r="F2149" t="str">
        <f>HYPERLINK("https://drillhole.pir.sa.gov.au/Details.aspx?DRILLHOLE_NO=191092","Geol Survey Link")</f>
        <v>Geol Survey Link</v>
      </c>
      <c r="I2149">
        <v>-26.4864</v>
      </c>
      <c r="J2149">
        <v>129.173</v>
      </c>
    </row>
    <row r="2150" spans="1:11" x14ac:dyDescent="0.25">
      <c r="A2150" t="str">
        <f>HYPERLINK("http://www.corstruth.com.au/SA/191098_DAV_32_cs.png","191098_DAV_32_A4")</f>
        <v>191098_DAV_32_A4</v>
      </c>
      <c r="D2150">
        <v>191098</v>
      </c>
      <c r="E2150" t="s">
        <v>2163</v>
      </c>
      <c r="F2150" t="str">
        <f>HYPERLINK("https://drillhole.pir.sa.gov.au/Details.aspx?DRILLHOLE_NO=191098","Geol Survey Link")</f>
        <v>Geol Survey Link</v>
      </c>
      <c r="I2150">
        <v>-26.167899999999999</v>
      </c>
      <c r="J2150">
        <v>129.49600000000001</v>
      </c>
    </row>
    <row r="2151" spans="1:11" x14ac:dyDescent="0.25">
      <c r="A2151" t="str">
        <f>HYPERLINK("http://www.corstruth.com.au/SA/191102_MOU_4_cs.png","191102_MOU_4_A4")</f>
        <v>191102_MOU_4_A4</v>
      </c>
      <c r="D2151">
        <v>191102</v>
      </c>
      <c r="E2151" t="s">
        <v>2163</v>
      </c>
      <c r="F2151" t="str">
        <f>HYPERLINK("https://drillhole.pir.sa.gov.au/Details.aspx?DRILLHOLE_NO=191102","Geol Survey Link")</f>
        <v>Geol Survey Link</v>
      </c>
      <c r="I2151">
        <v>-26.591999999999999</v>
      </c>
      <c r="J2151">
        <v>129.28700000000001</v>
      </c>
    </row>
    <row r="2152" spans="1:11" x14ac:dyDescent="0.25">
      <c r="A2152" t="str">
        <f>HYPERLINK("http://www.corstruth.com.au/SA/191629_KEN1_cs.png","191629_KEN1_A4")</f>
        <v>191629_KEN1_A4</v>
      </c>
      <c r="B2152" t="str">
        <f>HYPERLINK("http://www.corstruth.com.au/SA/PNG2/191629_KEN1_cs.png","191629_KEN1_0.25m Bins")</f>
        <v>191629_KEN1_0.25m Bins</v>
      </c>
      <c r="C2152" t="str">
        <f>HYPERLINK("http://www.corstruth.com.au/SA/CSV/191629_KEN1.csv","191629_KEN1_CSV File 1m Bins")</f>
        <v>191629_KEN1_CSV File 1m Bins</v>
      </c>
      <c r="D2152">
        <v>191629</v>
      </c>
      <c r="E2152" t="s">
        <v>2163</v>
      </c>
      <c r="F2152" t="str">
        <f>HYPERLINK("https://drillhole.pir.sa.gov.au/Details.aspx?DRILLHOLE_NO=191629","Geol Survey Link")</f>
        <v>Geol Survey Link</v>
      </c>
      <c r="I2152">
        <v>-30.924600000000002</v>
      </c>
      <c r="J2152">
        <v>134.96700000000001</v>
      </c>
      <c r="K2152" t="str">
        <f>HYPERLINK("https://sarigdata.pir.sa.gov.au/nvcl/NVCLDataServices/mosaic.html?datasetid=f50f1713-d66e-4049-aca7-bd454adfc5f","191629_KEN1_Core Image")</f>
        <v>191629_KEN1_Core Image</v>
      </c>
    </row>
    <row r="2153" spans="1:11" x14ac:dyDescent="0.25">
      <c r="A2153" t="str">
        <f>HYPERLINK("http://www.corstruth.com.au/SA/191630_KEN2_cs.png","191630_KEN2_A4")</f>
        <v>191630_KEN2_A4</v>
      </c>
      <c r="B2153" t="str">
        <f>HYPERLINK("http://www.corstruth.com.au/SA/PNG2/191630_KEN2_cs.png","191630_KEN2_0.25m Bins")</f>
        <v>191630_KEN2_0.25m Bins</v>
      </c>
      <c r="C2153" t="str">
        <f>HYPERLINK("http://www.corstruth.com.au/SA/CSV/191630_KEN2.csv","191630_KEN2_CSV File 1m Bins")</f>
        <v>191630_KEN2_CSV File 1m Bins</v>
      </c>
      <c r="D2153">
        <v>191630</v>
      </c>
      <c r="E2153" t="s">
        <v>2163</v>
      </c>
      <c r="F2153" t="str">
        <f>HYPERLINK("https://drillhole.pir.sa.gov.au/Details.aspx?DRILLHOLE_NO=191630","Geol Survey Link")</f>
        <v>Geol Survey Link</v>
      </c>
      <c r="I2153">
        <v>-30.922499999999999</v>
      </c>
      <c r="J2153">
        <v>134.97399999999999</v>
      </c>
      <c r="K2153" t="str">
        <f>HYPERLINK("https://sarigdata.pir.sa.gov.au/nvcl/NVCLDataServices/mosaic.html?datasetid=a6842e84-9943-42c2-bbc9-8eff0470991","191630_KEN2_Core Image")</f>
        <v>191630_KEN2_Core Image</v>
      </c>
    </row>
    <row r="2154" spans="1:11" x14ac:dyDescent="0.25">
      <c r="A2154" t="str">
        <f>HYPERLINK("http://www.corstruth.com.au/SA/191631_KEN3_cs.png","191631_KEN3_A4")</f>
        <v>191631_KEN3_A4</v>
      </c>
      <c r="B2154" t="str">
        <f>HYPERLINK("http://www.corstruth.com.au/SA/PNG2/191631_KEN3_cs.png","191631_KEN3_0.25m Bins")</f>
        <v>191631_KEN3_0.25m Bins</v>
      </c>
      <c r="C2154" t="str">
        <f>HYPERLINK("http://www.corstruth.com.au/SA/CSV/191631_KEN3.csv","191631_KEN3_CSV File 1m Bins")</f>
        <v>191631_KEN3_CSV File 1m Bins</v>
      </c>
      <c r="D2154">
        <v>191631</v>
      </c>
      <c r="E2154" t="s">
        <v>2163</v>
      </c>
      <c r="F2154" t="str">
        <f>HYPERLINK("https://drillhole.pir.sa.gov.au/Details.aspx?DRILLHOLE_NO=191631","Geol Survey Link")</f>
        <v>Geol Survey Link</v>
      </c>
      <c r="I2154">
        <v>-30.923100000000002</v>
      </c>
      <c r="J2154">
        <v>134.96799999999999</v>
      </c>
      <c r="K2154" t="str">
        <f>HYPERLINK("https://sarigdata.pir.sa.gov.au/nvcl/NVCLDataServices/mosaic.html?datasetid=2e2f1189-d3ad-49c5-8aba-3ece454339a","191631_KEN3_Core Image")</f>
        <v>191631_KEN3_Core Image</v>
      </c>
    </row>
    <row r="2155" spans="1:11" x14ac:dyDescent="0.25">
      <c r="A2155" t="str">
        <f>HYPERLINK("http://www.corstruth.com.au/SA/191665_TAR_DD119_cs.png","191665_TAR_DD119_A4")</f>
        <v>191665_TAR_DD119_A4</v>
      </c>
      <c r="D2155">
        <v>191665</v>
      </c>
      <c r="E2155" t="s">
        <v>2163</v>
      </c>
      <c r="F2155" t="str">
        <f>HYPERLINK("https://drillhole.pir.sa.gov.au/Details.aspx?DRILLHOLE_NO=191665","Geol Survey Link")</f>
        <v>Geol Survey Link</v>
      </c>
      <c r="I2155">
        <v>-30.815200000000001</v>
      </c>
      <c r="J2155">
        <v>134.672</v>
      </c>
    </row>
    <row r="2156" spans="1:11" x14ac:dyDescent="0.25">
      <c r="A2156" t="str">
        <f>HYPERLINK("http://www.corstruth.com.au/SA/191672_TAR_DD125_cs.png","191672_TAR_DD125_A4")</f>
        <v>191672_TAR_DD125_A4</v>
      </c>
      <c r="D2156">
        <v>191672</v>
      </c>
      <c r="E2156" t="s">
        <v>2163</v>
      </c>
      <c r="F2156" t="str">
        <f>HYPERLINK("https://drillhole.pir.sa.gov.au/Details.aspx?DRILLHOLE_NO=191672","Geol Survey Link")</f>
        <v>Geol Survey Link</v>
      </c>
      <c r="I2156">
        <v>-30.817900000000002</v>
      </c>
      <c r="J2156">
        <v>134.69900000000001</v>
      </c>
    </row>
    <row r="2157" spans="1:11" x14ac:dyDescent="0.25">
      <c r="A2157" t="str">
        <f>HYPERLINK("http://www.corstruth.com.au/SA/191674_TAR_DD127_cs.png","191674_TAR_DD127_A4")</f>
        <v>191674_TAR_DD127_A4</v>
      </c>
      <c r="D2157">
        <v>191674</v>
      </c>
      <c r="E2157" t="s">
        <v>2163</v>
      </c>
      <c r="F2157" t="str">
        <f>HYPERLINK("https://drillhole.pir.sa.gov.au/Details.aspx?DRILLHOLE_NO=191674","Geol Survey Link")</f>
        <v>Geol Survey Link</v>
      </c>
      <c r="I2157">
        <v>-30.817399999999999</v>
      </c>
      <c r="J2157">
        <v>134.69900000000001</v>
      </c>
    </row>
    <row r="2158" spans="1:11" x14ac:dyDescent="0.25">
      <c r="A2158" t="str">
        <f>HYPERLINK("http://www.corstruth.com.au/SA/191680_TAR_DD132_cs.png","191680_TAR_DD132_A4")</f>
        <v>191680_TAR_DD132_A4</v>
      </c>
      <c r="D2158">
        <v>191680</v>
      </c>
      <c r="E2158" t="s">
        <v>2163</v>
      </c>
      <c r="F2158" t="str">
        <f>HYPERLINK("https://drillhole.pir.sa.gov.au/Details.aspx?DRILLHOLE_NO=191680","Geol Survey Link")</f>
        <v>Geol Survey Link</v>
      </c>
      <c r="I2158">
        <v>-30.801100000000002</v>
      </c>
      <c r="J2158">
        <v>134.59299999999999</v>
      </c>
    </row>
    <row r="2159" spans="1:11" x14ac:dyDescent="0.25">
      <c r="A2159" t="str">
        <f>HYPERLINK("http://www.corstruth.com.au/SA/191681_TAR_DD133_cs.png","191681_TAR_DD133_A4")</f>
        <v>191681_TAR_DD133_A4</v>
      </c>
      <c r="D2159">
        <v>191681</v>
      </c>
      <c r="E2159" t="s">
        <v>2163</v>
      </c>
      <c r="F2159" t="str">
        <f>HYPERLINK("https://drillhole.pir.sa.gov.au/Details.aspx?DRILLHOLE_NO=191681","Geol Survey Link")</f>
        <v>Geol Survey Link</v>
      </c>
      <c r="I2159">
        <v>-30.800599999999999</v>
      </c>
      <c r="J2159">
        <v>134.59299999999999</v>
      </c>
    </row>
    <row r="2160" spans="1:11" x14ac:dyDescent="0.25">
      <c r="A2160" t="str">
        <f>HYPERLINK("http://www.corstruth.com.au/SA/191682_TAR_DD134_cs.png","191682_TAR_DD134_A4")</f>
        <v>191682_TAR_DD134_A4</v>
      </c>
      <c r="D2160">
        <v>191682</v>
      </c>
      <c r="E2160" t="s">
        <v>2163</v>
      </c>
      <c r="F2160" t="str">
        <f>HYPERLINK("https://drillhole.pir.sa.gov.au/Details.aspx?DRILLHOLE_NO=191682","Geol Survey Link")</f>
        <v>Geol Survey Link</v>
      </c>
      <c r="I2160">
        <v>-30.799700000000001</v>
      </c>
      <c r="J2160">
        <v>134.59399999999999</v>
      </c>
    </row>
    <row r="2161" spans="1:11" x14ac:dyDescent="0.25">
      <c r="A2161" t="str">
        <f>HYPERLINK("http://www.corstruth.com.au/SA/191683_TAR_DD135_cs.png","191683_TAR_DD135_A4")</f>
        <v>191683_TAR_DD135_A4</v>
      </c>
      <c r="D2161">
        <v>191683</v>
      </c>
      <c r="E2161" t="s">
        <v>2163</v>
      </c>
      <c r="F2161" t="str">
        <f>HYPERLINK("https://drillhole.pir.sa.gov.au/Details.aspx?DRILLHOLE_NO=191683","Geol Survey Link")</f>
        <v>Geol Survey Link</v>
      </c>
      <c r="I2161">
        <v>-30.799299999999999</v>
      </c>
      <c r="J2161">
        <v>134.59399999999999</v>
      </c>
    </row>
    <row r="2162" spans="1:11" x14ac:dyDescent="0.25">
      <c r="A2162" t="str">
        <f>HYPERLINK("http://www.corstruth.com.au/SA/191684_TAR_DD136_cs.png","191684_TAR_DD136_A4")</f>
        <v>191684_TAR_DD136_A4</v>
      </c>
      <c r="D2162">
        <v>191684</v>
      </c>
      <c r="E2162" t="s">
        <v>2163</v>
      </c>
      <c r="F2162" t="str">
        <f>HYPERLINK("https://drillhole.pir.sa.gov.au/Details.aspx?DRILLHOLE_NO=191684","Geol Survey Link")</f>
        <v>Geol Survey Link</v>
      </c>
      <c r="I2162">
        <v>-30.7989</v>
      </c>
      <c r="J2162">
        <v>134.59399999999999</v>
      </c>
    </row>
    <row r="2163" spans="1:11" x14ac:dyDescent="0.25">
      <c r="A2163" t="str">
        <f>HYPERLINK("http://www.corstruth.com.au/SA/191685_KLHRDD1_cs.png","191685_KLHRDD1_A4")</f>
        <v>191685_KLHRDD1_A4</v>
      </c>
      <c r="D2163">
        <v>191685</v>
      </c>
      <c r="E2163" t="s">
        <v>2163</v>
      </c>
      <c r="F2163" t="str">
        <f>HYPERLINK("https://drillhole.pir.sa.gov.au/Details.aspx?DRILLHOLE_NO=191685","Geol Survey Link")</f>
        <v>Geol Survey Link</v>
      </c>
      <c r="I2163">
        <v>-31.035499999999999</v>
      </c>
      <c r="J2163">
        <v>135.124</v>
      </c>
    </row>
    <row r="2164" spans="1:11" x14ac:dyDescent="0.25">
      <c r="A2164" t="str">
        <f>HYPERLINK("http://www.corstruth.com.au/SA/191686_THHRDD1_cs.png","191686_THHRDD1_A4")</f>
        <v>191686_THHRDD1_A4</v>
      </c>
      <c r="D2164">
        <v>191686</v>
      </c>
      <c r="E2164" t="s">
        <v>2163</v>
      </c>
      <c r="F2164" t="str">
        <f>HYPERLINK("https://drillhole.pir.sa.gov.au/Details.aspx?DRILLHOLE_NO=191686","Geol Survey Link")</f>
        <v>Geol Survey Link</v>
      </c>
      <c r="I2164">
        <v>-30.951899999999998</v>
      </c>
      <c r="J2164">
        <v>134.917</v>
      </c>
    </row>
    <row r="2165" spans="1:11" x14ac:dyDescent="0.25">
      <c r="A2165" t="str">
        <f>HYPERLINK("http://www.corstruth.com.au/SA/191687_TMWRDD1_cs.png","191687_TMWRDD1_A4")</f>
        <v>191687_TMWRDD1_A4</v>
      </c>
      <c r="D2165">
        <v>191687</v>
      </c>
      <c r="E2165" t="s">
        <v>2163</v>
      </c>
      <c r="F2165" t="str">
        <f>HYPERLINK("https://drillhole.pir.sa.gov.au/Details.aspx?DRILLHOLE_NO=191687","Geol Survey Link")</f>
        <v>Geol Survey Link</v>
      </c>
      <c r="I2165">
        <v>-30.800699999999999</v>
      </c>
      <c r="J2165">
        <v>134.59299999999999</v>
      </c>
    </row>
    <row r="2166" spans="1:11" x14ac:dyDescent="0.25">
      <c r="A2166" t="str">
        <f>HYPERLINK("http://www.corstruth.com.au/SA/192428_MALD1_cs.png","192428_MALD1_A4")</f>
        <v>192428_MALD1_A4</v>
      </c>
      <c r="B2166" t="str">
        <f>HYPERLINK("http://www.corstruth.com.au/SA/PNG2/192428_MALD1_cs.png","192428_MALD1_0.25m Bins")</f>
        <v>192428_MALD1_0.25m Bins</v>
      </c>
      <c r="C2166" t="str">
        <f>HYPERLINK("http://www.corstruth.com.au/SA/CSV/192428_MALD1.csv","192428_MALD1_CSV File 1m Bins")</f>
        <v>192428_MALD1_CSV File 1m Bins</v>
      </c>
      <c r="D2166">
        <v>192428</v>
      </c>
      <c r="E2166" t="s">
        <v>2163</v>
      </c>
      <c r="F2166" t="str">
        <f>HYPERLINK("https://drillhole.pir.sa.gov.au/Details.aspx?DRILLHOLE_NO=192428","Geol Survey Link")</f>
        <v>Geol Survey Link</v>
      </c>
      <c r="I2166">
        <v>-33.876800000000003</v>
      </c>
      <c r="J2166">
        <v>137.74600000000001</v>
      </c>
      <c r="K2166" t="str">
        <f>HYPERLINK("https://sarigdata.pir.sa.gov.au/nvcl/NVCLDataServices/mosaic.html?datasetid=2cee0bd5-49e4-4964-a2d2-5c31b269302","192428_MALD1_Core Image")</f>
        <v>192428_MALD1_Core Image</v>
      </c>
    </row>
    <row r="2167" spans="1:11" x14ac:dyDescent="0.25">
      <c r="A2167" t="str">
        <f>HYPERLINK("http://www.corstruth.com.au/SA/192444_MD31_cs.png","192444_MD31_A4")</f>
        <v>192444_MD31_A4</v>
      </c>
      <c r="B2167" t="str">
        <f>HYPERLINK("http://www.corstruth.com.au/SA/PNG2/192444_MD31_cs.png","192444_MD31_0.25m Bins")</f>
        <v>192444_MD31_0.25m Bins</v>
      </c>
      <c r="C2167" t="str">
        <f>HYPERLINK("http://www.corstruth.com.au/SA/CSV/192444_MD31.csv","192444_MD31_CSV File 1m Bins")</f>
        <v>192444_MD31_CSV File 1m Bins</v>
      </c>
      <c r="D2167">
        <v>192444</v>
      </c>
      <c r="E2167" t="s">
        <v>2163</v>
      </c>
      <c r="F2167" t="str">
        <f>HYPERLINK("https://drillhole.pir.sa.gov.au/Details.aspx?DRILLHOLE_NO=192444","Geol Survey Link")</f>
        <v>Geol Survey Link</v>
      </c>
      <c r="I2167">
        <v>-32.656100000000002</v>
      </c>
      <c r="J2167">
        <v>136.41800000000001</v>
      </c>
      <c r="K2167" t="str">
        <f>HYPERLINK("https://sarigdata.pir.sa.gov.au/nvcl/NVCLDataServices/mosaic.html?datasetid=1beece22-3a61-4fdb-a614-97288a94397","192444_MD31_Core Image")</f>
        <v>192444_MD31_Core Image</v>
      </c>
    </row>
    <row r="2168" spans="1:11" x14ac:dyDescent="0.25">
      <c r="A2168" t="str">
        <f>HYPERLINK("http://www.corstruth.com.au/SA/192450_MD15_cs.png","192450_MD15_A4")</f>
        <v>192450_MD15_A4</v>
      </c>
      <c r="B2168" t="str">
        <f>HYPERLINK("http://www.corstruth.com.au/SA/PNG2/192450_MD15_cs.png","192450_MD15_0.25m Bins")</f>
        <v>192450_MD15_0.25m Bins</v>
      </c>
      <c r="C2168" t="str">
        <f>HYPERLINK("http://www.corstruth.com.au/SA/CSV/192450_MD15.csv","192450_MD15_CSV File 1m Bins")</f>
        <v>192450_MD15_CSV File 1m Bins</v>
      </c>
      <c r="D2168">
        <v>192450</v>
      </c>
      <c r="E2168" t="s">
        <v>2163</v>
      </c>
      <c r="F2168" t="str">
        <f>HYPERLINK("https://drillhole.pir.sa.gov.au/Details.aspx?DRILLHOLE_NO=192450","Geol Survey Link")</f>
        <v>Geol Survey Link</v>
      </c>
      <c r="I2168">
        <v>-32.643799999999999</v>
      </c>
      <c r="J2168">
        <v>136.417</v>
      </c>
      <c r="K2168" t="str">
        <f>HYPERLINK("https://sarigdata.pir.sa.gov.au/nvcl/NVCLDataServices/mosaic.html?datasetid=5e45740e-b5c0-40d0-aad0-ab48f2989bc","192450_MD15_Core Image")</f>
        <v>192450_MD15_Core Image</v>
      </c>
    </row>
    <row r="2169" spans="1:11" x14ac:dyDescent="0.25">
      <c r="A2169" t="str">
        <f>HYPERLINK("http://www.corstruth.com.au/SA/192451_MD16_cs.png","192451_MD16_A4")</f>
        <v>192451_MD16_A4</v>
      </c>
      <c r="B2169" t="str">
        <f>HYPERLINK("http://www.corstruth.com.au/SA/PNG2/192451_MD16_cs.png","192451_MD16_0.25m Bins")</f>
        <v>192451_MD16_0.25m Bins</v>
      </c>
      <c r="C2169" t="str">
        <f>HYPERLINK("http://www.corstruth.com.au/SA/CSV/192451_MD16.csv","192451_MD16_CSV File 1m Bins")</f>
        <v>192451_MD16_CSV File 1m Bins</v>
      </c>
      <c r="D2169">
        <v>192451</v>
      </c>
      <c r="E2169" t="s">
        <v>2163</v>
      </c>
      <c r="F2169" t="str">
        <f>HYPERLINK("https://drillhole.pir.sa.gov.au/Details.aspx?DRILLHOLE_NO=192451","Geol Survey Link")</f>
        <v>Geol Survey Link</v>
      </c>
      <c r="I2169">
        <v>-32.643700000000003</v>
      </c>
      <c r="J2169">
        <v>136.42099999999999</v>
      </c>
      <c r="K2169" t="str">
        <f>HYPERLINK("https://sarigdata.pir.sa.gov.au/nvcl/NVCLDataServices/mosaic.html?datasetid=600f0c56-ceb3-4319-86e8-5a6a6d65711","192451_MD16_Core Image")</f>
        <v>192451_MD16_Core Image</v>
      </c>
    </row>
    <row r="2170" spans="1:11" x14ac:dyDescent="0.25">
      <c r="A2170" t="str">
        <f>HYPERLINK("http://www.corstruth.com.au/SA/192452_MD17_cs.png","192452_MD17_A4")</f>
        <v>192452_MD17_A4</v>
      </c>
      <c r="B2170" t="str">
        <f>HYPERLINK("http://www.corstruth.com.au/SA/PNG2/192452_MD17_cs.png","192452_MD17_0.25m Bins")</f>
        <v>192452_MD17_0.25m Bins</v>
      </c>
      <c r="C2170" t="str">
        <f>HYPERLINK("http://www.corstruth.com.au/SA/CSV/192452_MD17.csv","192452_MD17_CSV File 1m Bins")</f>
        <v>192452_MD17_CSV File 1m Bins</v>
      </c>
      <c r="D2170">
        <v>192452</v>
      </c>
      <c r="E2170" t="s">
        <v>2163</v>
      </c>
      <c r="F2170" t="str">
        <f>HYPERLINK("https://drillhole.pir.sa.gov.au/Details.aspx?DRILLHOLE_NO=192452","Geol Survey Link")</f>
        <v>Geol Survey Link</v>
      </c>
      <c r="I2170">
        <v>-32.649299999999997</v>
      </c>
      <c r="J2170">
        <v>136.416</v>
      </c>
      <c r="K2170" t="str">
        <f>HYPERLINK("https://sarigdata.pir.sa.gov.au/nvcl/NVCLDataServices/mosaic.html?datasetid=9a7d07d9-13b5-49c8-bee4-57ddc7224df","192452_MD17_Core Image")</f>
        <v>192452_MD17_Core Image</v>
      </c>
    </row>
    <row r="2171" spans="1:11" x14ac:dyDescent="0.25">
      <c r="A2171" t="str">
        <f>HYPERLINK("http://www.corstruth.com.au/SA/192453_MD18_cs.png","192453_MD18_A4")</f>
        <v>192453_MD18_A4</v>
      </c>
      <c r="B2171" t="str">
        <f>HYPERLINK("http://www.corstruth.com.au/SA/PNG2/192453_MD18_cs.png","192453_MD18_0.25m Bins")</f>
        <v>192453_MD18_0.25m Bins</v>
      </c>
      <c r="C2171" t="str">
        <f>HYPERLINK("http://www.corstruth.com.au/SA/CSV/192453_MD18.csv","192453_MD18_CSV File 1m Bins")</f>
        <v>192453_MD18_CSV File 1m Bins</v>
      </c>
      <c r="D2171">
        <v>192453</v>
      </c>
      <c r="E2171" t="s">
        <v>2163</v>
      </c>
      <c r="F2171" t="str">
        <f>HYPERLINK("https://drillhole.pir.sa.gov.au/Details.aspx?DRILLHOLE_NO=192453","Geol Survey Link")</f>
        <v>Geol Survey Link</v>
      </c>
      <c r="I2171">
        <v>-32.652900000000002</v>
      </c>
      <c r="J2171">
        <v>136.41399999999999</v>
      </c>
      <c r="K2171" t="str">
        <f>HYPERLINK("https://sarigdata.pir.sa.gov.au/nvcl/NVCLDataServices/mosaic.html?datasetid=6ab8c0fc-cac1-45b3-863b-10c6f66ed3a","192453_MD18_Core Image")</f>
        <v>192453_MD18_Core Image</v>
      </c>
    </row>
    <row r="2172" spans="1:11" x14ac:dyDescent="0.25">
      <c r="A2172" t="str">
        <f>HYPERLINK("http://www.corstruth.com.au/SA/192454_MD19_cs.png","192454_MD19_A4")</f>
        <v>192454_MD19_A4</v>
      </c>
      <c r="B2172" t="str">
        <f>HYPERLINK("http://www.corstruth.com.au/SA/PNG2/192454_MD19_cs.png","192454_MD19_0.25m Bins")</f>
        <v>192454_MD19_0.25m Bins</v>
      </c>
      <c r="C2172" t="str">
        <f>HYPERLINK("http://www.corstruth.com.au/SA/CSV/192454_MD19.csv","192454_MD19_CSV File 1m Bins")</f>
        <v>192454_MD19_CSV File 1m Bins</v>
      </c>
      <c r="D2172">
        <v>192454</v>
      </c>
      <c r="E2172" t="s">
        <v>2163</v>
      </c>
      <c r="F2172" t="str">
        <f>HYPERLINK("https://drillhole.pir.sa.gov.au/Details.aspx?DRILLHOLE_NO=192454","Geol Survey Link")</f>
        <v>Geol Survey Link</v>
      </c>
      <c r="I2172">
        <v>-32.652900000000002</v>
      </c>
      <c r="J2172">
        <v>136.41900000000001</v>
      </c>
      <c r="K2172" t="str">
        <f>HYPERLINK("https://sarigdata.pir.sa.gov.au/nvcl/NVCLDataServices/mosaic.html?datasetid=98978b81-bcfc-4990-85b4-c68731efbd4","192454_MD19_Core Image")</f>
        <v>192454_MD19_Core Image</v>
      </c>
    </row>
    <row r="2173" spans="1:11" x14ac:dyDescent="0.25">
      <c r="A2173" t="str">
        <f>HYPERLINK("http://www.corstruth.com.au/SA/192458_MD24_cs.png","192458_MD24_A4")</f>
        <v>192458_MD24_A4</v>
      </c>
      <c r="B2173" t="str">
        <f>HYPERLINK("http://www.corstruth.com.au/SA/PNG2/192458_MD24_cs.png","192458_MD24_0.25m Bins")</f>
        <v>192458_MD24_0.25m Bins</v>
      </c>
      <c r="C2173" t="str">
        <f>HYPERLINK("http://www.corstruth.com.au/SA/CSV/192458_MD24.csv","192458_MD24_CSV File 1m Bins")</f>
        <v>192458_MD24_CSV File 1m Bins</v>
      </c>
      <c r="D2173">
        <v>192458</v>
      </c>
      <c r="E2173" t="s">
        <v>2163</v>
      </c>
      <c r="F2173" t="str">
        <f>HYPERLINK("https://drillhole.pir.sa.gov.au/Details.aspx?DRILLHOLE_NO=192458","Geol Survey Link")</f>
        <v>Geol Survey Link</v>
      </c>
      <c r="I2173">
        <v>-32.6477</v>
      </c>
      <c r="J2173">
        <v>136.416</v>
      </c>
      <c r="K2173" t="str">
        <f>HYPERLINK("https://sarigdata.pir.sa.gov.au/nvcl/NVCLDataServices/mosaic.html?datasetid=ae5a0341-610f-414b-b30b-bf9f36d4628","192458_MD24_Core Image")</f>
        <v>192458_MD24_Core Image</v>
      </c>
    </row>
    <row r="2174" spans="1:11" x14ac:dyDescent="0.25">
      <c r="A2174" t="str">
        <f>HYPERLINK("http://www.corstruth.com.au/SA/192459_MD25_cs.png","192459_MD25_A4")</f>
        <v>192459_MD25_A4</v>
      </c>
      <c r="B2174" t="str">
        <f>HYPERLINK("http://www.corstruth.com.au/SA/PNG2/192459_MD25_cs.png","192459_MD25_0.25m Bins")</f>
        <v>192459_MD25_0.25m Bins</v>
      </c>
      <c r="C2174" t="str">
        <f>HYPERLINK("http://www.corstruth.com.au/SA/CSV/192459_MD25.csv","192459_MD25_CSV File 1m Bins")</f>
        <v>192459_MD25_CSV File 1m Bins</v>
      </c>
      <c r="D2174">
        <v>192459</v>
      </c>
      <c r="E2174" t="s">
        <v>2163</v>
      </c>
      <c r="F2174" t="str">
        <f>HYPERLINK("https://drillhole.pir.sa.gov.au/Details.aspx?DRILLHOLE_NO=192459","Geol Survey Link")</f>
        <v>Geol Survey Link</v>
      </c>
      <c r="I2174">
        <v>-32.656700000000001</v>
      </c>
      <c r="J2174">
        <v>136.41499999999999</v>
      </c>
      <c r="K2174" t="str">
        <f>HYPERLINK("https://sarigdata.pir.sa.gov.au/nvcl/NVCLDataServices/mosaic.html?datasetid=e6248ab9-3cb7-4f39-9c41-1765ee4e7df","192459_MD25_Core Image")</f>
        <v>192459_MD25_Core Image</v>
      </c>
    </row>
    <row r="2175" spans="1:11" x14ac:dyDescent="0.25">
      <c r="A2175" t="str">
        <f>HYPERLINK("http://www.corstruth.com.au/SA/192464_MD32_cs.png","192464_MD32_A4")</f>
        <v>192464_MD32_A4</v>
      </c>
      <c r="B2175" t="str">
        <f>HYPERLINK("http://www.corstruth.com.au/SA/PNG2/192464_MD32_cs.png","192464_MD32_0.25m Bins")</f>
        <v>192464_MD32_0.25m Bins</v>
      </c>
      <c r="C2175" t="str">
        <f>HYPERLINK("http://www.corstruth.com.au/SA/CSV/192464_MD32.csv","192464_MD32_CSV File 1m Bins")</f>
        <v>192464_MD32_CSV File 1m Bins</v>
      </c>
      <c r="D2175">
        <v>192464</v>
      </c>
      <c r="E2175" t="s">
        <v>2163</v>
      </c>
      <c r="F2175" t="str">
        <f>HYPERLINK("https://drillhole.pir.sa.gov.au/Details.aspx?DRILLHOLE_NO=192464","Geol Survey Link")</f>
        <v>Geol Survey Link</v>
      </c>
      <c r="I2175">
        <v>-32.661700000000003</v>
      </c>
      <c r="J2175">
        <v>136.417</v>
      </c>
      <c r="K2175" t="str">
        <f>HYPERLINK("https://sarigdata.pir.sa.gov.au/nvcl/NVCLDataServices/mosaic.html?datasetid=8af76cac-12af-4470-9dba-41e4d639bc5","192464_MD32_Core Image")</f>
        <v>192464_MD32_Core Image</v>
      </c>
    </row>
    <row r="2176" spans="1:11" x14ac:dyDescent="0.25">
      <c r="A2176" t="str">
        <f>HYPERLINK("http://www.corstruth.com.au/SA/193082_PDBN_134_cs.png","193082_PDBN_134_A4")</f>
        <v>193082_PDBN_134_A4</v>
      </c>
      <c r="B2176" t="str">
        <f>HYPERLINK("http://www.corstruth.com.au/SA/PNG2/193082_PDBN_134_cs.png","193082_PDBN_134_0.25m Bins")</f>
        <v>193082_PDBN_134_0.25m Bins</v>
      </c>
      <c r="C2176" t="str">
        <f>HYPERLINK("http://www.corstruth.com.au/SA/CSV/193082_PDBN_134.csv","193082_PDBN_134_CSV File 1m Bins")</f>
        <v>193082_PDBN_134_CSV File 1m Bins</v>
      </c>
      <c r="D2176">
        <v>193082</v>
      </c>
      <c r="E2176" t="s">
        <v>2163</v>
      </c>
      <c r="F2176" t="str">
        <f>HYPERLINK("https://drillhole.pir.sa.gov.au/Details.aspx?DRILLHOLE_NO=193082","Geol Survey Link")</f>
        <v>Geol Survey Link</v>
      </c>
      <c r="I2176">
        <v>-32.842799999999997</v>
      </c>
      <c r="J2176">
        <v>135.452</v>
      </c>
      <c r="K2176" t="str">
        <f>HYPERLINK("https://sarigdata.pir.sa.gov.au/nvcl/NVCLDataServices/mosaic.html?datasetid=4b593564-6d65-4b1a-809b-8532e4ede96","193082_PDBN_134_Core Image")</f>
        <v>193082_PDBN_134_Core Image</v>
      </c>
    </row>
    <row r="2177" spans="1:11" x14ac:dyDescent="0.25">
      <c r="A2177" t="str">
        <f>HYPERLINK("http://www.corstruth.com.au/SA/193505_MD30_cs.png","193505_MD30_A4")</f>
        <v>193505_MD30_A4</v>
      </c>
      <c r="B2177" t="str">
        <f>HYPERLINK("http://www.corstruth.com.au/SA/PNG2/193505_MD30_cs.png","193505_MD30_0.25m Bins")</f>
        <v>193505_MD30_0.25m Bins</v>
      </c>
      <c r="C2177" t="str">
        <f>HYPERLINK("http://www.corstruth.com.au/SA/CSV/193505_MD30.csv","193505_MD30_CSV File 1m Bins")</f>
        <v>193505_MD30_CSV File 1m Bins</v>
      </c>
      <c r="D2177">
        <v>193505</v>
      </c>
      <c r="E2177" t="s">
        <v>2163</v>
      </c>
      <c r="F2177" t="str">
        <f>HYPERLINK("https://drillhole.pir.sa.gov.au/Details.aspx?DRILLHOLE_NO=193505","Geol Survey Link")</f>
        <v>Geol Survey Link</v>
      </c>
      <c r="I2177">
        <v>-32.658499999999997</v>
      </c>
      <c r="J2177">
        <v>136.417</v>
      </c>
      <c r="K2177" t="str">
        <f>HYPERLINK("https://sarigdata.pir.sa.gov.au/nvcl/NVCLDataServices/mosaic.html?datasetid=a95c4df3-37b0-4189-b1dc-a75dab00af9","193505_MD30_Core Image")</f>
        <v>193505_MD30_Core Image</v>
      </c>
    </row>
    <row r="2178" spans="1:11" x14ac:dyDescent="0.25">
      <c r="A2178" t="str">
        <f>HYPERLINK("http://www.corstruth.com.au/SA/193681_MALD2_cs.png","193681_MALD2_A4")</f>
        <v>193681_MALD2_A4</v>
      </c>
      <c r="D2178">
        <v>193681</v>
      </c>
      <c r="E2178" t="s">
        <v>2163</v>
      </c>
      <c r="F2178" t="str">
        <f>HYPERLINK("https://drillhole.pir.sa.gov.au/Details.aspx?DRILLHOLE_NO=193681","Geol Survey Link")</f>
        <v>Geol Survey Link</v>
      </c>
      <c r="I2178">
        <v>-33.875799999999998</v>
      </c>
      <c r="J2178">
        <v>137.744</v>
      </c>
    </row>
    <row r="2179" spans="1:11" x14ac:dyDescent="0.25">
      <c r="A2179" t="str">
        <f>HYPERLINK("http://www.corstruth.com.au/SA/193682_MALD3_cs.png","193682_MALD3_A4")</f>
        <v>193682_MALD3_A4</v>
      </c>
      <c r="D2179">
        <v>193682</v>
      </c>
      <c r="E2179" t="s">
        <v>2163</v>
      </c>
      <c r="F2179" t="str">
        <f>HYPERLINK("https://drillhole.pir.sa.gov.au/Details.aspx?DRILLHOLE_NO=193682","Geol Survey Link")</f>
        <v>Geol Survey Link</v>
      </c>
      <c r="I2179">
        <v>-33.875999999999998</v>
      </c>
      <c r="J2179">
        <v>137.744</v>
      </c>
    </row>
    <row r="2180" spans="1:11" x14ac:dyDescent="0.25">
      <c r="A2180" t="str">
        <f>HYPERLINK("http://www.corstruth.com.au/SA/193683_MAWD1_cs.png","193683_MAWD1_A4")</f>
        <v>193683_MAWD1_A4</v>
      </c>
      <c r="B2180" t="str">
        <f>HYPERLINK("http://www.corstruth.com.au/SA/PNG2/193683_MAWD1_cs.png","193683_MAWD1_0.25m Bins")</f>
        <v>193683_MAWD1_0.25m Bins</v>
      </c>
      <c r="C2180" t="str">
        <f>HYPERLINK("http://www.corstruth.com.au/SA/CSV/193683_MAWD1.csv","193683_MAWD1_CSV File 1m Bins")</f>
        <v>193683_MAWD1_CSV File 1m Bins</v>
      </c>
      <c r="D2180">
        <v>193683</v>
      </c>
      <c r="E2180" t="s">
        <v>2163</v>
      </c>
      <c r="F2180" t="str">
        <f>HYPERLINK("https://drillhole.pir.sa.gov.au/Details.aspx?DRILLHOLE_NO=193683","Geol Survey Link")</f>
        <v>Geol Survey Link</v>
      </c>
      <c r="I2180">
        <v>-33.893999999999998</v>
      </c>
      <c r="J2180">
        <v>137.67400000000001</v>
      </c>
      <c r="K2180" t="str">
        <f>HYPERLINK("https://sarigdata.pir.sa.gov.au/nvcl/NVCLDataServices/mosaic.html?datasetid=0b9a6b77-d8f0-42c0-8a15-51a6d7db2dd","193683_MAWD1_Core Image")</f>
        <v>193683_MAWD1_Core Image</v>
      </c>
    </row>
    <row r="2181" spans="1:11" x14ac:dyDescent="0.25">
      <c r="A2181" t="str">
        <f>HYPERLINK("http://www.corstruth.com.au/SA/194931_PDBN_135_cs.png","194931_PDBN_135_A4")</f>
        <v>194931_PDBN_135_A4</v>
      </c>
      <c r="B2181" t="str">
        <f>HYPERLINK("http://www.corstruth.com.au/SA/PNG2/194931_PDBN_135_cs.png","194931_PDBN_135_0.25m Bins")</f>
        <v>194931_PDBN_135_0.25m Bins</v>
      </c>
      <c r="C2181" t="str">
        <f>HYPERLINK("http://www.corstruth.com.au/SA/CSV/194931_PDBN_135.csv","194931_PDBN_135_CSV File 1m Bins")</f>
        <v>194931_PDBN_135_CSV File 1m Bins</v>
      </c>
      <c r="D2181">
        <v>194931</v>
      </c>
      <c r="E2181" t="s">
        <v>2163</v>
      </c>
      <c r="F2181" t="str">
        <f>HYPERLINK("https://drillhole.pir.sa.gov.au/Details.aspx?DRILLHOLE_NO=194931","Geol Survey Link")</f>
        <v>Geol Survey Link</v>
      </c>
      <c r="I2181">
        <v>-32.842199999999998</v>
      </c>
      <c r="J2181">
        <v>135.453</v>
      </c>
      <c r="K2181" t="str">
        <f>HYPERLINK("https://sarigdata.pir.sa.gov.au/nvcl/NVCLDataServices/mosaic.html?datasetid=602b7b03-094d-4257-8fec-4ce0dd6f015","194931_PDBN_135_Core Image")</f>
        <v>194931_PDBN_135_Core Image</v>
      </c>
    </row>
    <row r="2182" spans="1:11" x14ac:dyDescent="0.25">
      <c r="A2182" t="str">
        <f>HYPERLINK("http://www.corstruth.com.au/SA/194932_PDBN136_cs.png","194932_PDBN136_A4")</f>
        <v>194932_PDBN136_A4</v>
      </c>
      <c r="B2182" t="str">
        <f>HYPERLINK("http://www.corstruth.com.au/SA/PNG2/194932_PDBN136_cs.png","194932_PDBN136_0.25m Bins")</f>
        <v>194932_PDBN136_0.25m Bins</v>
      </c>
      <c r="C2182" t="str">
        <f>HYPERLINK("http://www.corstruth.com.au/SA/CSV/194932_PDBN136.csv","194932_PDBN136_CSV File 1m Bins")</f>
        <v>194932_PDBN136_CSV File 1m Bins</v>
      </c>
      <c r="D2182">
        <v>194932</v>
      </c>
      <c r="E2182" t="s">
        <v>2163</v>
      </c>
      <c r="F2182" t="str">
        <f>HYPERLINK("https://drillhole.pir.sa.gov.au/Details.aspx?DRILLHOLE_NO=194932","Geol Survey Link")</f>
        <v>Geol Survey Link</v>
      </c>
      <c r="I2182">
        <v>-32.842599999999997</v>
      </c>
      <c r="J2182">
        <v>135.453</v>
      </c>
      <c r="K2182" t="str">
        <f>HYPERLINK("https://sarigdata.pir.sa.gov.au/nvcl/NVCLDataServices/mosaic.html?datasetid=63fabd08-a86a-4bc7-b01b-32e827ff79f","194932_PDBN136_Core Image")</f>
        <v>194932_PDBN136_Core Image</v>
      </c>
    </row>
    <row r="2183" spans="1:11" x14ac:dyDescent="0.25">
      <c r="A2183" t="str">
        <f>HYPERLINK("http://www.corstruth.com.au/SA/195689_HKDD06_cs.png","195689_HKDD06_A4")</f>
        <v>195689_HKDD06_A4</v>
      </c>
      <c r="B2183" t="str">
        <f>HYPERLINK("http://www.corstruth.com.au/SA/PNG2/195689_HKDD06_cs.png","195689_HKDD06_0.25m Bins")</f>
        <v>195689_HKDD06_0.25m Bins</v>
      </c>
      <c r="C2183" t="str">
        <f>HYPERLINK("http://www.corstruth.com.au/SA/CSV/195689_HKDD06.csv","195689_HKDD06_CSV File 1m Bins")</f>
        <v>195689_HKDD06_CSV File 1m Bins</v>
      </c>
      <c r="D2183">
        <v>195689</v>
      </c>
      <c r="E2183" t="s">
        <v>2163</v>
      </c>
      <c r="F2183" t="str">
        <f>HYPERLINK("https://drillhole.pir.sa.gov.au/Details.aspx?DRILLHOLE_NO=195689","Geol Survey Link")</f>
        <v>Geol Survey Link</v>
      </c>
      <c r="I2183">
        <v>-29.999700000000001</v>
      </c>
      <c r="J2183">
        <v>135.11699999999999</v>
      </c>
      <c r="K2183" t="str">
        <f>HYPERLINK("https://sarigdata.pir.sa.gov.au/nvcl/NVCLDataServices/mosaic.html?datasetid=67dab726-d0fb-48c0-b181-f867a4c0ac5","195689_HKDD06_Core Image")</f>
        <v>195689_HKDD06_Core Image</v>
      </c>
    </row>
    <row r="2184" spans="1:11" x14ac:dyDescent="0.25">
      <c r="A2184" t="str">
        <f>HYPERLINK("http://www.corstruth.com.au/SA/195690_HKDD07_cs.png","195690_HKDD07_A4")</f>
        <v>195690_HKDD07_A4</v>
      </c>
      <c r="B2184" t="str">
        <f>HYPERLINK("http://www.corstruth.com.au/SA/PNG2/195690_HKDD07_cs.png","195690_HKDD07_0.25m Bins")</f>
        <v>195690_HKDD07_0.25m Bins</v>
      </c>
      <c r="C2184" t="str">
        <f>HYPERLINK("http://www.corstruth.com.au/SA/CSV/195690_HKDD07.csv","195690_HKDD07_CSV File 1m Bins")</f>
        <v>195690_HKDD07_CSV File 1m Bins</v>
      </c>
      <c r="D2184">
        <v>195690</v>
      </c>
      <c r="E2184" t="s">
        <v>2163</v>
      </c>
      <c r="F2184" t="str">
        <f>HYPERLINK("https://drillhole.pir.sa.gov.au/Details.aspx?DRILLHOLE_NO=195690","Geol Survey Link")</f>
        <v>Geol Survey Link</v>
      </c>
      <c r="I2184">
        <v>-30.001000000000001</v>
      </c>
      <c r="J2184">
        <v>135.11500000000001</v>
      </c>
      <c r="K2184" t="str">
        <f>HYPERLINK("https://sarigdata.pir.sa.gov.au/nvcl/NVCLDataServices/mosaic.html?datasetid=6d2a7aad-e651-402f-80f3-51297d85e3b","195690_HKDD07_Core Image")</f>
        <v>195690_HKDD07_Core Image</v>
      </c>
    </row>
    <row r="2185" spans="1:11" x14ac:dyDescent="0.25">
      <c r="A2185" t="str">
        <f>HYPERLINK("http://www.corstruth.com.au/SA/195691_HKDD08_cs.png","195691_HKDD08_A4")</f>
        <v>195691_HKDD08_A4</v>
      </c>
      <c r="B2185" t="str">
        <f>HYPERLINK("http://www.corstruth.com.au/SA/PNG2/195691_HKDD08_cs.png","195691_HKDD08_0.25m Bins")</f>
        <v>195691_HKDD08_0.25m Bins</v>
      </c>
      <c r="C2185" t="str">
        <f>HYPERLINK("http://www.corstruth.com.au/SA/CSV/195691_HKDD08.csv","195691_HKDD08_CSV File 1m Bins")</f>
        <v>195691_HKDD08_CSV File 1m Bins</v>
      </c>
      <c r="D2185">
        <v>195691</v>
      </c>
      <c r="E2185" t="s">
        <v>2163</v>
      </c>
      <c r="F2185" t="str">
        <f>HYPERLINK("https://drillhole.pir.sa.gov.au/Details.aspx?DRILLHOLE_NO=195691","Geol Survey Link")</f>
        <v>Geol Survey Link</v>
      </c>
      <c r="I2185">
        <v>-29.999199999999998</v>
      </c>
      <c r="J2185">
        <v>135.11500000000001</v>
      </c>
      <c r="K2185" t="str">
        <f>HYPERLINK("https://sarigdata.pir.sa.gov.au/nvcl/NVCLDataServices/mosaic.html?datasetid=087f5377-6631-49bf-b9ab-210cd66b34e","195691_HKDD08_Core Image")</f>
        <v>195691_HKDD08_Core Image</v>
      </c>
    </row>
    <row r="2186" spans="1:11" x14ac:dyDescent="0.25">
      <c r="A2186" t="str">
        <f>HYPERLINK("http://www.corstruth.com.au/SA/195694_HKDD11_cs.png","195694_HKDD11_A4")</f>
        <v>195694_HKDD11_A4</v>
      </c>
      <c r="B2186" t="str">
        <f>HYPERLINK("http://www.corstruth.com.au/SA/PNG2/195694_HKDD11_cs.png","195694_HKDD11_0.25m Bins")</f>
        <v>195694_HKDD11_0.25m Bins</v>
      </c>
      <c r="C2186" t="str">
        <f>HYPERLINK("http://www.corstruth.com.au/SA/CSV/195694_HKDD11.csv","195694_HKDD11_CSV File 1m Bins")</f>
        <v>195694_HKDD11_CSV File 1m Bins</v>
      </c>
      <c r="D2186">
        <v>195694</v>
      </c>
      <c r="E2186" t="s">
        <v>2163</v>
      </c>
      <c r="F2186" t="str">
        <f>HYPERLINK("https://drillhole.pir.sa.gov.au/Details.aspx?DRILLHOLE_NO=195694","Geol Survey Link")</f>
        <v>Geol Survey Link</v>
      </c>
      <c r="I2186">
        <v>-29.999400000000001</v>
      </c>
      <c r="J2186">
        <v>135.11199999999999</v>
      </c>
      <c r="K2186" t="str">
        <f>HYPERLINK("https://sarigdata.pir.sa.gov.au/nvcl/NVCLDataServices/mosaic.html?datasetid=49881c00-b059-4723-a58e-9c6ebb82eb0","195694_HKDD11_Core Image")</f>
        <v>195694_HKDD11_Core Image</v>
      </c>
    </row>
    <row r="2187" spans="1:11" x14ac:dyDescent="0.25">
      <c r="A2187" t="str">
        <f>HYPERLINK("http://www.corstruth.com.au/SA/195697_HKDD14_cs.png","195697_HKDD14_A4")</f>
        <v>195697_HKDD14_A4</v>
      </c>
      <c r="B2187" t="str">
        <f>HYPERLINK("http://www.corstruth.com.au/SA/PNG2/195697_HKDD14_cs.png","195697_HKDD14_0.25m Bins")</f>
        <v>195697_HKDD14_0.25m Bins</v>
      </c>
      <c r="C2187" t="str">
        <f>HYPERLINK("http://www.corstruth.com.au/SA/CSV/195697_HKDD14.csv","195697_HKDD14_CSV File 1m Bins")</f>
        <v>195697_HKDD14_CSV File 1m Bins</v>
      </c>
      <c r="D2187">
        <v>195697</v>
      </c>
      <c r="E2187" t="s">
        <v>2163</v>
      </c>
      <c r="F2187" t="str">
        <f>HYPERLINK("https://drillhole.pir.sa.gov.au/Details.aspx?DRILLHOLE_NO=195697","Geol Survey Link")</f>
        <v>Geol Survey Link</v>
      </c>
      <c r="I2187">
        <v>-30.0001</v>
      </c>
      <c r="J2187">
        <v>135.119</v>
      </c>
      <c r="K2187" t="str">
        <f>HYPERLINK("https://sarigdata.pir.sa.gov.au/nvcl/NVCLDataServices/mosaic.html?datasetid=483d386b-a8ad-4e4a-8a02-b1fff925463","195697_HKDD14_Core Image")</f>
        <v>195697_HKDD14_Core Image</v>
      </c>
    </row>
    <row r="2188" spans="1:11" x14ac:dyDescent="0.25">
      <c r="A2188" t="str">
        <f>HYPERLINK("http://www.corstruth.com.au/SA/195698_HKDD15_cs.png","195698_HKDD15_A4")</f>
        <v>195698_HKDD15_A4</v>
      </c>
      <c r="B2188" t="str">
        <f>HYPERLINK("http://www.corstruth.com.au/SA/PNG2/195698_HKDD15_cs.png","195698_HKDD15_0.25m Bins")</f>
        <v>195698_HKDD15_0.25m Bins</v>
      </c>
      <c r="C2188" t="str">
        <f>HYPERLINK("http://www.corstruth.com.au/SA/CSV/195698_HKDD15.csv","195698_HKDD15_CSV File 1m Bins")</f>
        <v>195698_HKDD15_CSV File 1m Bins</v>
      </c>
      <c r="D2188">
        <v>195698</v>
      </c>
      <c r="E2188" t="s">
        <v>2163</v>
      </c>
      <c r="F2188" t="str">
        <f>HYPERLINK("https://drillhole.pir.sa.gov.au/Details.aspx?DRILLHOLE_NO=195698","Geol Survey Link")</f>
        <v>Geol Survey Link</v>
      </c>
      <c r="I2188">
        <v>-29.997299999999999</v>
      </c>
      <c r="J2188">
        <v>135.12100000000001</v>
      </c>
      <c r="K2188" t="str">
        <f>HYPERLINK("https://sarigdata.pir.sa.gov.au/nvcl/NVCLDataServices/mosaic.html?datasetid=ce600f92-4723-4214-b240-6d9179ab158","195698_HKDD15_Core Image")</f>
        <v>195698_HKDD15_Core Image</v>
      </c>
    </row>
    <row r="2189" spans="1:11" x14ac:dyDescent="0.25">
      <c r="A2189" t="str">
        <f>HYPERLINK("http://www.corstruth.com.au/SA/195700_HKDD17_cs.png","195700_HKDD17_A4")</f>
        <v>195700_HKDD17_A4</v>
      </c>
      <c r="B2189" t="str">
        <f>HYPERLINK("http://www.corstruth.com.au/SA/PNG2/195700_HKDD17_cs.png","195700_HKDD17_0.25m Bins")</f>
        <v>195700_HKDD17_0.25m Bins</v>
      </c>
      <c r="C2189" t="str">
        <f>HYPERLINK("http://www.corstruth.com.au/SA/CSV/195700_HKDD17.csv","195700_HKDD17_CSV File 1m Bins")</f>
        <v>195700_HKDD17_CSV File 1m Bins</v>
      </c>
      <c r="D2189">
        <v>195700</v>
      </c>
      <c r="E2189" t="s">
        <v>2163</v>
      </c>
      <c r="F2189" t="str">
        <f>HYPERLINK("https://drillhole.pir.sa.gov.au/Details.aspx?DRILLHOLE_NO=195700","Geol Survey Link")</f>
        <v>Geol Survey Link</v>
      </c>
      <c r="I2189">
        <v>-29.997900000000001</v>
      </c>
      <c r="J2189">
        <v>135.12200000000001</v>
      </c>
      <c r="K2189" t="str">
        <f>HYPERLINK("https://sarigdata.pir.sa.gov.au/nvcl/NVCLDataServices/mosaic.html?datasetid=94157bd0-a164-47b2-843e-dbb06e904ee","195700_HKDD17_Core Image")</f>
        <v>195700_HKDD17_Core Image</v>
      </c>
    </row>
    <row r="2190" spans="1:11" x14ac:dyDescent="0.25">
      <c r="A2190" t="str">
        <f>HYPERLINK("http://www.corstruth.com.au/SA/195896_RCDD03CSD002_cs.png","195896_RCDD03CSD002_A4")</f>
        <v>195896_RCDD03CSD002_A4</v>
      </c>
      <c r="D2190">
        <v>195896</v>
      </c>
      <c r="E2190" t="s">
        <v>2163</v>
      </c>
      <c r="F2190" t="str">
        <f>HYPERLINK("https://drillhole.pir.sa.gov.au/Details.aspx?DRILLHOLE_NO=195896","Geol Survey Link")</f>
        <v>Geol Survey Link</v>
      </c>
      <c r="I2190">
        <v>-29.653500000000001</v>
      </c>
      <c r="J2190">
        <v>137.45099999999999</v>
      </c>
    </row>
    <row r="2191" spans="1:11" x14ac:dyDescent="0.25">
      <c r="A2191" t="str">
        <f>HYPERLINK("http://www.corstruth.com.au/SA/196750_HYMOON_H84C_cs.png","196750_HYMOON_H84C_A4")</f>
        <v>196750_HYMOON_H84C_A4</v>
      </c>
      <c r="D2191">
        <v>196750</v>
      </c>
      <c r="E2191" t="s">
        <v>2163</v>
      </c>
      <c r="F2191" t="str">
        <f>HYPERLINK("https://drillhole.pir.sa.gov.au/Details.aspx?DRILLHOLE_NO=196750","Geol Survey Link")</f>
        <v>Geol Survey Link</v>
      </c>
      <c r="I2191">
        <v>-31.738900000000001</v>
      </c>
      <c r="J2191">
        <v>140.666</v>
      </c>
    </row>
    <row r="2192" spans="1:11" x14ac:dyDescent="0.25">
      <c r="A2192" t="str">
        <f>HYPERLINK("http://www.corstruth.com.au/SA/19796_Roopena_DDH1_cs.png","19796_Roopena_DDH1_A4")</f>
        <v>19796_Roopena_DDH1_A4</v>
      </c>
      <c r="B2192" t="str">
        <f>HYPERLINK("http://www.corstruth.com.au/SA/PNG2/19796_Roopena_DDH1_cs.png","19796_Roopena_DDH1_0.25m Bins")</f>
        <v>19796_Roopena_DDH1_0.25m Bins</v>
      </c>
      <c r="C2192" t="str">
        <f>HYPERLINK("http://www.corstruth.com.au/SA/CSV/19796_Roopena_DDH1.csv","19796_Roopena_DDH1_CSV File 1m Bins")</f>
        <v>19796_Roopena_DDH1_CSV File 1m Bins</v>
      </c>
      <c r="D2192">
        <v>19796</v>
      </c>
      <c r="E2192" t="s">
        <v>2163</v>
      </c>
      <c r="F2192" t="str">
        <f>HYPERLINK("https://drillhole.pir.sa.gov.au/Details.aspx?DRILLHOLE_NO=19796","Geol Survey Link")</f>
        <v>Geol Survey Link</v>
      </c>
      <c r="I2192">
        <v>-32.719000000000001</v>
      </c>
      <c r="J2192">
        <v>137.39599999999999</v>
      </c>
      <c r="K2192" t="str">
        <f>HYPERLINK("https://sarigdata.pir.sa.gov.au/nvcl/NVCLDataServices/mosaic.html?datasetid=8acc9eaf-2407-4857-b0bf-906a87c05c0","19796_Roopena_DDH1_Core Image")</f>
        <v>19796_Roopena_DDH1_Core Image</v>
      </c>
    </row>
    <row r="2193" spans="1:11" x14ac:dyDescent="0.25">
      <c r="A2193" t="str">
        <f>HYPERLINK("http://www.corstruth.com.au/SA/198441_HDD03_cs.png","198441_HDD03_A4")</f>
        <v>198441_HDD03_A4</v>
      </c>
      <c r="B2193" t="str">
        <f>HYPERLINK("http://www.corstruth.com.au/SA/PNG2/198441_HDD03_cs.png","198441_HDD03_0.25m Bins")</f>
        <v>198441_HDD03_0.25m Bins</v>
      </c>
      <c r="C2193" t="str">
        <f>HYPERLINK("http://www.corstruth.com.au/SA/CSV/198441_HDD03.csv","198441_HDD03_CSV File 1m Bins")</f>
        <v>198441_HDD03_CSV File 1m Bins</v>
      </c>
      <c r="D2193">
        <v>198441</v>
      </c>
      <c r="E2193" t="s">
        <v>2163</v>
      </c>
      <c r="F2193" t="str">
        <f>HYPERLINK("https://drillhole.pir.sa.gov.au/Details.aspx?DRILLHOLE_NO=198441","Geol Survey Link")</f>
        <v>Geol Survey Link</v>
      </c>
      <c r="I2193">
        <v>-31.6661</v>
      </c>
      <c r="J2193">
        <v>140.78</v>
      </c>
      <c r="K2193" t="str">
        <f>HYPERLINK("https://sarigdata.pir.sa.gov.au/nvcl/NVCLDataServices/mosaic.html?datasetid=baac6184-7a66-41e3-a21c-bbb7d1b9f61","198441_HDD03_Core Image")</f>
        <v>198441_HDD03_Core Image</v>
      </c>
    </row>
    <row r="2194" spans="1:11" x14ac:dyDescent="0.25">
      <c r="A2194" t="str">
        <f>HYPERLINK("http://www.corstruth.com.au/SA/19845_Roopena_DDH4_cs.png","19845_Roopena_DDH4_A4")</f>
        <v>19845_Roopena_DDH4_A4</v>
      </c>
      <c r="B2194" t="str">
        <f>HYPERLINK("http://www.corstruth.com.au/SA/PNG2/19845_Roopena_DDH4_cs.png","19845_Roopena_DDH4_0.25m Bins")</f>
        <v>19845_Roopena_DDH4_0.25m Bins</v>
      </c>
      <c r="C2194" t="str">
        <f>HYPERLINK("http://www.corstruth.com.au/SA/CSV/19845_Roopena_DDH4.csv","19845_Roopena_DDH4_CSV File 1m Bins")</f>
        <v>19845_Roopena_DDH4_CSV File 1m Bins</v>
      </c>
      <c r="D2194">
        <v>19845</v>
      </c>
      <c r="E2194" t="s">
        <v>2163</v>
      </c>
      <c r="F2194" t="str">
        <f>HYPERLINK("https://drillhole.pir.sa.gov.au/Details.aspx?DRILLHOLE_NO=19845","Geol Survey Link")</f>
        <v>Geol Survey Link</v>
      </c>
      <c r="I2194">
        <v>-32.720700000000001</v>
      </c>
      <c r="J2194">
        <v>137.399</v>
      </c>
      <c r="K2194" t="str">
        <f>HYPERLINK("https://sarigdata.pir.sa.gov.au/nvcl/NVCLDataServices/mosaic.html?datasetid=cbe85275-4e79-444f-aced-c5bbdde6757","19845_Roopena_DDH4_Core Image")</f>
        <v>19845_Roopena_DDH4_Core Image</v>
      </c>
    </row>
    <row r="2195" spans="1:11" x14ac:dyDescent="0.25">
      <c r="A2195" t="str">
        <f>HYPERLINK("http://www.corstruth.com.au/SA/198470_DD02MTG01_cs.png","198470_DD02MTG01_A4")</f>
        <v>198470_DD02MTG01_A4</v>
      </c>
      <c r="B2195" t="str">
        <f>HYPERLINK("http://www.corstruth.com.au/SA/PNG2/198470_DD02MTG01_cs.png","198470_DD02MTG01_0.25m Bins")</f>
        <v>198470_DD02MTG01_0.25m Bins</v>
      </c>
      <c r="C2195" t="str">
        <f>HYPERLINK("http://www.corstruth.com.au/SA/CSV/198470_DD02MTG01.csv","198470_DD02MTG01_CSV File 1m Bins")</f>
        <v>198470_DD02MTG01_CSV File 1m Bins</v>
      </c>
      <c r="D2195">
        <v>198470</v>
      </c>
      <c r="E2195" t="s">
        <v>2163</v>
      </c>
      <c r="F2195" t="str">
        <f>HYPERLINK("https://drillhole.pir.sa.gov.au/Details.aspx?DRILLHOLE_NO=198470","Geol Survey Link")</f>
        <v>Geol Survey Link</v>
      </c>
      <c r="I2195">
        <v>-30.227599999999999</v>
      </c>
      <c r="J2195">
        <v>139.33799999999999</v>
      </c>
      <c r="K2195" t="str">
        <f>HYPERLINK("https://sarigdata.pir.sa.gov.au/nvcl/NVCLDataServices/mosaic.html?datasetid=93850b79-8904-4e67-88f7-1eaf86536a8","198470_DD02MTG01_Core Image")</f>
        <v>198470_DD02MTG01_Core Image</v>
      </c>
    </row>
    <row r="2196" spans="1:11" x14ac:dyDescent="0.25">
      <c r="A2196" t="str">
        <f>HYPERLINK("http://www.corstruth.com.au/SA/19914_Corunna_CC_1_cs.png","19914_Corunna_CC_1_A4")</f>
        <v>19914_Corunna_CC_1_A4</v>
      </c>
      <c r="D2196">
        <v>19914</v>
      </c>
      <c r="E2196" t="s">
        <v>2163</v>
      </c>
      <c r="F2196" t="str">
        <f>HYPERLINK("https://drillhole.pir.sa.gov.au/Details.aspx?DRILLHOLE_NO=19914","Geol Survey Link")</f>
        <v>Geol Survey Link</v>
      </c>
      <c r="I2196">
        <v>-32.636600000000001</v>
      </c>
      <c r="J2196">
        <v>137.05600000000001</v>
      </c>
    </row>
    <row r="2197" spans="1:11" x14ac:dyDescent="0.25">
      <c r="A2197" t="str">
        <f>HYPERLINK("http://www.corstruth.com.au/SA/19915_Roopena_DDH6_cs.png","19915_Roopena_DDH6_A4")</f>
        <v>19915_Roopena_DDH6_A4</v>
      </c>
      <c r="B2197" t="str">
        <f>HYPERLINK("http://www.corstruth.com.au/SA/PNG2/19915_Roopena_DDH6_cs.png","19915_Roopena_DDH6_0.25m Bins")</f>
        <v>19915_Roopena_DDH6_0.25m Bins</v>
      </c>
      <c r="C2197" t="str">
        <f>HYPERLINK("http://www.corstruth.com.au/SA/CSV/19915_Roopena_DDH6.csv","19915_Roopena_DDH6_CSV File 1m Bins")</f>
        <v>19915_Roopena_DDH6_CSV File 1m Bins</v>
      </c>
      <c r="D2197">
        <v>19915</v>
      </c>
      <c r="E2197" t="s">
        <v>2163</v>
      </c>
      <c r="F2197" t="str">
        <f>HYPERLINK("https://drillhole.pir.sa.gov.au/Details.aspx?DRILLHOLE_NO=19915","Geol Survey Link")</f>
        <v>Geol Survey Link</v>
      </c>
      <c r="I2197">
        <v>-32.723399999999998</v>
      </c>
      <c r="J2197">
        <v>137.4</v>
      </c>
      <c r="K2197" t="str">
        <f>HYPERLINK("https://sarigdata.pir.sa.gov.au/nvcl/NVCLDataServices/mosaic.html?datasetid=fbcb6544-4ef5-4877-b676-09661cd4ef4","19915_Roopena_DDH6_Core Image")</f>
        <v>19915_Roopena_DDH6_Core Image</v>
      </c>
    </row>
    <row r="2198" spans="1:11" x14ac:dyDescent="0.25">
      <c r="A2198" t="str">
        <f>HYPERLINK("http://www.corstruth.com.au/SA/19916_Roopena_DDH5_cs.png","19916_Roopena_DDH5_A4")</f>
        <v>19916_Roopena_DDH5_A4</v>
      </c>
      <c r="B2198" t="str">
        <f>HYPERLINK("http://www.corstruth.com.au/SA/PNG2/19916_Roopena_DDH5_cs.png","19916_Roopena_DDH5_0.25m Bins")</f>
        <v>19916_Roopena_DDH5_0.25m Bins</v>
      </c>
      <c r="C2198" t="str">
        <f>HYPERLINK("http://www.corstruth.com.au/SA/CSV/19916_Roopena_DDH5.csv","19916_Roopena_DDH5_CSV File 1m Bins")</f>
        <v>19916_Roopena_DDH5_CSV File 1m Bins</v>
      </c>
      <c r="D2198">
        <v>19916</v>
      </c>
      <c r="E2198" t="s">
        <v>2163</v>
      </c>
      <c r="F2198" t="str">
        <f>HYPERLINK("https://drillhole.pir.sa.gov.au/Details.aspx?DRILLHOLE_NO=19916","Geol Survey Link")</f>
        <v>Geol Survey Link</v>
      </c>
      <c r="I2198">
        <v>-32.730899999999998</v>
      </c>
      <c r="J2198">
        <v>137.435</v>
      </c>
      <c r="K2198" t="str">
        <f>HYPERLINK("https://sarigdata.pir.sa.gov.au/nvcl/NVCLDataServices/mosaic.html?datasetid=9264a9b1-dae5-4999-8de0-53e94f5e4d1","19916_Roopena_DDH5_Core Image")</f>
        <v>19916_Roopena_DDH5_Core Image</v>
      </c>
    </row>
    <row r="2199" spans="1:11" x14ac:dyDescent="0.25">
      <c r="A2199" t="str">
        <f>HYPERLINK("http://www.corstruth.com.au/SA/200451_DD88MI_3_cs.png","200451_DD88MI_3_A4")</f>
        <v>200451_DD88MI_3_A4</v>
      </c>
      <c r="D2199">
        <v>200451</v>
      </c>
      <c r="E2199" t="s">
        <v>2163</v>
      </c>
      <c r="F2199" t="str">
        <f>HYPERLINK("https://drillhole.pir.sa.gov.au/Details.aspx?DRILLHOLE_NO=200451","Geol Survey Link")</f>
        <v>Geol Survey Link</v>
      </c>
      <c r="I2199">
        <v>-31.059899999999999</v>
      </c>
      <c r="J2199">
        <v>132.56399999999999</v>
      </c>
      <c r="K2199" t="str">
        <f>HYPERLINK("https://sarigdata.pir.sa.gov.au/nvcl/NVCLDataServices/mosaic.html?datasetid=48db8931-cdf2-45e5-a188-086fbe9bb43","200451_DD88MI_3_Core Image")</f>
        <v>200451_DD88MI_3_Core Image</v>
      </c>
    </row>
    <row r="2200" spans="1:11" x14ac:dyDescent="0.25">
      <c r="A2200" t="str">
        <f>HYPERLINK("http://www.corstruth.com.au/SA/201387_MPD04-15_cs.png","201387_MPD04-15_A4")</f>
        <v>201387_MPD04-15_A4</v>
      </c>
      <c r="D2200">
        <v>201387</v>
      </c>
      <c r="E2200" t="s">
        <v>2163</v>
      </c>
      <c r="F2200" t="str">
        <f>HYPERLINK("https://drillhole.pir.sa.gov.au/Details.aspx?DRILLHOLE_NO=201387","Geol Survey Link")</f>
        <v>Geol Survey Link</v>
      </c>
      <c r="I2200">
        <v>-33.8964</v>
      </c>
      <c r="J2200">
        <v>137.679</v>
      </c>
    </row>
    <row r="2201" spans="1:11" x14ac:dyDescent="0.25">
      <c r="A2201" t="str">
        <f>HYPERLINK("http://www.corstruth.com.au/SA/202280_RC-DD03SH001_cs.png","202280_RC-DD03SH001_A4")</f>
        <v>202280_RC-DD03SH001_A4</v>
      </c>
      <c r="D2201">
        <v>202280</v>
      </c>
      <c r="E2201" t="s">
        <v>2163</v>
      </c>
      <c r="F2201" t="str">
        <f>HYPERLINK("https://drillhole.pir.sa.gov.au/Details.aspx?DRILLHOLE_NO=202280","Geol Survey Link")</f>
        <v>Geol Survey Link</v>
      </c>
      <c r="I2201">
        <v>-30.214300000000001</v>
      </c>
      <c r="J2201">
        <v>137.10499999999999</v>
      </c>
    </row>
    <row r="2202" spans="1:11" x14ac:dyDescent="0.25">
      <c r="A2202" t="str">
        <f>HYPERLINK("http://www.corstruth.com.au/SA/202286_RC-DD03TI002_cs.png","202286_RC-DD03TI002_A4")</f>
        <v>202286_RC-DD03TI002_A4</v>
      </c>
      <c r="D2202">
        <v>202286</v>
      </c>
      <c r="E2202" t="s">
        <v>2163</v>
      </c>
      <c r="F2202" t="str">
        <f>HYPERLINK("https://drillhole.pir.sa.gov.au/Details.aspx?DRILLHOLE_NO=202286","Geol Survey Link")</f>
        <v>Geol Survey Link</v>
      </c>
      <c r="I2202">
        <v>-30.1526</v>
      </c>
      <c r="J2202">
        <v>136.84299999999999</v>
      </c>
    </row>
    <row r="2203" spans="1:11" x14ac:dyDescent="0.25">
      <c r="A2203" t="str">
        <f>HYPERLINK("http://www.corstruth.com.au/SA/20447_TR3_cs.png","20447_TR3_A4")</f>
        <v>20447_TR3_A4</v>
      </c>
      <c r="B2203" t="str">
        <f>HYPERLINK("http://www.corstruth.com.au/SA/PNG2/20447_TR3_cs.png","20447_TR3_0.25m Bins")</f>
        <v>20447_TR3_0.25m Bins</v>
      </c>
      <c r="C2203" t="str">
        <f>HYPERLINK("http://www.corstruth.com.au/SA/CSV/20447_TR3.csv","20447_TR3_CSV File 1m Bins")</f>
        <v>20447_TR3_CSV File 1m Bins</v>
      </c>
      <c r="D2203">
        <v>20447</v>
      </c>
      <c r="E2203" t="s">
        <v>2163</v>
      </c>
      <c r="F2203" t="str">
        <f>HYPERLINK("https://drillhole.pir.sa.gov.au/Details.aspx?DRILLHOLE_NO=20447","Geol Survey Link")</f>
        <v>Geol Survey Link</v>
      </c>
      <c r="I2203">
        <v>-32.437399999999997</v>
      </c>
      <c r="J2203">
        <v>137.44300000000001</v>
      </c>
      <c r="K2203" t="str">
        <f>HYPERLINK("https://sarigdata.pir.sa.gov.au/nvcl/NVCLDataServices/mosaic.html?datasetid=4cbd9bd9-1dc8-4030-af3a-f8bf4b72efb","20447_TR3_Core Image")</f>
        <v>20447_TR3_Core Image</v>
      </c>
    </row>
    <row r="2204" spans="1:11" x14ac:dyDescent="0.25">
      <c r="A2204" t="str">
        <f>HYPERLINK("http://www.corstruth.com.au/SA/205017_WUD6-716_cs.png","205017_WUD6-716_A4")</f>
        <v>205017_WUD6-716_A4</v>
      </c>
      <c r="D2204">
        <v>205017</v>
      </c>
      <c r="E2204" t="s">
        <v>2163</v>
      </c>
      <c r="F2204" t="str">
        <f>HYPERLINK("https://drillhole.pir.sa.gov.au/Details.aspx?DRILLHOLE_NO=205017","Geol Survey Link")</f>
        <v>Geol Survey Link</v>
      </c>
      <c r="I2204">
        <v>-32.871299999999998</v>
      </c>
      <c r="J2204">
        <v>135.50200000000001</v>
      </c>
    </row>
    <row r="2205" spans="1:11" x14ac:dyDescent="0.25">
      <c r="A2205" t="str">
        <f>HYPERLINK("http://www.corstruth.com.au/SA/205175_BGRC-848_cs.png","205175_BGRC-848_A4")</f>
        <v>205175_BGRC-848_A4</v>
      </c>
      <c r="D2205">
        <v>205175</v>
      </c>
      <c r="E2205" t="s">
        <v>2163</v>
      </c>
      <c r="F2205" t="str">
        <f>HYPERLINK("https://drillhole.pir.sa.gov.au/Details.aspx?DRILLHOLE_NO=205175","Geol Survey Link")</f>
        <v>Geol Survey Link</v>
      </c>
      <c r="I2205">
        <v>-32.871200000000002</v>
      </c>
      <c r="J2205">
        <v>135.501</v>
      </c>
    </row>
    <row r="2206" spans="1:11" x14ac:dyDescent="0.25">
      <c r="A2206" t="str">
        <f>HYPERLINK("http://www.corstruth.com.au/SA/205188_BGRC-861_cs.png","205188_BGRC-861_A4")</f>
        <v>205188_BGRC-861_A4</v>
      </c>
      <c r="D2206">
        <v>205188</v>
      </c>
      <c r="E2206" t="s">
        <v>2163</v>
      </c>
      <c r="F2206" t="str">
        <f>HYPERLINK("https://drillhole.pir.sa.gov.au/Details.aspx?DRILLHOLE_NO=205188","Geol Survey Link")</f>
        <v>Geol Survey Link</v>
      </c>
      <c r="I2206">
        <v>-32.853200000000001</v>
      </c>
      <c r="J2206">
        <v>135.50299999999999</v>
      </c>
    </row>
    <row r="2207" spans="1:11" x14ac:dyDescent="0.25">
      <c r="A2207" t="str">
        <f>HYPERLINK("http://www.corstruth.com.au/SA/205193_BGRC-866_cs.png","205193_BGRC-866_A4")</f>
        <v>205193_BGRC-866_A4</v>
      </c>
      <c r="D2207">
        <v>205193</v>
      </c>
      <c r="E2207" t="s">
        <v>2163</v>
      </c>
      <c r="F2207" t="str">
        <f>HYPERLINK("https://drillhole.pir.sa.gov.au/Details.aspx?DRILLHOLE_NO=205193","Geol Survey Link")</f>
        <v>Geol Survey Link</v>
      </c>
      <c r="I2207">
        <v>-32.871299999999998</v>
      </c>
      <c r="J2207">
        <v>135.499</v>
      </c>
    </row>
    <row r="2208" spans="1:11" x14ac:dyDescent="0.25">
      <c r="A2208" t="str">
        <f>HYPERLINK("http://www.corstruth.com.au/SA/20540_RC1_cs.png","20540_RC1_A4")</f>
        <v>20540_RC1_A4</v>
      </c>
      <c r="B2208" t="str">
        <f>HYPERLINK("http://www.corstruth.com.au/SA/PNG2/20540_RC1_cs.png","20540_RC1_0.25m Bins")</f>
        <v>20540_RC1_0.25m Bins</v>
      </c>
      <c r="C2208" t="str">
        <f>HYPERLINK("http://www.corstruth.com.au/SA/CSV/20540_RC1.csv","20540_RC1_CSV File 1m Bins")</f>
        <v>20540_RC1_CSV File 1m Bins</v>
      </c>
      <c r="D2208">
        <v>20540</v>
      </c>
      <c r="E2208" t="s">
        <v>2163</v>
      </c>
      <c r="F2208" t="str">
        <f>HYPERLINK("https://drillhole.pir.sa.gov.au/Details.aspx?DRILLHOLE_NO=20540","Geol Survey Link")</f>
        <v>Geol Survey Link</v>
      </c>
      <c r="I2208">
        <v>-32.467100000000002</v>
      </c>
      <c r="J2208">
        <v>137.32900000000001</v>
      </c>
      <c r="K2208" t="str">
        <f>HYPERLINK("https://sarigdata.pir.sa.gov.au/nvcl/NVCLDataServices/mosaic.html?datasetid=2753d878-a637-462e-b10b-f7f51c13ab3","20540_RC1_Core Image")</f>
        <v>20540_RC1_Core Image</v>
      </c>
    </row>
    <row r="2209" spans="1:11" x14ac:dyDescent="0.25">
      <c r="A2209" t="str">
        <f>HYPERLINK("http://www.corstruth.com.au/SA/205519_01CDDH0017_cs.png","205519_01CDDH0017_A4")</f>
        <v>205519_01CDDH0017_A4</v>
      </c>
      <c r="B2209" t="str">
        <f>HYPERLINK("http://www.corstruth.com.au/SA/PNG2/205519_01CDDH0017_cs.png","205519_01CDDH0017_0.25m Bins")</f>
        <v>205519_01CDDH0017_0.25m Bins</v>
      </c>
      <c r="C2209" t="str">
        <f>HYPERLINK("http://www.corstruth.com.au/SA/CSV/205519_01CDDH0017.csv","205519_01CDDH0017_CSV File 1m Bins")</f>
        <v>205519_01CDDH0017_CSV File 1m Bins</v>
      </c>
      <c r="D2209">
        <v>205519</v>
      </c>
      <c r="E2209" t="s">
        <v>2163</v>
      </c>
      <c r="F2209" t="str">
        <f>HYPERLINK("https://drillhole.pir.sa.gov.au/Details.aspx?DRILLHOLE_NO=205519","Geol Survey Link")</f>
        <v>Geol Survey Link</v>
      </c>
      <c r="I2209">
        <v>-29.8781</v>
      </c>
      <c r="J2209">
        <v>133.59</v>
      </c>
      <c r="K2209" t="str">
        <f>HYPERLINK("https://sarigdata.pir.sa.gov.au/nvcl/NVCLDataServices/mosaic.html?datasetid=4a3a1ba4-a770-4f4c-ac58-a8599caae4a","205519_01CDDH0017_Core Image")</f>
        <v>205519_01CDDH0017_Core Image</v>
      </c>
    </row>
    <row r="2210" spans="1:11" x14ac:dyDescent="0.25">
      <c r="A2210" t="str">
        <f>HYPERLINK("http://www.corstruth.com.au/SA/205642_DD02KAN001_cs.png","205642_DD02KAN001_A4")</f>
        <v>205642_DD02KAN001_A4</v>
      </c>
      <c r="D2210">
        <v>205642</v>
      </c>
      <c r="E2210" t="s">
        <v>2163</v>
      </c>
      <c r="F2210" t="str">
        <f>HYPERLINK("https://drillhole.pir.sa.gov.au/Details.aspx?DRILLHOLE_NO=205642","Geol Survey Link")</f>
        <v>Geol Survey Link</v>
      </c>
      <c r="I2210">
        <v>-26.263500000000001</v>
      </c>
      <c r="J2210">
        <v>129.86600000000001</v>
      </c>
    </row>
    <row r="2211" spans="1:11" x14ac:dyDescent="0.25">
      <c r="A2211" t="str">
        <f>HYPERLINK("http://www.corstruth.com.au/SA/205643_DD02KAN002_cs.png","205643_DD02KAN002_A4")</f>
        <v>205643_DD02KAN002_A4</v>
      </c>
      <c r="D2211">
        <v>205643</v>
      </c>
      <c r="E2211" t="s">
        <v>2163</v>
      </c>
      <c r="F2211" t="str">
        <f>HYPERLINK("https://drillhole.pir.sa.gov.au/Details.aspx?DRILLHOLE_NO=205643","Geol Survey Link")</f>
        <v>Geol Survey Link</v>
      </c>
      <c r="I2211">
        <v>-26.273199999999999</v>
      </c>
      <c r="J2211">
        <v>129.893</v>
      </c>
    </row>
    <row r="2212" spans="1:11" x14ac:dyDescent="0.25">
      <c r="A2212" t="str">
        <f>HYPERLINK("http://www.corstruth.com.au/SA/205644_DD02KAN003_cs.png","205644_DD02KAN003_A4")</f>
        <v>205644_DD02KAN003_A4</v>
      </c>
      <c r="B2212" t="str">
        <f>HYPERLINK("http://www.corstruth.com.au/SA/PNG2/205644_DD02KAN003_cs.png","205644_DD02KAN003_0.25m Bins")</f>
        <v>205644_DD02KAN003_0.25m Bins</v>
      </c>
      <c r="C2212" t="str">
        <f>HYPERLINK("http://www.corstruth.com.au/SA/CSV/205644_DD02KAN003.csv","205644_DD02KAN003_CSV File 1m Bins")</f>
        <v>205644_DD02KAN003_CSV File 1m Bins</v>
      </c>
      <c r="D2212">
        <v>205644</v>
      </c>
      <c r="E2212" t="s">
        <v>2163</v>
      </c>
      <c r="F2212" t="str">
        <f>HYPERLINK("https://drillhole.pir.sa.gov.au/Details.aspx?DRILLHOLE_NO=205644","Geol Survey Link")</f>
        <v>Geol Survey Link</v>
      </c>
      <c r="I2212">
        <v>-26.330500000000001</v>
      </c>
      <c r="J2212">
        <v>129.95400000000001</v>
      </c>
      <c r="K2212" t="str">
        <f>HYPERLINK("https://sarigdata.pir.sa.gov.au/nvcl/NVCLDataServices/mosaic.html?datasetid=b2a96c50-0164-49dd-a87b-9975cf5d442","205644_DD02KAN003_Core Image")</f>
        <v>205644_DD02KAN003_Core Image</v>
      </c>
    </row>
    <row r="2213" spans="1:11" x14ac:dyDescent="0.25">
      <c r="A2213" t="str">
        <f>HYPERLINK("http://www.corstruth.com.au/SA/205811_02CDDH0049_cs.png","205811_02CDDH0049_A4")</f>
        <v>205811_02CDDH0049_A4</v>
      </c>
      <c r="D2213">
        <v>205811</v>
      </c>
      <c r="E2213" t="s">
        <v>2163</v>
      </c>
      <c r="F2213" t="str">
        <f>HYPERLINK("https://drillhole.pir.sa.gov.au/Details.aspx?DRILLHOLE_NO=205811","Geol Survey Link")</f>
        <v>Geol Survey Link</v>
      </c>
      <c r="I2213">
        <v>-29.8691</v>
      </c>
      <c r="J2213">
        <v>133.59100000000001</v>
      </c>
    </row>
    <row r="2214" spans="1:11" x14ac:dyDescent="0.25">
      <c r="A2214" t="str">
        <f>HYPERLINK("http://www.corstruth.com.au/SA/205811_02CDDH0049_no_core_cs.png","205811_02CDDH0049 no core_A4")</f>
        <v>205811_02CDDH0049 no core_A4</v>
      </c>
      <c r="D2214">
        <v>205811</v>
      </c>
      <c r="E2214" t="s">
        <v>2163</v>
      </c>
      <c r="F2214" t="str">
        <f>HYPERLINK("https://drillhole.pir.sa.gov.au/Details.aspx?DRILLHOLE_NO=205811","Geol Survey Link")</f>
        <v>Geol Survey Link</v>
      </c>
      <c r="I2214">
        <v>-29.8691</v>
      </c>
      <c r="J2214">
        <v>133.59100000000001</v>
      </c>
    </row>
    <row r="2215" spans="1:11" x14ac:dyDescent="0.25">
      <c r="A2215" t="str">
        <f>HYPERLINK("http://www.corstruth.com.au/SA/205821_CAR01_cs.png","205821_CAR01_A4")</f>
        <v>205821_CAR01_A4</v>
      </c>
      <c r="B2215" t="str">
        <f>HYPERLINK("http://www.corstruth.com.au/SA/PNG2/205821_CAR01_cs.png","205821_CAR01_0.25m Bins")</f>
        <v>205821_CAR01_0.25m Bins</v>
      </c>
      <c r="C2215" t="str">
        <f>HYPERLINK("http://www.corstruth.com.au/SA/CSV/205821_CAR01.csv","205821_CAR01_CSV File 1m Bins")</f>
        <v>205821_CAR01_CSV File 1m Bins</v>
      </c>
      <c r="D2215">
        <v>205821</v>
      </c>
      <c r="E2215" t="s">
        <v>2163</v>
      </c>
      <c r="F2215" t="str">
        <f>HYPERLINK("https://drillhole.pir.sa.gov.au/Details.aspx?DRILLHOLE_NO=205821","Geol Survey Link")</f>
        <v>Geol Survey Link</v>
      </c>
      <c r="I2215">
        <v>-31.213899999999999</v>
      </c>
      <c r="J2215">
        <v>137.499</v>
      </c>
      <c r="K2215" t="str">
        <f>HYPERLINK("https://sarigdata.pir.sa.gov.au/nvcl/NVCLDataServices/mosaic.html?datasetid=f921f717-d16b-4958-bd2a-d48eac69728","205821_CAR01_Core Image")</f>
        <v>205821_CAR01_Core Image</v>
      </c>
    </row>
    <row r="2216" spans="1:11" x14ac:dyDescent="0.25">
      <c r="A2216" t="str">
        <f>HYPERLINK("http://www.corstruth.com.au/SA/205822_CAR02_cs.png","205822_CAR02_A4")</f>
        <v>205822_CAR02_A4</v>
      </c>
      <c r="B2216" t="str">
        <f>HYPERLINK("http://www.corstruth.com.au/SA/PNG2/205822_CAR02_cs.png","205822_CAR02_0.25m Bins")</f>
        <v>205822_CAR02_0.25m Bins</v>
      </c>
      <c r="C2216" t="str">
        <f>HYPERLINK("http://www.corstruth.com.au/SA/CSV/205822_CAR02.csv","205822_CAR02_CSV File 1m Bins")</f>
        <v>205822_CAR02_CSV File 1m Bins</v>
      </c>
      <c r="D2216">
        <v>205822</v>
      </c>
      <c r="E2216" t="s">
        <v>2163</v>
      </c>
      <c r="F2216" t="str">
        <f>HYPERLINK("https://drillhole.pir.sa.gov.au/Details.aspx?DRILLHOLE_NO=205822","Geol Survey Link")</f>
        <v>Geol Survey Link</v>
      </c>
      <c r="I2216">
        <v>-31.218399999999999</v>
      </c>
      <c r="J2216">
        <v>137.499</v>
      </c>
      <c r="K2216" t="str">
        <f>HYPERLINK("https://sarigdata.pir.sa.gov.au/nvcl/NVCLDataServices/mosaic.html?datasetid=c623ea88-31fc-4d9e-bd9e-bf31a1a63b5","205822_CAR02_Core Image")</f>
        <v>205822_CAR02_Core Image</v>
      </c>
    </row>
    <row r="2217" spans="1:11" x14ac:dyDescent="0.25">
      <c r="A2217" t="str">
        <f>HYPERLINK("http://www.corstruth.com.au/SA/20606_SAR1_PRL1_cs.png","20606_SAR1_PRL1_A4")</f>
        <v>20606_SAR1_PRL1_A4</v>
      </c>
      <c r="B2217" t="str">
        <f>HYPERLINK("http://www.corstruth.com.au/SA/PNG2/20606_SAR1_PRL1_cs.png","20606_SAR1_PRL1_0.25m Bins")</f>
        <v>20606_SAR1_PRL1_0.25m Bins</v>
      </c>
      <c r="C2217" t="str">
        <f>HYPERLINK("http://www.corstruth.com.au/SA/CSV/20606_SAR1_PRL1.csv","20606_SAR1_PRL1_CSV File 1m Bins")</f>
        <v>20606_SAR1_PRL1_CSV File 1m Bins</v>
      </c>
      <c r="D2217">
        <v>20606</v>
      </c>
      <c r="E2217" t="s">
        <v>2163</v>
      </c>
      <c r="F2217" t="str">
        <f>HYPERLINK("https://drillhole.pir.sa.gov.au/Details.aspx?DRILLHOLE_NO=20606","Geol Survey Link")</f>
        <v>Geol Survey Link</v>
      </c>
      <c r="I2217">
        <v>-31.742599999999999</v>
      </c>
      <c r="J2217">
        <v>137.42400000000001</v>
      </c>
      <c r="K2217" t="str">
        <f>HYPERLINK("https://sarigdata.pir.sa.gov.au/nvcl/NVCLDataServices/mosaic.html?datasetid=b385d2f6-0fef-4e11-bfc1-5e2f32b4341","20606_SAR1_PRL1_Core Image")</f>
        <v>20606_SAR1_PRL1_Core Image</v>
      </c>
    </row>
    <row r="2218" spans="1:11" x14ac:dyDescent="0.25">
      <c r="A2218" t="str">
        <f>HYPERLINK("http://www.corstruth.com.au/SA/20607_SAR5_cs.png","20607_SAR5_A4")</f>
        <v>20607_SAR5_A4</v>
      </c>
      <c r="B2218" t="str">
        <f>HYPERLINK("http://www.corstruth.com.au/SA/PNG2/20607_SAR5_cs.png","20607_SAR5_0.25m Bins")</f>
        <v>20607_SAR5_0.25m Bins</v>
      </c>
      <c r="C2218" t="str">
        <f>HYPERLINK("http://www.corstruth.com.au/SA/CSV/20607_SAR5.csv","20607_SAR5_CSV File 1m Bins")</f>
        <v>20607_SAR5_CSV File 1m Bins</v>
      </c>
      <c r="D2218">
        <v>20607</v>
      </c>
      <c r="E2218" t="s">
        <v>2163</v>
      </c>
      <c r="F2218" t="str">
        <f>HYPERLINK("https://drillhole.pir.sa.gov.au/Details.aspx?DRILLHOLE_NO=20607","Geol Survey Link")</f>
        <v>Geol Survey Link</v>
      </c>
      <c r="I2218">
        <v>-31.617799999999999</v>
      </c>
      <c r="J2218">
        <v>137.34100000000001</v>
      </c>
      <c r="K2218" t="str">
        <f>HYPERLINK("https://sarigdata.pir.sa.gov.au/nvcl/NVCLDataServices/mosaic.html?datasetid=4a12b6fd-df3d-4330-9093-21fd5d45d16","20607_SAR5_Core Image")</f>
        <v>20607_SAR5_Core Image</v>
      </c>
    </row>
    <row r="2219" spans="1:11" x14ac:dyDescent="0.25">
      <c r="A2219" t="str">
        <f>HYPERLINK("http://www.corstruth.com.au/SA/206086_Blanche_1_cs.png","206086_Blanche_1_A4")</f>
        <v>206086_Blanche_1_A4</v>
      </c>
      <c r="B2219" t="str">
        <f>HYPERLINK("http://www.corstruth.com.au/SA/PNG2/206086_Blanche_1_cs.png","206086_Blanche_1_0.25m Bins")</f>
        <v>206086_Blanche_1_0.25m Bins</v>
      </c>
      <c r="C2219" t="str">
        <f>HYPERLINK("http://www.corstruth.com.au/SA/CSV/206086_Blanche_1.csv","206086_Blanche_1_CSV File 1m Bins")</f>
        <v>206086_Blanche_1_CSV File 1m Bins</v>
      </c>
      <c r="D2219">
        <v>206086</v>
      </c>
      <c r="E2219" t="s">
        <v>2163</v>
      </c>
      <c r="F2219" t="str">
        <f>HYPERLINK("https://drillhole.pir.sa.gov.au/Details.aspx?DRILLHOLE_NO=206086","Geol Survey Link")</f>
        <v>Geol Survey Link</v>
      </c>
      <c r="I2219">
        <v>-30.470099999999999</v>
      </c>
      <c r="J2219">
        <v>136.797</v>
      </c>
      <c r="K2219" t="str">
        <f>HYPERLINK("https://sarigdata.pir.sa.gov.au/nvcl/NVCLDataServices/mosaic.html?datasetid=c53995a2-1d95-46cc-b7fe-d069f3145b3","206086_Blanche_1_Core Image")</f>
        <v>206086_Blanche_1_Core Image</v>
      </c>
    </row>
    <row r="2220" spans="1:11" x14ac:dyDescent="0.25">
      <c r="A2220" t="str">
        <f>HYPERLINK("http://www.corstruth.com.au/SA/206088_DDHKAN_01_cs.png","206088_DDHKAN_01_A4")</f>
        <v>206088_DDHKAN_01_A4</v>
      </c>
      <c r="B2220" t="str">
        <f>HYPERLINK("http://www.corstruth.com.au/SA/PNG2/206088_DDHKAN_01_cs.png","206088_DDHKAN_01_0.25m Bins")</f>
        <v>206088_DDHKAN_01_0.25m Bins</v>
      </c>
      <c r="C2220" t="str">
        <f>HYPERLINK("http://www.corstruth.com.au/SA/CSV/206088_DDHKAN_01.csv","206088_DDHKAN_01_CSV File 1m Bins")</f>
        <v>206088_DDHKAN_01_CSV File 1m Bins</v>
      </c>
      <c r="D2220">
        <v>206088</v>
      </c>
      <c r="E2220" t="s">
        <v>2163</v>
      </c>
      <c r="F2220" t="str">
        <f>HYPERLINK("https://drillhole.pir.sa.gov.au/Details.aspx?DRILLHOLE_NO=206088","Geol Survey Link")</f>
        <v>Geol Survey Link</v>
      </c>
      <c r="I2220">
        <v>-35.1051</v>
      </c>
      <c r="J2220">
        <v>139.005</v>
      </c>
      <c r="K2220" t="str">
        <f>HYPERLINK("https://sarigdata.pir.sa.gov.au/nvcl/NVCLDataServices/mosaic.html?datasetid=5ce32ab6-b2ce-48a4-aebd-9e7742276c9","206088_DDHKAN_01_Core Image")</f>
        <v>206088_DDHKAN_01_Core Image</v>
      </c>
    </row>
    <row r="2221" spans="1:11" x14ac:dyDescent="0.25">
      <c r="A2221" t="str">
        <f>HYPERLINK("http://www.corstruth.com.au/SA/206089_DDHKAN_02_cs.png","206089_DDHKAN_02_A4")</f>
        <v>206089_DDHKAN_02_A4</v>
      </c>
      <c r="B2221" t="str">
        <f>HYPERLINK("http://www.corstruth.com.au/SA/PNG2/206089_DDHKAN_02_cs.png","206089_DDHKAN_02_0.25m Bins")</f>
        <v>206089_DDHKAN_02_0.25m Bins</v>
      </c>
      <c r="C2221" t="str">
        <f>HYPERLINK("http://www.corstruth.com.au/SA/CSV/206089_DDHKAN_02.csv","206089_DDHKAN_02_CSV File 1m Bins")</f>
        <v>206089_DDHKAN_02_CSV File 1m Bins</v>
      </c>
      <c r="D2221">
        <v>206089</v>
      </c>
      <c r="E2221" t="s">
        <v>2163</v>
      </c>
      <c r="F2221" t="str">
        <f>HYPERLINK("https://drillhole.pir.sa.gov.au/Details.aspx?DRILLHOLE_NO=206089","Geol Survey Link")</f>
        <v>Geol Survey Link</v>
      </c>
      <c r="I2221">
        <v>-35.075400000000002</v>
      </c>
      <c r="J2221">
        <v>139.00899999999999</v>
      </c>
      <c r="K2221" t="str">
        <f>HYPERLINK("https://sarigdata.pir.sa.gov.au/nvcl/NVCLDataServices/mosaic.html?datasetid=7d3d5a47-d6d2-4f10-8fe0-ed4f292fcfd","206089_DDHKAN_02_Core Image")</f>
        <v>206089_DDHKAN_02_Core Image</v>
      </c>
    </row>
    <row r="2222" spans="1:11" x14ac:dyDescent="0.25">
      <c r="A2222" t="str">
        <f>HYPERLINK("http://www.corstruth.com.au/SA/20608_SAR6_cs.png","20608_SAR6_A4")</f>
        <v>20608_SAR6_A4</v>
      </c>
      <c r="B2222" t="str">
        <f>HYPERLINK("http://www.corstruth.com.au/SA/PNG2/20608_SAR6_cs.png","20608_SAR6_0.25m Bins")</f>
        <v>20608_SAR6_0.25m Bins</v>
      </c>
      <c r="C2222" t="str">
        <f>HYPERLINK("http://www.corstruth.com.au/SA/CSV/20608_SAR6.csv","20608_SAR6_CSV File 1m Bins")</f>
        <v>20608_SAR6_CSV File 1m Bins</v>
      </c>
      <c r="D2222">
        <v>20608</v>
      </c>
      <c r="E2222" t="s">
        <v>2163</v>
      </c>
      <c r="F2222" t="str">
        <f>HYPERLINK("https://drillhole.pir.sa.gov.au/Details.aspx?DRILLHOLE_NO=20608","Geol Survey Link")</f>
        <v>Geol Survey Link</v>
      </c>
      <c r="I2222">
        <v>-31.609500000000001</v>
      </c>
      <c r="J2222">
        <v>137.34800000000001</v>
      </c>
      <c r="K2222" t="str">
        <f>HYPERLINK("https://sarigdata.pir.sa.gov.au/nvcl/NVCLDataServices/mosaic.html?datasetid=1b167064-ab9b-4a10-a89e-1cc66c5f734","20608_SAR6_Core Image")</f>
        <v>20608_SAR6_Core Image</v>
      </c>
    </row>
    <row r="2223" spans="1:11" x14ac:dyDescent="0.25">
      <c r="A2223" t="str">
        <f>HYPERLINK("http://www.corstruth.com.au/SA/20609_PRL19_SAR7_cs.png","20609_PRL19_SAR7_A4")</f>
        <v>20609_PRL19_SAR7_A4</v>
      </c>
      <c r="B2223" t="str">
        <f>HYPERLINK("http://www.corstruth.com.au/SA/PNG2/20609_PRL19_SAR7_cs.png","20609_PRL19_SAR7_0.25m Bins")</f>
        <v>20609_PRL19_SAR7_0.25m Bins</v>
      </c>
      <c r="C2223" t="str">
        <f>HYPERLINK("http://www.corstruth.com.au/SA/CSV/20609_PRL19_SAR7.csv","20609_PRL19_SAR7_CSV File 1m Bins")</f>
        <v>20609_PRL19_SAR7_CSV File 1m Bins</v>
      </c>
      <c r="D2223">
        <v>20609</v>
      </c>
      <c r="E2223" t="s">
        <v>2163</v>
      </c>
      <c r="F2223" t="str">
        <f>HYPERLINK("https://drillhole.pir.sa.gov.au/Details.aspx?DRILLHOLE_NO=20609","Geol Survey Link")</f>
        <v>Geol Survey Link</v>
      </c>
      <c r="I2223">
        <v>-31.608000000000001</v>
      </c>
      <c r="J2223">
        <v>137.44200000000001</v>
      </c>
      <c r="K2223" t="str">
        <f>HYPERLINK("https://sarigdata.pir.sa.gov.au/nvcl/NVCLDataServices/mosaic.html?datasetid=377dbca2-0d42-4597-9878-7c770485af3","20609_PRL19_SAR7_Core Image")</f>
        <v>20609_PRL19_SAR7_Core Image</v>
      </c>
    </row>
    <row r="2224" spans="1:11" x14ac:dyDescent="0.25">
      <c r="A2224" t="str">
        <f>HYPERLINK("http://www.corstruth.com.au/SA/20610_PRL21_SAR8_cs.png","20610_PRL21_SAR8_A4")</f>
        <v>20610_PRL21_SAR8_A4</v>
      </c>
      <c r="B2224" t="str">
        <f>HYPERLINK("http://www.corstruth.com.au/SA/PNG2/20610_PRL21_SAR8_cs.png","20610_PRL21_SAR8_0.25m Bins")</f>
        <v>20610_PRL21_SAR8_0.25m Bins</v>
      </c>
      <c r="C2224" t="str">
        <f>HYPERLINK("http://www.corstruth.com.au/SA/CSV/20610_PRL21_SAR8.csv","20610_PRL21_SAR8_CSV File 1m Bins")</f>
        <v>20610_PRL21_SAR8_CSV File 1m Bins</v>
      </c>
      <c r="D2224">
        <v>20610</v>
      </c>
      <c r="E2224" t="s">
        <v>2163</v>
      </c>
      <c r="F2224" t="str">
        <f>HYPERLINK("https://drillhole.pir.sa.gov.au/Details.aspx?DRILLHOLE_NO=20610","Geol Survey Link")</f>
        <v>Geol Survey Link</v>
      </c>
      <c r="I2224">
        <v>-31.587199999999999</v>
      </c>
      <c r="J2224">
        <v>137.35599999999999</v>
      </c>
      <c r="K2224" t="str">
        <f>HYPERLINK("https://sarigdata.pir.sa.gov.au/nvcl/NVCLDataServices/mosaic.html?datasetid=0608302b-427f-42f6-b126-9b84dfc82d3","20610_PRL21_SAR8_Core Image")</f>
        <v>20610_PRL21_SAR8_Core Image</v>
      </c>
    </row>
    <row r="2225" spans="1:11" x14ac:dyDescent="0.25">
      <c r="A2225" t="str">
        <f>HYPERLINK("http://www.corstruth.com.au/SA/20611_SAR9_cs.png","20611_SAR9_A4")</f>
        <v>20611_SAR9_A4</v>
      </c>
      <c r="B2225" t="str">
        <f>HYPERLINK("http://www.corstruth.com.au/SA/PNG2/20611_SAR9_cs.png","20611_SAR9_0.25m Bins")</f>
        <v>20611_SAR9_0.25m Bins</v>
      </c>
      <c r="C2225" t="str">
        <f>HYPERLINK("http://www.corstruth.com.au/SA/CSV/20611_SAR9.csv","20611_SAR9_CSV File 1m Bins")</f>
        <v>20611_SAR9_CSV File 1m Bins</v>
      </c>
      <c r="D2225">
        <v>20611</v>
      </c>
      <c r="E2225" t="s">
        <v>2163</v>
      </c>
      <c r="F2225" t="str">
        <f>HYPERLINK("https://drillhole.pir.sa.gov.au/Details.aspx?DRILLHOLE_NO=20611","Geol Survey Link")</f>
        <v>Geol Survey Link</v>
      </c>
      <c r="I2225">
        <v>-31.566400000000002</v>
      </c>
      <c r="J2225">
        <v>137.34700000000001</v>
      </c>
      <c r="K2225" t="str">
        <f>HYPERLINK("https://sarigdata.pir.sa.gov.au/nvcl/NVCLDataServices/mosaic.html?datasetid=08e60895-9179-41ee-8c5a-0f82b1c240e","20611_SAR9_Core Image")</f>
        <v>20611_SAR9_Core Image</v>
      </c>
    </row>
    <row r="2226" spans="1:11" x14ac:dyDescent="0.25">
      <c r="A2226" t="str">
        <f>HYPERLINK("http://www.corstruth.com.au/SA/206152_Tarcoola_TD001_cs.png","206152_Tarcoola_TD001_A4")</f>
        <v>206152_Tarcoola_TD001_A4</v>
      </c>
      <c r="B2226" t="str">
        <f>HYPERLINK("http://www.corstruth.com.au/SA/PNG2/206152_Tarcoola_TD001_cs.png","206152_Tarcoola_TD001_0.25m Bins")</f>
        <v>206152_Tarcoola_TD001_0.25m Bins</v>
      </c>
      <c r="C2226" t="str">
        <f>HYPERLINK("http://www.corstruth.com.au/SA/CSV/206152_Tarcoola_TD001.csv","206152_Tarcoola_TD001_CSV File 1m Bins")</f>
        <v>206152_Tarcoola_TD001_CSV File 1m Bins</v>
      </c>
      <c r="D2226">
        <v>206152</v>
      </c>
      <c r="E2226" t="s">
        <v>2163</v>
      </c>
      <c r="F2226" t="str">
        <f>HYPERLINK("https://drillhole.pir.sa.gov.au/Details.aspx?DRILLHOLE_NO=206152","Geol Survey Link")</f>
        <v>Geol Survey Link</v>
      </c>
      <c r="I2226">
        <v>-30.706499999999998</v>
      </c>
      <c r="J2226">
        <v>134.52799999999999</v>
      </c>
      <c r="K2226" t="str">
        <f>HYPERLINK("https://sarigdata.pir.sa.gov.au/nvcl/NVCLDataServices/mosaic.html?datasetid=025d4060-0608-4fa7-bd56-341d2d455f7","206152_Tarcoola_TD001_Core Image")</f>
        <v>206152_Tarcoola_TD001_Core Image</v>
      </c>
    </row>
    <row r="2227" spans="1:11" x14ac:dyDescent="0.25">
      <c r="A2227" t="str">
        <f>HYPERLINK("http://www.corstruth.com.au/SA/206153_Tarcoola_TD002_cs.png","206153_Tarcoola_TD002_A4")</f>
        <v>206153_Tarcoola_TD002_A4</v>
      </c>
      <c r="B2227" t="str">
        <f>HYPERLINK("http://www.corstruth.com.au/SA/PNG2/206153_Tarcoola_TD002_cs.png","206153_Tarcoola_TD002_0.25m Bins")</f>
        <v>206153_Tarcoola_TD002_0.25m Bins</v>
      </c>
      <c r="C2227" t="str">
        <f>HYPERLINK("http://www.corstruth.com.au/SA/CSV/206153_Tarcoola_TD002.csv","206153_Tarcoola_TD002_CSV File 1m Bins")</f>
        <v>206153_Tarcoola_TD002_CSV File 1m Bins</v>
      </c>
      <c r="D2227">
        <v>206153</v>
      </c>
      <c r="E2227" t="s">
        <v>2163</v>
      </c>
      <c r="F2227" t="str">
        <f>HYPERLINK("https://drillhole.pir.sa.gov.au/Details.aspx?DRILLHOLE_NO=206153","Geol Survey Link")</f>
        <v>Geol Survey Link</v>
      </c>
      <c r="I2227">
        <v>-30.706499999999998</v>
      </c>
      <c r="J2227">
        <v>134.529</v>
      </c>
      <c r="K2227" t="str">
        <f>HYPERLINK("https://sarigdata.pir.sa.gov.au/nvcl/NVCLDataServices/mosaic.html?datasetid=b3e6e33d-3fda-44bb-9345-ea5d22602fc","206153_Tarcoola_TD002_Core Image")</f>
        <v>206153_Tarcoola_TD002_Core Image</v>
      </c>
    </row>
    <row r="2228" spans="1:11" x14ac:dyDescent="0.25">
      <c r="A2228" t="str">
        <f>HYPERLINK("http://www.corstruth.com.au/SA/206154_Tarcoola_TD003_cs.png","206154_Tarcoola_TD003_A4")</f>
        <v>206154_Tarcoola_TD003_A4</v>
      </c>
      <c r="B2228" t="str">
        <f>HYPERLINK("http://www.corstruth.com.au/SA/PNG2/206154_Tarcoola_TD003_cs.png","206154_Tarcoola_TD003_0.25m Bins")</f>
        <v>206154_Tarcoola_TD003_0.25m Bins</v>
      </c>
      <c r="C2228" t="str">
        <f>HYPERLINK("http://www.corstruth.com.au/SA/CSV/206154_Tarcoola_TD003.csv","206154_Tarcoola_TD003_CSV File 1m Bins")</f>
        <v>206154_Tarcoola_TD003_CSV File 1m Bins</v>
      </c>
      <c r="D2228">
        <v>206154</v>
      </c>
      <c r="E2228" t="s">
        <v>2163</v>
      </c>
      <c r="F2228" t="str">
        <f>HYPERLINK("https://drillhole.pir.sa.gov.au/Details.aspx?DRILLHOLE_NO=206154","Geol Survey Link")</f>
        <v>Geol Survey Link</v>
      </c>
      <c r="I2228">
        <v>-30.706800000000001</v>
      </c>
      <c r="J2228">
        <v>134.529</v>
      </c>
      <c r="K2228" t="str">
        <f>HYPERLINK("https://sarigdata.pir.sa.gov.au/nvcl/NVCLDataServices/mosaic.html?datasetid=f99543cd-3b8c-4768-9bb4-4317b0a07ed","206154_Tarcoola_TD003_Core Image")</f>
        <v>206154_Tarcoola_TD003_Core Image</v>
      </c>
    </row>
    <row r="2229" spans="1:11" x14ac:dyDescent="0.25">
      <c r="A2229" t="str">
        <f>HYPERLINK("http://www.corstruth.com.au/SA/206155_Tarcoola_TD004_cs.png","206155_Tarcoola_TD004_A4")</f>
        <v>206155_Tarcoola_TD004_A4</v>
      </c>
      <c r="B2229" t="str">
        <f>HYPERLINK("http://www.corstruth.com.au/SA/PNG2/206155_Tarcoola_TD004_cs.png","206155_Tarcoola_TD004_0.25m Bins")</f>
        <v>206155_Tarcoola_TD004_0.25m Bins</v>
      </c>
      <c r="C2229" t="str">
        <f>HYPERLINK("http://www.corstruth.com.au/SA/CSV/206155_Tarcoola_TD004.csv","206155_Tarcoola_TD004_CSV File 1m Bins")</f>
        <v>206155_Tarcoola_TD004_CSV File 1m Bins</v>
      </c>
      <c r="D2229">
        <v>206155</v>
      </c>
      <c r="E2229" t="s">
        <v>2163</v>
      </c>
      <c r="F2229" t="str">
        <f>HYPERLINK("https://drillhole.pir.sa.gov.au/Details.aspx?DRILLHOLE_NO=206155","Geol Survey Link")</f>
        <v>Geol Survey Link</v>
      </c>
      <c r="I2229">
        <v>-30.7028</v>
      </c>
      <c r="J2229">
        <v>134.53</v>
      </c>
      <c r="K2229" t="str">
        <f>HYPERLINK("https://sarigdata.pir.sa.gov.au/nvcl/NVCLDataServices/mosaic.html?datasetid=8ccd7d15-dbea-490c-a6b5-65562c2fc46","206155_Tarcoola_TD004_Core Image")</f>
        <v>206155_Tarcoola_TD004_Core Image</v>
      </c>
    </row>
    <row r="2230" spans="1:11" x14ac:dyDescent="0.25">
      <c r="A2230" t="str">
        <f>HYPERLINK("http://www.corstruth.com.au/SA/206156_Tarcoola_TD005_cs.png","206156_Tarcoola_TD005_A4")</f>
        <v>206156_Tarcoola_TD005_A4</v>
      </c>
      <c r="B2230" t="str">
        <f>HYPERLINK("http://www.corstruth.com.au/SA/PNG2/206156_Tarcoola_TD005_cs.png","206156_Tarcoola_TD005_0.25m Bins")</f>
        <v>206156_Tarcoola_TD005_0.25m Bins</v>
      </c>
      <c r="C2230" t="str">
        <f>HYPERLINK("http://www.corstruth.com.au/SA/CSV/206156_Tarcoola_TD005.csv","206156_Tarcoola_TD005_CSV File 1m Bins")</f>
        <v>206156_Tarcoola_TD005_CSV File 1m Bins</v>
      </c>
      <c r="D2230">
        <v>206156</v>
      </c>
      <c r="E2230" t="s">
        <v>2163</v>
      </c>
      <c r="F2230" t="str">
        <f>HYPERLINK("https://drillhole.pir.sa.gov.au/Details.aspx?DRILLHOLE_NO=206156","Geol Survey Link")</f>
        <v>Geol Survey Link</v>
      </c>
      <c r="I2230">
        <v>-30.7029</v>
      </c>
      <c r="J2230">
        <v>134.53100000000001</v>
      </c>
      <c r="K2230" t="str">
        <f>HYPERLINK("https://sarigdata.pir.sa.gov.au/nvcl/NVCLDataServices/mosaic.html?datasetid=6c5df9ef-9949-492e-a38f-51ed5fcbe74","206156_Tarcoola_TD005_Core Image")</f>
        <v>206156_Tarcoola_TD005_Core Image</v>
      </c>
    </row>
    <row r="2231" spans="1:11" x14ac:dyDescent="0.25">
      <c r="A2231" t="str">
        <f>HYPERLINK("http://www.corstruth.com.au/SA/206157_Tarcoola_TD006_cs.png","206157_Tarcoola_TD006_A4")</f>
        <v>206157_Tarcoola_TD006_A4</v>
      </c>
      <c r="B2231" t="str">
        <f>HYPERLINK("http://www.corstruth.com.au/SA/PNG2/206157_Tarcoola_TD006_cs.png","206157_Tarcoola_TD006_0.25m Bins")</f>
        <v>206157_Tarcoola_TD006_0.25m Bins</v>
      </c>
      <c r="C2231" t="str">
        <f>HYPERLINK("http://www.corstruth.com.au/SA/CSV/206157_Tarcoola_TD006.csv","206157_Tarcoola_TD006_CSV File 1m Bins")</f>
        <v>206157_Tarcoola_TD006_CSV File 1m Bins</v>
      </c>
      <c r="D2231">
        <v>206157</v>
      </c>
      <c r="E2231" t="s">
        <v>2163</v>
      </c>
      <c r="F2231" t="str">
        <f>HYPERLINK("https://drillhole.pir.sa.gov.au/Details.aspx?DRILLHOLE_NO=206157","Geol Survey Link")</f>
        <v>Geol Survey Link</v>
      </c>
      <c r="I2231">
        <v>-30.703099999999999</v>
      </c>
      <c r="J2231">
        <v>134.53100000000001</v>
      </c>
      <c r="K2231" t="str">
        <f>HYPERLINK("https://sarigdata.pir.sa.gov.au/nvcl/NVCLDataServices/mosaic.html?datasetid=08d6b129-51fe-4f3a-a065-f1294597553","206157_Tarcoola_TD006_Core Image")</f>
        <v>206157_Tarcoola_TD006_Core Image</v>
      </c>
    </row>
    <row r="2232" spans="1:11" x14ac:dyDescent="0.25">
      <c r="A2232" t="str">
        <f>HYPERLINK("http://www.corstruth.com.au/SA/206158_Tarcoola_TD007_cs.png","206158_Tarcoola_TD007_A4")</f>
        <v>206158_Tarcoola_TD007_A4</v>
      </c>
      <c r="B2232" t="str">
        <f>HYPERLINK("http://www.corstruth.com.au/SA/PNG2/206158_Tarcoola_TD007_cs.png","206158_Tarcoola_TD007_0.25m Bins")</f>
        <v>206158_Tarcoola_TD007_0.25m Bins</v>
      </c>
      <c r="C2232" t="str">
        <f>HYPERLINK("http://www.corstruth.com.au/SA/CSV/206158_Tarcoola_TD007.csv","206158_Tarcoola_TD007_CSV File 1m Bins")</f>
        <v>206158_Tarcoola_TD007_CSV File 1m Bins</v>
      </c>
      <c r="D2232">
        <v>206158</v>
      </c>
      <c r="E2232" t="s">
        <v>2163</v>
      </c>
      <c r="F2232" t="str">
        <f>HYPERLINK("https://drillhole.pir.sa.gov.au/Details.aspx?DRILLHOLE_NO=206158","Geol Survey Link")</f>
        <v>Geol Survey Link</v>
      </c>
      <c r="I2232">
        <v>-30.7027</v>
      </c>
      <c r="J2232">
        <v>134.53200000000001</v>
      </c>
      <c r="K2232" t="str">
        <f>HYPERLINK("https://sarigdata.pir.sa.gov.au/nvcl/NVCLDataServices/mosaic.html?datasetid=21cfbe4c-b851-4b64-be75-ae04cd3e92f","206158_Tarcoola_TD007_Core Image")</f>
        <v>206158_Tarcoola_TD007_Core Image</v>
      </c>
    </row>
    <row r="2233" spans="1:11" x14ac:dyDescent="0.25">
      <c r="A2233" t="str">
        <f>HYPERLINK("http://www.corstruth.com.au/SA/206159_Tarcoola_TD008_cs.png","206159_Tarcoola_TD008_A4")</f>
        <v>206159_Tarcoola_TD008_A4</v>
      </c>
      <c r="B2233" t="str">
        <f>HYPERLINK("http://www.corstruth.com.au/SA/PNG2/206159_Tarcoola_TD008_cs.png","206159_Tarcoola_TD008_0.25m Bins")</f>
        <v>206159_Tarcoola_TD008_0.25m Bins</v>
      </c>
      <c r="C2233" t="str">
        <f>HYPERLINK("http://www.corstruth.com.au/SA/CSV/206159_Tarcoola_TD008.csv","206159_Tarcoola_TD008_CSV File 1m Bins")</f>
        <v>206159_Tarcoola_TD008_CSV File 1m Bins</v>
      </c>
      <c r="D2233">
        <v>206159</v>
      </c>
      <c r="E2233" t="s">
        <v>2163</v>
      </c>
      <c r="F2233" t="str">
        <f>HYPERLINK("https://drillhole.pir.sa.gov.au/Details.aspx?DRILLHOLE_NO=206159","Geol Survey Link")</f>
        <v>Geol Survey Link</v>
      </c>
      <c r="I2233">
        <v>-30.703499999999998</v>
      </c>
      <c r="J2233">
        <v>134.53100000000001</v>
      </c>
      <c r="K2233" t="str">
        <f>HYPERLINK("https://sarigdata.pir.sa.gov.au/nvcl/NVCLDataServices/mosaic.html?datasetid=a635a4f1-7dd3-42cf-899d-9b4793ad60e","206159_Tarcoola_TD008_Core Image")</f>
        <v>206159_Tarcoola_TD008_Core Image</v>
      </c>
    </row>
    <row r="2234" spans="1:11" x14ac:dyDescent="0.25">
      <c r="A2234" t="str">
        <f>HYPERLINK("http://www.corstruth.com.au/SA/206160_Tarcoola_TD009_cs.png","206160_Tarcoola_TD009_A4")</f>
        <v>206160_Tarcoola_TD009_A4</v>
      </c>
      <c r="B2234" t="str">
        <f>HYPERLINK("http://www.corstruth.com.au/SA/PNG2/206160_Tarcoola_TD009_cs.png","206160_Tarcoola_TD009_0.25m Bins")</f>
        <v>206160_Tarcoola_TD009_0.25m Bins</v>
      </c>
      <c r="C2234" t="str">
        <f>HYPERLINK("http://www.corstruth.com.au/SA/CSV/206160_Tarcoola_TD009.csv","206160_Tarcoola_TD009_CSV File 1m Bins")</f>
        <v>206160_Tarcoola_TD009_CSV File 1m Bins</v>
      </c>
      <c r="D2234">
        <v>206160</v>
      </c>
      <c r="E2234" t="s">
        <v>2163</v>
      </c>
      <c r="F2234" t="str">
        <f>HYPERLINK("https://drillhole.pir.sa.gov.au/Details.aspx?DRILLHOLE_NO=206160","Geol Survey Link")</f>
        <v>Geol Survey Link</v>
      </c>
      <c r="I2234">
        <v>-30.706800000000001</v>
      </c>
      <c r="J2234">
        <v>134.52799999999999</v>
      </c>
      <c r="K2234" t="str">
        <f>HYPERLINK("https://sarigdata.pir.sa.gov.au/nvcl/NVCLDataServices/mosaic.html?datasetid=118fadef-55d7-425c-9f92-ff989fff4a1","206160_Tarcoola_TD009_Core Image")</f>
        <v>206160_Tarcoola_TD009_Core Image</v>
      </c>
    </row>
    <row r="2235" spans="1:11" x14ac:dyDescent="0.25">
      <c r="A2235" t="str">
        <f>HYPERLINK("http://www.corstruth.com.au/SA/206161_Tarcoola_TD010_cs.png","206161_Tarcoola_TD010_A4")</f>
        <v>206161_Tarcoola_TD010_A4</v>
      </c>
      <c r="B2235" t="str">
        <f>HYPERLINK("http://www.corstruth.com.au/SA/PNG2/206161_Tarcoola_TD010_cs.png","206161_Tarcoola_TD010_0.25m Bins")</f>
        <v>206161_Tarcoola_TD010_0.25m Bins</v>
      </c>
      <c r="C2235" t="str">
        <f>HYPERLINK("http://www.corstruth.com.au/SA/CSV/206161_Tarcoola_TD010.csv","206161_Tarcoola_TD010_CSV File 1m Bins")</f>
        <v>206161_Tarcoola_TD010_CSV File 1m Bins</v>
      </c>
      <c r="D2235">
        <v>206161</v>
      </c>
      <c r="E2235" t="s">
        <v>2163</v>
      </c>
      <c r="F2235" t="str">
        <f>HYPERLINK("https://drillhole.pir.sa.gov.au/Details.aspx?DRILLHOLE_NO=206161","Geol Survey Link")</f>
        <v>Geol Survey Link</v>
      </c>
      <c r="I2235">
        <v>-30.706299999999999</v>
      </c>
      <c r="J2235">
        <v>134.529</v>
      </c>
      <c r="K2235" t="str">
        <f>HYPERLINK("https://sarigdata.pir.sa.gov.au/nvcl/NVCLDataServices/mosaic.html?datasetid=e78d3268-39f3-486d-8847-a5457ac87b8","206161_Tarcoola_TD010_Core Image")</f>
        <v>206161_Tarcoola_TD010_Core Image</v>
      </c>
    </row>
    <row r="2236" spans="1:11" x14ac:dyDescent="0.25">
      <c r="A2236" t="str">
        <f>HYPERLINK("http://www.corstruth.com.au/SA/206162_Tarcoola_TD011_cs.png","206162_Tarcoola_TD011_A4")</f>
        <v>206162_Tarcoola_TD011_A4</v>
      </c>
      <c r="B2236" t="str">
        <f>HYPERLINK("http://www.corstruth.com.au/SA/PNG2/206162_Tarcoola_TD011_cs.png","206162_Tarcoola_TD011_0.25m Bins")</f>
        <v>206162_Tarcoola_TD011_0.25m Bins</v>
      </c>
      <c r="C2236" t="str">
        <f>HYPERLINK("http://www.corstruth.com.au/SA/CSV/206162_Tarcoola_TD011.csv","206162_Tarcoola_TD011_CSV File 1m Bins")</f>
        <v>206162_Tarcoola_TD011_CSV File 1m Bins</v>
      </c>
      <c r="D2236">
        <v>206162</v>
      </c>
      <c r="E2236" t="s">
        <v>2163</v>
      </c>
      <c r="F2236" t="str">
        <f>HYPERLINK("https://drillhole.pir.sa.gov.au/Details.aspx?DRILLHOLE_NO=206162","Geol Survey Link")</f>
        <v>Geol Survey Link</v>
      </c>
      <c r="I2236">
        <v>-30.706199999999999</v>
      </c>
      <c r="J2236">
        <v>134.529</v>
      </c>
      <c r="K2236" t="str">
        <f>HYPERLINK("https://sarigdata.pir.sa.gov.au/nvcl/NVCLDataServices/mosaic.html?datasetid=e689d4f2-44ae-466d-8ab8-a1ab17c8822","206162_Tarcoola_TD011_Core Image")</f>
        <v>206162_Tarcoola_TD011_Core Image</v>
      </c>
    </row>
    <row r="2237" spans="1:11" x14ac:dyDescent="0.25">
      <c r="A2237" t="str">
        <f>HYPERLINK("http://www.corstruth.com.au/SA/206163_Tarcoola_TD012_cs.png","206163_Tarcoola_TD012_A4")</f>
        <v>206163_Tarcoola_TD012_A4</v>
      </c>
      <c r="B2237" t="str">
        <f>HYPERLINK("http://www.corstruth.com.au/SA/PNG2/206163_Tarcoola_TD012_cs.png","206163_Tarcoola_TD012_0.25m Bins")</f>
        <v>206163_Tarcoola_TD012_0.25m Bins</v>
      </c>
      <c r="C2237" t="str">
        <f>HYPERLINK("http://www.corstruth.com.au/SA/CSV/206163_Tarcoola_TD012.csv","206163_Tarcoola_TD012_CSV File 1m Bins")</f>
        <v>206163_Tarcoola_TD012_CSV File 1m Bins</v>
      </c>
      <c r="D2237">
        <v>206163</v>
      </c>
      <c r="E2237" t="s">
        <v>2163</v>
      </c>
      <c r="F2237" t="str">
        <f>HYPERLINK("https://drillhole.pir.sa.gov.au/Details.aspx?DRILLHOLE_NO=206163","Geol Survey Link")</f>
        <v>Geol Survey Link</v>
      </c>
      <c r="I2237">
        <v>-30.706399999999999</v>
      </c>
      <c r="J2237">
        <v>134.529</v>
      </c>
      <c r="K2237" t="str">
        <f>HYPERLINK("https://sarigdata.pir.sa.gov.au/nvcl/NVCLDataServices/mosaic.html?datasetid=cb96ce8d-f167-4e70-ab13-e24ff3c69a5","206163_Tarcoola_TD012_Core Image")</f>
        <v>206163_Tarcoola_TD012_Core Image</v>
      </c>
    </row>
    <row r="2238" spans="1:11" x14ac:dyDescent="0.25">
      <c r="A2238" t="str">
        <f>HYPERLINK("http://www.corstruth.com.au/SA/206262_RC-DD03TI04_cs.png","206262_RC-DD03TI04_A4")</f>
        <v>206262_RC-DD03TI04_A4</v>
      </c>
      <c r="D2238">
        <v>206262</v>
      </c>
      <c r="E2238" t="s">
        <v>2163</v>
      </c>
      <c r="F2238" t="str">
        <f>HYPERLINK("https://drillhole.pir.sa.gov.au/Details.aspx?DRILLHOLE_NO=206262","Geol Survey Link")</f>
        <v>Geol Survey Link</v>
      </c>
      <c r="I2238">
        <v>-30.152100000000001</v>
      </c>
      <c r="J2238">
        <v>136.846</v>
      </c>
    </row>
    <row r="2239" spans="1:11" x14ac:dyDescent="0.25">
      <c r="A2239" t="str">
        <f>HYPERLINK("http://www.corstruth.com.au/SA/206264_RC-DD03TI006_cs.png","206264_RC-DD03TI006_A4")</f>
        <v>206264_RC-DD03TI006_A4</v>
      </c>
      <c r="D2239">
        <v>206264</v>
      </c>
      <c r="E2239" t="s">
        <v>2163</v>
      </c>
      <c r="F2239" t="str">
        <f>HYPERLINK("https://drillhole.pir.sa.gov.au/Details.aspx?DRILLHOLE_NO=206264","Geol Survey Link")</f>
        <v>Geol Survey Link</v>
      </c>
      <c r="I2239">
        <v>-30.1538</v>
      </c>
      <c r="J2239">
        <v>136.84299999999999</v>
      </c>
    </row>
    <row r="2240" spans="1:11" x14ac:dyDescent="0.25">
      <c r="A2240" t="str">
        <f>HYPERLINK("http://www.corstruth.com.au/SA/206683_KND007_cs.png","206683_KND007_A4")</f>
        <v>206683_KND007_A4</v>
      </c>
      <c r="B2240" t="str">
        <f>HYPERLINK("http://www.corstruth.com.au/SA/PNG2/206683_KND007_cs.png","206683_KND007_0.25m Bins")</f>
        <v>206683_KND007_0.25m Bins</v>
      </c>
      <c r="C2240" t="str">
        <f>HYPERLINK("http://www.corstruth.com.au/SA/CSV/206683_KND007.csv","206683_KND007_CSV File 1m Bins")</f>
        <v>206683_KND007_CSV File 1m Bins</v>
      </c>
      <c r="D2240">
        <v>206683</v>
      </c>
      <c r="E2240" t="s">
        <v>2163</v>
      </c>
      <c r="F2240" t="str">
        <f>HYPERLINK("https://drillhole.pir.sa.gov.au/Details.aspx?DRILLHOLE_NO=206683","Geol Survey Link")</f>
        <v>Geol Survey Link</v>
      </c>
      <c r="I2240">
        <v>-31.7225</v>
      </c>
      <c r="J2240">
        <v>140.529</v>
      </c>
      <c r="K2240" t="str">
        <f>HYPERLINK("https://sarigdata.pir.sa.gov.au/nvcl/NVCLDataServices/mosaic.html?datasetid=949cdfab-b885-4de0-8790-7da6b0ed1bb","206683_KND007_Core Image")</f>
        <v>206683_KND007_Core Image</v>
      </c>
    </row>
    <row r="2241" spans="1:11" x14ac:dyDescent="0.25">
      <c r="A2241" t="str">
        <f>HYPERLINK("http://www.corstruth.com.au/SA/206841_LED005_cs.png","206841_LED005_A4")</f>
        <v>206841_LED005_A4</v>
      </c>
      <c r="B2241" t="str">
        <f>HYPERLINK("http://www.corstruth.com.au/SA/PNG2/206841_LED005_cs.png","206841_LED005_0.25m Bins")</f>
        <v>206841_LED005_0.25m Bins</v>
      </c>
      <c r="C2241" t="str">
        <f>HYPERLINK("http://www.corstruth.com.au/SA/CSV/206841_LED005.csv","206841_LED005_CSV File 1m Bins")</f>
        <v>206841_LED005_CSV File 1m Bins</v>
      </c>
      <c r="D2241">
        <v>206841</v>
      </c>
      <c r="E2241" t="s">
        <v>2163</v>
      </c>
      <c r="F2241" t="str">
        <f>HYPERLINK("https://drillhole.pir.sa.gov.au/Details.aspx?DRILLHOLE_NO=206841","Geol Survey Link")</f>
        <v>Geol Survey Link</v>
      </c>
      <c r="I2241">
        <v>-31.182200000000002</v>
      </c>
      <c r="J2241">
        <v>134.75700000000001</v>
      </c>
      <c r="K2241" t="str">
        <f>HYPERLINK("https://sarigdata.pir.sa.gov.au/nvcl/NVCLDataServices/mosaic.html?datasetid=7bbf7d93-e6ad-4432-8da4-134653f1af5","206841_LED005_Core Image")</f>
        <v>206841_LED005_Core Image</v>
      </c>
    </row>
    <row r="2242" spans="1:11" x14ac:dyDescent="0.25">
      <c r="A2242" t="str">
        <f>HYPERLINK("http://www.corstruth.com.au/SA/207044_WIL004_cs.png","207044_WIL004_A4")</f>
        <v>207044_WIL004_A4</v>
      </c>
      <c r="B2242" t="str">
        <f>HYPERLINK("http://www.corstruth.com.au/SA/PNG2/207044_WIL004_cs.png","207044_WIL004_0.25m Bins")</f>
        <v>207044_WIL004_0.25m Bins</v>
      </c>
      <c r="C2242" t="str">
        <f>HYPERLINK("http://www.corstruth.com.au/SA/CSV/207044_WIL004.csv","207044_WIL004_CSV File 1m Bins")</f>
        <v>207044_WIL004_CSV File 1m Bins</v>
      </c>
      <c r="D2242">
        <v>207044</v>
      </c>
      <c r="E2242" t="s">
        <v>2163</v>
      </c>
      <c r="F2242" t="str">
        <f>HYPERLINK("https://drillhole.pir.sa.gov.au/Details.aspx?DRILLHOLE_NO=207044","Geol Survey Link")</f>
        <v>Geol Survey Link</v>
      </c>
      <c r="I2242">
        <v>-30.644100000000002</v>
      </c>
      <c r="J2242">
        <v>134.60599999999999</v>
      </c>
      <c r="K2242" t="str">
        <f>HYPERLINK("https://sarigdata.pir.sa.gov.au/nvcl/NVCLDataServices/mosaic.html?datasetid=5afecb62-7ade-43c0-a8b5-c86e06afd11","207044_WIL004_Core Image")</f>
        <v>207044_WIL004_Core Image</v>
      </c>
    </row>
    <row r="2243" spans="1:11" x14ac:dyDescent="0.25">
      <c r="A2243" t="str">
        <f>HYPERLINK("http://www.corstruth.com.au/SA/207044_Wil004_cs.png","207044_Wil004_A4")</f>
        <v>207044_Wil004_A4</v>
      </c>
      <c r="D2243">
        <v>207044</v>
      </c>
      <c r="E2243" t="s">
        <v>2163</v>
      </c>
      <c r="F2243" t="str">
        <f>HYPERLINK("https://drillhole.pir.sa.gov.au/Details.aspx?DRILLHOLE_NO=207044","Geol Survey Link")</f>
        <v>Geol Survey Link</v>
      </c>
      <c r="I2243">
        <v>-30.644100000000002</v>
      </c>
      <c r="J2243">
        <v>134.60599999999999</v>
      </c>
      <c r="K2243" t="str">
        <f>HYPERLINK("https://sarigdata.pir.sa.gov.au/nvcl/NVCLDataServices/mosaic.html?datasetid=5afecb62-7ade-43c0-a8b5-c86e06afd11","207044_Wil004_Core Image")</f>
        <v>207044_Wil004_Core Image</v>
      </c>
    </row>
    <row r="2244" spans="1:11" x14ac:dyDescent="0.25">
      <c r="A2244" t="str">
        <f>HYPERLINK("http://www.corstruth.com.au/SA/207045_WIL005_cs.png","207045_WIL005_A4")</f>
        <v>207045_WIL005_A4</v>
      </c>
      <c r="B2244" t="str">
        <f>HYPERLINK("http://www.corstruth.com.au/SA/PNG2/207045_WIL005_cs.png","207045_WIL005_0.25m Bins")</f>
        <v>207045_WIL005_0.25m Bins</v>
      </c>
      <c r="C2244" t="str">
        <f>HYPERLINK("http://www.corstruth.com.au/SA/CSV/207045_WIL005.csv","207045_WIL005_CSV File 1m Bins")</f>
        <v>207045_WIL005_CSV File 1m Bins</v>
      </c>
      <c r="D2244">
        <v>207045</v>
      </c>
      <c r="E2244" t="s">
        <v>2163</v>
      </c>
      <c r="F2244" t="str">
        <f>HYPERLINK("https://drillhole.pir.sa.gov.au/Details.aspx?DRILLHOLE_NO=207045","Geol Survey Link")</f>
        <v>Geol Survey Link</v>
      </c>
      <c r="I2244">
        <v>-30.637499999999999</v>
      </c>
      <c r="J2244">
        <v>134.60499999999999</v>
      </c>
      <c r="K2244" t="str">
        <f>HYPERLINK("https://sarigdata.pir.sa.gov.au/nvcl/NVCLDataServices/mosaic.html?datasetid=c7d0e959-3fcf-4e12-9093-dbab29a7e6b","207045_WIL005_Core Image")</f>
        <v>207045_WIL005_Core Image</v>
      </c>
    </row>
    <row r="2245" spans="1:11" x14ac:dyDescent="0.25">
      <c r="A2245" t="str">
        <f>HYPERLINK("http://www.corstruth.com.au/SA/207045_Wil005_cs.png","207045_Wil005_A4")</f>
        <v>207045_Wil005_A4</v>
      </c>
      <c r="D2245">
        <v>207045</v>
      </c>
      <c r="E2245" t="s">
        <v>2163</v>
      </c>
      <c r="F2245" t="str">
        <f>HYPERLINK("https://drillhole.pir.sa.gov.au/Details.aspx?DRILLHOLE_NO=207045","Geol Survey Link")</f>
        <v>Geol Survey Link</v>
      </c>
      <c r="I2245">
        <v>-30.637499999999999</v>
      </c>
      <c r="J2245">
        <v>134.60499999999999</v>
      </c>
      <c r="K2245" t="str">
        <f>HYPERLINK("https://sarigdata.pir.sa.gov.au/nvcl/NVCLDataServices/mosaic.html?datasetid=c7d0e959-3fcf-4e12-9093-dbab29a7e6b","207045_Wil005_Core Image")</f>
        <v>207045_Wil005_Core Image</v>
      </c>
    </row>
    <row r="2246" spans="1:11" x14ac:dyDescent="0.25">
      <c r="A2246" t="str">
        <f>HYPERLINK("http://www.corstruth.com.au/SA/207046_GP003D_cs.png","207046_GP003D_A4")</f>
        <v>207046_GP003D_A4</v>
      </c>
      <c r="B2246" t="str">
        <f>HYPERLINK("http://www.corstruth.com.au/SA/PNG2/207046_GP003D_cs.png","207046_GP003D_0.25m Bins")</f>
        <v>207046_GP003D_0.25m Bins</v>
      </c>
      <c r="C2246" t="str">
        <f>HYPERLINK("http://www.corstruth.com.au/SA/CSV/207046_GP003D.csv","207046_GP003D_CSV File 1m Bins")</f>
        <v>207046_GP003D_CSV File 1m Bins</v>
      </c>
      <c r="D2246">
        <v>207046</v>
      </c>
      <c r="E2246" t="s">
        <v>2163</v>
      </c>
      <c r="F2246" t="str">
        <f>HYPERLINK("https://drillhole.pir.sa.gov.au/Details.aspx?DRILLHOLE_NO=207046","Geol Survey Link")</f>
        <v>Geol Survey Link</v>
      </c>
      <c r="I2246">
        <v>-30.7087</v>
      </c>
      <c r="J2246">
        <v>134.52699999999999</v>
      </c>
      <c r="K2246" t="str">
        <f>HYPERLINK("https://sarigdata.pir.sa.gov.au/nvcl/NVCLDataServices/mosaic.html?datasetid=05126b87-ffb8-4e21-bf31-9a0ff2c8712","207046_GP003D_Core Image")</f>
        <v>207046_GP003D_Core Image</v>
      </c>
    </row>
    <row r="2247" spans="1:11" x14ac:dyDescent="0.25">
      <c r="A2247" t="str">
        <f>HYPERLINK("http://www.corstruth.com.au/SA/207047_GP004D_cs.png","207047_GP004D_A4")</f>
        <v>207047_GP004D_A4</v>
      </c>
      <c r="B2247" t="str">
        <f>HYPERLINK("http://www.corstruth.com.au/SA/PNG2/207047_GP004D_cs.png","207047_GP004D_0.25m Bins")</f>
        <v>207047_GP004D_0.25m Bins</v>
      </c>
      <c r="C2247" t="str">
        <f>HYPERLINK("http://www.corstruth.com.au/SA/CSV/207047_GP004D.csv","207047_GP004D_CSV File 1m Bins")</f>
        <v>207047_GP004D_CSV File 1m Bins</v>
      </c>
      <c r="D2247">
        <v>207047</v>
      </c>
      <c r="E2247" t="s">
        <v>2163</v>
      </c>
      <c r="F2247" t="str">
        <f>HYPERLINK("https://drillhole.pir.sa.gov.au/Details.aspx?DRILLHOLE_NO=207047","Geol Survey Link")</f>
        <v>Geol Survey Link</v>
      </c>
      <c r="I2247">
        <v>-30.706099999999999</v>
      </c>
      <c r="J2247">
        <v>134.53100000000001</v>
      </c>
      <c r="K2247" t="str">
        <f>HYPERLINK("https://sarigdata.pir.sa.gov.au/nvcl/NVCLDataServices/mosaic.html?datasetid=3e919c37-25ed-41b5-aec3-bf099447bbf","207047_GP004D_Core Image")</f>
        <v>207047_GP004D_Core Image</v>
      </c>
    </row>
    <row r="2248" spans="1:11" x14ac:dyDescent="0.25">
      <c r="A2248" t="str">
        <f>HYPERLINK("http://www.corstruth.com.au/SA/20711_EC21_cs.png","20711_EC21_A4")</f>
        <v>20711_EC21_A4</v>
      </c>
      <c r="D2248">
        <v>20711</v>
      </c>
      <c r="E2248" t="s">
        <v>2163</v>
      </c>
      <c r="F2248" t="str">
        <f>HYPERLINK("https://drillhole.pir.sa.gov.au/Details.aspx?DRILLHOLE_NO=20711","Geol Survey Link")</f>
        <v>Geol Survey Link</v>
      </c>
      <c r="I2248">
        <v>-31.377500000000001</v>
      </c>
      <c r="J2248">
        <v>137.21</v>
      </c>
      <c r="K2248" t="str">
        <f>HYPERLINK("https://sarigdata.pir.sa.gov.au/nvcl/NVCLDataServices/mosaic.html?datasetid=9e3f064a-cecd-416a-8a3a-f115c7ac51d","20711_EC21_Core Image")</f>
        <v>20711_EC21_Core Image</v>
      </c>
    </row>
    <row r="2249" spans="1:11" x14ac:dyDescent="0.25">
      <c r="A2249" t="str">
        <f>HYPERLINK("http://www.corstruth.com.au/SA/20712_PY1_cs.png","20712_PY1_A4")</f>
        <v>20712_PY1_A4</v>
      </c>
      <c r="B2249" t="str">
        <f>HYPERLINK("http://www.corstruth.com.au/SA/PNG2/20712_PY1_cs.png","20712_PY1_0.25m Bins")</f>
        <v>20712_PY1_0.25m Bins</v>
      </c>
      <c r="C2249" t="str">
        <f>HYPERLINK("http://www.corstruth.com.au/SA/CSV/20712_PY1.csv","20712_PY1_CSV File 1m Bins")</f>
        <v>20712_PY1_CSV File 1m Bins</v>
      </c>
      <c r="D2249">
        <v>20712</v>
      </c>
      <c r="E2249" t="s">
        <v>2163</v>
      </c>
      <c r="F2249" t="str">
        <f>HYPERLINK("https://drillhole.pir.sa.gov.au/Details.aspx?DRILLHOLE_NO=20712","Geol Survey Link")</f>
        <v>Geol Survey Link</v>
      </c>
      <c r="I2249">
        <v>-31.47</v>
      </c>
      <c r="J2249">
        <v>137.20400000000001</v>
      </c>
      <c r="K2249" t="str">
        <f>HYPERLINK("https://sarigdata.pir.sa.gov.au/nvcl/NVCLDataServices/mosaic.html?datasetid=4b274f37-f515-467f-b5c1-79fdb078c26","20712_PY1_Core Image")</f>
        <v>20712_PY1_Core Image</v>
      </c>
    </row>
    <row r="2250" spans="1:11" x14ac:dyDescent="0.25">
      <c r="A2250" t="str">
        <f>HYPERLINK("http://www.corstruth.com.au/SA/20713_PY2_cs.png","20713_PY2_A4")</f>
        <v>20713_PY2_A4</v>
      </c>
      <c r="D2250">
        <v>20713</v>
      </c>
      <c r="E2250" t="s">
        <v>2163</v>
      </c>
      <c r="F2250" t="str">
        <f>HYPERLINK("https://drillhole.pir.sa.gov.au/Details.aspx?DRILLHOLE_NO=20713","Geol Survey Link")</f>
        <v>Geol Survey Link</v>
      </c>
      <c r="I2250">
        <v>-31.409700000000001</v>
      </c>
      <c r="J2250">
        <v>137.21899999999999</v>
      </c>
      <c r="K2250" t="str">
        <f>HYPERLINK("https://sarigdata.pir.sa.gov.au/nvcl/NVCLDataServices/mosaic.html?datasetid=36a7f5ba-78c9-4d76-a81c-f0b5672d910","20713_PY2_Core Image")</f>
        <v>20713_PY2_Core Image</v>
      </c>
    </row>
    <row r="2251" spans="1:11" x14ac:dyDescent="0.25">
      <c r="A2251" t="str">
        <f>HYPERLINK("http://www.corstruth.com.au/SA/20714_PY3_cs.png","20714_PY3_A4")</f>
        <v>20714_PY3_A4</v>
      </c>
      <c r="D2251">
        <v>20714</v>
      </c>
      <c r="E2251" t="s">
        <v>2163</v>
      </c>
      <c r="F2251" t="str">
        <f>HYPERLINK("https://drillhole.pir.sa.gov.au/Details.aspx?DRILLHOLE_NO=20714","Geol Survey Link")</f>
        <v>Geol Survey Link</v>
      </c>
      <c r="I2251">
        <v>-31.394500000000001</v>
      </c>
      <c r="J2251">
        <v>137.20099999999999</v>
      </c>
      <c r="K2251" t="str">
        <f>HYPERLINK("https://sarigdata.pir.sa.gov.au/nvcl/NVCLDataServices/mosaic.html?datasetid=0144765f-3d45-4772-8c71-38e8af7f55d","20714_PY3_Core Image")</f>
        <v>20714_PY3_Core Image</v>
      </c>
    </row>
    <row r="2252" spans="1:11" x14ac:dyDescent="0.25">
      <c r="A2252" t="str">
        <f>HYPERLINK("http://www.corstruth.com.au/SA/20715_PY4_cs.png","20715_PY4_A4")</f>
        <v>20715_PY4_A4</v>
      </c>
      <c r="D2252">
        <v>20715</v>
      </c>
      <c r="E2252" t="s">
        <v>2163</v>
      </c>
      <c r="F2252" t="str">
        <f>HYPERLINK("https://drillhole.pir.sa.gov.au/Details.aspx?DRILLHOLE_NO=20715","Geol Survey Link")</f>
        <v>Geol Survey Link</v>
      </c>
      <c r="I2252">
        <v>-31.462199999999999</v>
      </c>
      <c r="J2252">
        <v>137.23400000000001</v>
      </c>
      <c r="K2252" t="str">
        <f>HYPERLINK("https://sarigdata.pir.sa.gov.au/nvcl/NVCLDataServices/mosaic.html?datasetid=1e1554af-8032-46a8-88e0-0930e62d1a5","20715_PY4_Core Image")</f>
        <v>20715_PY4_Core Image</v>
      </c>
    </row>
    <row r="2253" spans="1:11" x14ac:dyDescent="0.25">
      <c r="A2253" t="str">
        <f>HYPERLINK("http://www.corstruth.com.au/SA/20716_PLR3_SAR2_cs.png","20716_PLR3_SAR2_A4")</f>
        <v>20716_PLR3_SAR2_A4</v>
      </c>
      <c r="D2253">
        <v>20716</v>
      </c>
      <c r="E2253" t="s">
        <v>2163</v>
      </c>
      <c r="F2253" t="str">
        <f>HYPERLINK("https://drillhole.pir.sa.gov.au/Details.aspx?DRILLHOLE_NO=20716","Geol Survey Link")</f>
        <v>Geol Survey Link</v>
      </c>
      <c r="I2253">
        <v>-31.428999999999998</v>
      </c>
      <c r="J2253">
        <v>137.376</v>
      </c>
      <c r="K2253" t="str">
        <f>HYPERLINK("https://sarigdata.pir.sa.gov.au/nvcl/NVCLDataServices/mosaic.html?datasetid=f37a2261-e651-4234-abe3-3abab8552f1","20716_PLR3_SAR2_Core Image")</f>
        <v>20716_PLR3_SAR2_Core Image</v>
      </c>
    </row>
    <row r="2254" spans="1:11" x14ac:dyDescent="0.25">
      <c r="A2254" t="str">
        <f>HYPERLINK("http://www.corstruth.com.au/SA/20716_SAR2_cs.png","20716_SAR2_A4")</f>
        <v>20716_SAR2_A4</v>
      </c>
      <c r="B2254" t="str">
        <f>HYPERLINK("http://www.corstruth.com.au/SA/PNG2/20716_SAR2_cs.png","20716_SAR2_0.25m Bins")</f>
        <v>20716_SAR2_0.25m Bins</v>
      </c>
      <c r="C2254" t="str">
        <f>HYPERLINK("http://www.corstruth.com.au/SA/CSV/20716_SAR2.csv","20716_SAR2_CSV File 1m Bins")</f>
        <v>20716_SAR2_CSV File 1m Bins</v>
      </c>
      <c r="D2254">
        <v>20716</v>
      </c>
      <c r="E2254" t="s">
        <v>2163</v>
      </c>
      <c r="F2254" t="str">
        <f>HYPERLINK("https://drillhole.pir.sa.gov.au/Details.aspx?DRILLHOLE_NO=20716","Geol Survey Link")</f>
        <v>Geol Survey Link</v>
      </c>
      <c r="I2254">
        <v>-31.428999999999998</v>
      </c>
      <c r="J2254">
        <v>137.376</v>
      </c>
      <c r="K2254" t="str">
        <f>HYPERLINK("https://sarigdata.pir.sa.gov.au/nvcl/NVCLDataServices/mosaic.html?datasetid=f37a2261-e651-4234-abe3-3abab8552f1","20716_SAR2_Core Image")</f>
        <v>20716_SAR2_Core Image</v>
      </c>
    </row>
    <row r="2255" spans="1:11" x14ac:dyDescent="0.25">
      <c r="A2255" t="str">
        <f>HYPERLINK("http://www.corstruth.com.au/SA/20717_PRL4_SAR3_cs.png","20717_PRL4_SAR3_A4")</f>
        <v>20717_PRL4_SAR3_A4</v>
      </c>
      <c r="D2255">
        <v>20717</v>
      </c>
      <c r="E2255" t="s">
        <v>2163</v>
      </c>
      <c r="F2255" t="str">
        <f>HYPERLINK("https://drillhole.pir.sa.gov.au/Details.aspx?DRILLHOLE_NO=20717","Geol Survey Link")</f>
        <v>Geol Survey Link</v>
      </c>
      <c r="I2255">
        <v>-31.2608</v>
      </c>
      <c r="J2255">
        <v>137.386</v>
      </c>
      <c r="K2255" t="str">
        <f>HYPERLINK("https://sarigdata.pir.sa.gov.au/nvcl/NVCLDataServices/mosaic.html?datasetid=c383447e-21cc-4489-84c7-8f9e3fd1a07","20717_PRL4_SAR3_Core Image")</f>
        <v>20717_PRL4_SAR3_Core Image</v>
      </c>
    </row>
    <row r="2256" spans="1:11" x14ac:dyDescent="0.25">
      <c r="A2256" t="str">
        <f>HYPERLINK("http://www.corstruth.com.au/SA/20718_PRL5_SAR4_cs.png","20718_PRL5_SAR4_A4")</f>
        <v>20718_PRL5_SAR4_A4</v>
      </c>
      <c r="B2256" t="str">
        <f>HYPERLINK("http://www.corstruth.com.au/SA/PNG2/20718_PRL5_SAR4_cs.png","20718_PRL5_SAR4_0.25m Bins")</f>
        <v>20718_PRL5_SAR4_0.25m Bins</v>
      </c>
      <c r="C2256" t="str">
        <f>HYPERLINK("http://www.corstruth.com.au/SA/CSV/20718_PRL5_SAR4.csv","20718_PRL5_SAR4_CSV File 1m Bins")</f>
        <v>20718_PRL5_SAR4_CSV File 1m Bins</v>
      </c>
      <c r="D2256">
        <v>20718</v>
      </c>
      <c r="E2256" t="s">
        <v>2163</v>
      </c>
      <c r="F2256" t="str">
        <f>HYPERLINK("https://drillhole.pir.sa.gov.au/Details.aspx?DRILLHOLE_NO=20718","Geol Survey Link")</f>
        <v>Geol Survey Link</v>
      </c>
      <c r="I2256">
        <v>-31.315300000000001</v>
      </c>
      <c r="J2256">
        <v>137.334</v>
      </c>
      <c r="K2256" t="str">
        <f>HYPERLINK("https://sarigdata.pir.sa.gov.au/nvcl/NVCLDataServices/mosaic.html?datasetid=369c81d3-1a8d-409f-a523-daa93604ebe","20718_PRL5_SAR4_Core Image")</f>
        <v>20718_PRL5_SAR4_Core Image</v>
      </c>
    </row>
    <row r="2257" spans="1:11" x14ac:dyDescent="0.25">
      <c r="A2257" t="str">
        <f>HYPERLINK("http://www.corstruth.com.au/SA/20721_HUD1_cs.png","20721_HUD1_A4")</f>
        <v>20721_HUD1_A4</v>
      </c>
      <c r="B2257" t="str">
        <f>HYPERLINK("http://www.corstruth.com.au/SA/PNG2/20721_HUD1_cs.png","20721_HUD1_0.25m Bins")</f>
        <v>20721_HUD1_0.25m Bins</v>
      </c>
      <c r="C2257" t="str">
        <f>HYPERLINK("http://www.corstruth.com.au/SA/CSV/20721_HUD1.csv","20721_HUD1_CSV File 1m Bins")</f>
        <v>20721_HUD1_CSV File 1m Bins</v>
      </c>
      <c r="D2257">
        <v>20721</v>
      </c>
      <c r="E2257" t="s">
        <v>2163</v>
      </c>
      <c r="F2257" t="str">
        <f>HYPERLINK("https://drillhole.pir.sa.gov.au/Details.aspx?DRILLHOLE_NO=20721","Geol Survey Link")</f>
        <v>Geol Survey Link</v>
      </c>
      <c r="I2257">
        <v>-31.179200000000002</v>
      </c>
      <c r="J2257">
        <v>137.34200000000001</v>
      </c>
      <c r="K2257" t="str">
        <f>HYPERLINK("https://sarigdata.pir.sa.gov.au/nvcl/NVCLDataServices/mosaic.html?datasetid=4412c6a7-228a-4a91-b71c-d99b9cded93","20721_HUD1_Core Image")</f>
        <v>20721_HUD1_Core Image</v>
      </c>
    </row>
    <row r="2258" spans="1:11" x14ac:dyDescent="0.25">
      <c r="A2258" t="str">
        <f>HYPERLINK("http://www.corstruth.com.au/SA/20722_ASD1_cs.png","20722_ASD1_A4")</f>
        <v>20722_ASD1_A4</v>
      </c>
      <c r="D2258">
        <v>20722</v>
      </c>
      <c r="E2258" t="s">
        <v>2163</v>
      </c>
      <c r="F2258" t="str">
        <f>HYPERLINK("https://drillhole.pir.sa.gov.au/Details.aspx?DRILLHOLE_NO=20722","Geol Survey Link")</f>
        <v>Geol Survey Link</v>
      </c>
      <c r="I2258">
        <v>-31.0365</v>
      </c>
      <c r="J2258">
        <v>137.10900000000001</v>
      </c>
      <c r="K2258" t="str">
        <f>HYPERLINK("https://sarigdata.pir.sa.gov.au/nvcl/NVCLDataServices/mosaic.html?datasetid=a2d74d03-999b-4803-b86f-4aedcf766eb","20722_ASD1_Core Image")</f>
        <v>20722_ASD1_Core Image</v>
      </c>
    </row>
    <row r="2259" spans="1:11" x14ac:dyDescent="0.25">
      <c r="A2259" t="str">
        <f>HYPERLINK("http://www.corstruth.com.au/SA/20723_ASD2_cs.png","20723_ASD2_A4")</f>
        <v>20723_ASD2_A4</v>
      </c>
      <c r="D2259">
        <v>20723</v>
      </c>
      <c r="E2259" t="s">
        <v>2163</v>
      </c>
      <c r="F2259" t="str">
        <f>HYPERLINK("https://drillhole.pir.sa.gov.au/Details.aspx?DRILLHOLE_NO=20723","Geol Survey Link")</f>
        <v>Geol Survey Link</v>
      </c>
      <c r="I2259">
        <v>-31.02</v>
      </c>
      <c r="J2259">
        <v>137.02199999999999</v>
      </c>
      <c r="K2259" t="str">
        <f>HYPERLINK("https://sarigdata.pir.sa.gov.au/nvcl/NVCLDataServices/mosaic.html?datasetid=5a2dc247-aa15-4b66-ab4f-e6ea3c001a5","20723_ASD2_Core Image")</f>
        <v>20723_ASD2_Core Image</v>
      </c>
    </row>
    <row r="2260" spans="1:11" x14ac:dyDescent="0.25">
      <c r="A2260" t="str">
        <f>HYPERLINK("http://www.corstruth.com.au/SA/20724_AD8_cs.png","20724_AD8_A4")</f>
        <v>20724_AD8_A4</v>
      </c>
      <c r="D2260">
        <v>20724</v>
      </c>
      <c r="E2260" t="s">
        <v>2163</v>
      </c>
      <c r="F2260" t="str">
        <f>HYPERLINK("https://drillhole.pir.sa.gov.au/Details.aspx?DRILLHOLE_NO=20724","Geol Survey Link")</f>
        <v>Geol Survey Link</v>
      </c>
      <c r="I2260">
        <v>-31.095099999999999</v>
      </c>
      <c r="J2260">
        <v>137.12299999999999</v>
      </c>
      <c r="K2260" t="str">
        <f>HYPERLINK("https://sarigdata.pir.sa.gov.au/nvcl/NVCLDataServices/mosaic.html?datasetid=5e0424d7-aa65-479a-a09d-1c52ced425a","20724_AD8_Core Image")</f>
        <v>20724_AD8_Core Image</v>
      </c>
    </row>
    <row r="2261" spans="1:11" x14ac:dyDescent="0.25">
      <c r="A2261" t="str">
        <f>HYPERLINK("http://www.corstruth.com.au/SA/20726_AD2_cs.png","20726_AD2_A4")</f>
        <v>20726_AD2_A4</v>
      </c>
      <c r="D2261">
        <v>20726</v>
      </c>
      <c r="E2261" t="s">
        <v>2163</v>
      </c>
      <c r="F2261" t="str">
        <f>HYPERLINK("https://drillhole.pir.sa.gov.au/Details.aspx?DRILLHOLE_NO=20726","Geol Survey Link")</f>
        <v>Geol Survey Link</v>
      </c>
      <c r="I2261">
        <v>-31.0899</v>
      </c>
      <c r="J2261">
        <v>137.13</v>
      </c>
      <c r="K2261" t="str">
        <f>HYPERLINK("https://sarigdata.pir.sa.gov.au/nvcl/NVCLDataServices/mosaic.html?datasetid=841140aa-e979-447d-a5fd-8ab79eae42f","20726_AD2_Core Image")</f>
        <v>20726_AD2_Core Image</v>
      </c>
    </row>
    <row r="2262" spans="1:11" x14ac:dyDescent="0.25">
      <c r="A2262" t="str">
        <f>HYPERLINK("http://www.corstruth.com.au/SA/20728_SASC4_cs.png","20728_SASC4_A4")</f>
        <v>20728_SASC4_A4</v>
      </c>
      <c r="D2262">
        <v>20728</v>
      </c>
      <c r="E2262" t="s">
        <v>2163</v>
      </c>
      <c r="F2262" t="str">
        <f>HYPERLINK("https://drillhole.pir.sa.gov.au/Details.aspx?DRILLHOLE_NO=20728","Geol Survey Link")</f>
        <v>Geol Survey Link</v>
      </c>
      <c r="I2262">
        <v>-31.202000000000002</v>
      </c>
      <c r="J2262">
        <v>137.423</v>
      </c>
      <c r="K2262" t="str">
        <f>HYPERLINK("https://sarigdata.pir.sa.gov.au/nvcl/NVCLDataServices/mosaic.html?datasetid=d2cb8013-7f5b-4f40-8d92-0478526d002","20728_SASC4_Core Image")</f>
        <v>20728_SASC4_Core Image</v>
      </c>
    </row>
    <row r="2263" spans="1:11" x14ac:dyDescent="0.25">
      <c r="A2263" t="str">
        <f>HYPERLINK("http://www.corstruth.com.au/SA/207463_KD31_Kapunda_cs.png","207463_KD31_Kapunda_A4")</f>
        <v>207463_KD31_Kapunda_A4</v>
      </c>
      <c r="D2263">
        <v>207463</v>
      </c>
      <c r="E2263" t="s">
        <v>2163</v>
      </c>
      <c r="F2263" t="str">
        <f>HYPERLINK("https://drillhole.pir.sa.gov.au/Details.aspx?DRILLHOLE_NO=207463","Geol Survey Link")</f>
        <v>Geol Survey Link</v>
      </c>
      <c r="I2263">
        <v>-34.297699999999999</v>
      </c>
      <c r="J2263">
        <v>138.96899999999999</v>
      </c>
      <c r="K2263" t="str">
        <f>HYPERLINK("https://sarigdata.pir.sa.gov.au/nvcl/NVCLDataServices/mosaic.html?datasetid=d5b1cfd3-12f7-476d-81a8-1ec15688ec0","207463_KD31_Kapunda_Core Image")</f>
        <v>207463_KD31_Kapunda_Core Image</v>
      </c>
    </row>
    <row r="2264" spans="1:11" x14ac:dyDescent="0.25">
      <c r="A2264" t="str">
        <f>HYPERLINK("http://www.corstruth.com.au/SA/20769_DRD1_cs.png","20769_DRD1_A4")</f>
        <v>20769_DRD1_A4</v>
      </c>
      <c r="B2264" t="str">
        <f>HYPERLINK("http://www.corstruth.com.au/SA/PNG2/20769_DRD1_cs.png","20769_DRD1_0.25m Bins")</f>
        <v>20769_DRD1_0.25m Bins</v>
      </c>
      <c r="C2264" t="str">
        <f>HYPERLINK("http://www.corstruth.com.au/SA/CSV/20769_DRD1.csv","20769_DRD1_CSV File 1m Bins")</f>
        <v>20769_DRD1_CSV File 1m Bins</v>
      </c>
      <c r="D2264">
        <v>20769</v>
      </c>
      <c r="E2264" t="s">
        <v>2163</v>
      </c>
      <c r="F2264" t="str">
        <f>HYPERLINK("https://drillhole.pir.sa.gov.au/Details.aspx?DRILLHOLE_NO=20769","Geol Survey Link")</f>
        <v>Geol Survey Link</v>
      </c>
      <c r="I2264">
        <v>-30.784400000000002</v>
      </c>
      <c r="J2264">
        <v>137.17400000000001</v>
      </c>
      <c r="K2264" t="str">
        <f>HYPERLINK("https://sarigdata.pir.sa.gov.au/nvcl/NVCLDataServices/mosaic.html?datasetid=e1748b89-4c4a-402d-9cc3-abbe8bee010","20769_DRD1_Core Image")</f>
        <v>20769_DRD1_Core Image</v>
      </c>
    </row>
    <row r="2265" spans="1:11" x14ac:dyDescent="0.25">
      <c r="A2265" t="str">
        <f>HYPERLINK("http://www.corstruth.com.au/SA/20770_HWD1_cs.png","20770_HWD1_A4")</f>
        <v>20770_HWD1_A4</v>
      </c>
      <c r="B2265" t="str">
        <f>HYPERLINK("http://www.corstruth.com.au/SA/PNG2/20770_HWD1_cs.png","20770_HWD1_0.25m Bins")</f>
        <v>20770_HWD1_0.25m Bins</v>
      </c>
      <c r="C2265" t="str">
        <f>HYPERLINK("http://www.corstruth.com.au/SA/CSV/20770_HWD1.csv","20770_HWD1_CSV File 1m Bins")</f>
        <v>20770_HWD1_CSV File 1m Bins</v>
      </c>
      <c r="D2265">
        <v>20770</v>
      </c>
      <c r="E2265" t="s">
        <v>2163</v>
      </c>
      <c r="F2265" t="str">
        <f>HYPERLINK("https://drillhole.pir.sa.gov.au/Details.aspx?DRILLHOLE_NO=20770","Geol Survey Link")</f>
        <v>Geol Survey Link</v>
      </c>
      <c r="I2265">
        <v>-30.937200000000001</v>
      </c>
      <c r="J2265">
        <v>137.05099999999999</v>
      </c>
      <c r="K2265" t="str">
        <f>HYPERLINK("https://sarigdata.pir.sa.gov.au/nvcl/NVCLDataServices/mosaic.html?datasetid=74163406-48e4-4c32-8253-08951fd60a1","20770_HWD1_Core Image")</f>
        <v>20770_HWD1_Core Image</v>
      </c>
    </row>
    <row r="2266" spans="1:11" x14ac:dyDescent="0.25">
      <c r="A2266" t="str">
        <f>HYPERLINK("http://www.corstruth.com.au/SA/20772_RED2_cs.png","20772_RED2_A4")</f>
        <v>20772_RED2_A4</v>
      </c>
      <c r="B2266" t="str">
        <f>HYPERLINK("http://www.corstruth.com.au/SA/PNG2/20772_RED2_cs.png","20772_RED2_0.25m Bins")</f>
        <v>20772_RED2_0.25m Bins</v>
      </c>
      <c r="C2266" t="str">
        <f>HYPERLINK("http://www.corstruth.com.au/SA/CSV/20772_RED2.csv","20772_RED2_CSV File 1m Bins")</f>
        <v>20772_RED2_CSV File 1m Bins</v>
      </c>
      <c r="D2266">
        <v>20772</v>
      </c>
      <c r="E2266" t="s">
        <v>2163</v>
      </c>
      <c r="F2266" t="str">
        <f>HYPERLINK("https://drillhole.pir.sa.gov.au/Details.aspx?DRILLHOLE_NO=20772","Geol Survey Link")</f>
        <v>Geol Survey Link</v>
      </c>
      <c r="I2266">
        <v>-30.575500000000002</v>
      </c>
      <c r="J2266">
        <v>137.36799999999999</v>
      </c>
      <c r="K2266" t="str">
        <f>HYPERLINK("https://sarigdata.pir.sa.gov.au/nvcl/NVCLDataServices/mosaic.html?datasetid=8cc43c41-6b3f-47cf-9049-2e171e83c8f","20772_RED2_Core Image")</f>
        <v>20772_RED2_Core Image</v>
      </c>
    </row>
    <row r="2267" spans="1:11" x14ac:dyDescent="0.25">
      <c r="A2267" t="str">
        <f>HYPERLINK("http://www.corstruth.com.au/SA/20773_WLD1_cs.png","20773_WLD1_A4")</f>
        <v>20773_WLD1_A4</v>
      </c>
      <c r="B2267" t="str">
        <f>HYPERLINK("http://www.corstruth.com.au/SA/PNG2/20773_WLD1_cs.png","20773_WLD1_0.25m Bins")</f>
        <v>20773_WLD1_0.25m Bins</v>
      </c>
      <c r="C2267" t="str">
        <f>HYPERLINK("http://www.corstruth.com.au/SA/CSV/20773_WLD1.csv","20773_WLD1_CSV File 1m Bins")</f>
        <v>20773_WLD1_CSV File 1m Bins</v>
      </c>
      <c r="D2267">
        <v>20773</v>
      </c>
      <c r="E2267" t="s">
        <v>2163</v>
      </c>
      <c r="F2267" t="str">
        <f>HYPERLINK("https://drillhole.pir.sa.gov.au/Details.aspx?DRILLHOLE_NO=20773","Geol Survey Link")</f>
        <v>Geol Survey Link</v>
      </c>
      <c r="I2267">
        <v>-30.657299999999999</v>
      </c>
      <c r="J2267">
        <v>137.30799999999999</v>
      </c>
      <c r="K2267" t="str">
        <f>HYPERLINK("https://sarigdata.pir.sa.gov.au/nvcl/NVCLDataServices/mosaic.html?datasetid=cd82e601-1c90-45a2-b6ab-6e42658eafd","20773_WLD1_Core Image")</f>
        <v>20773_WLD1_Core Image</v>
      </c>
    </row>
    <row r="2268" spans="1:11" x14ac:dyDescent="0.25">
      <c r="A2268" t="str">
        <f>HYPERLINK("http://www.corstruth.com.au/SA/20828_SHD1_cs.png","20828_SHD1_A4")</f>
        <v>20828_SHD1_A4</v>
      </c>
      <c r="B2268" t="str">
        <f>HYPERLINK("http://www.corstruth.com.au/SA/PNG2/20828_SHD1_cs.png","20828_SHD1_0.25m Bins")</f>
        <v>20828_SHD1_0.25m Bins</v>
      </c>
      <c r="C2268" t="str">
        <f>HYPERLINK("http://www.corstruth.com.au/SA/CSV/20828_SHD1.csv","20828_SHD1_CSV File 1m Bins")</f>
        <v>20828_SHD1_CSV File 1m Bins</v>
      </c>
      <c r="D2268">
        <v>20828</v>
      </c>
      <c r="E2268" t="s">
        <v>2163</v>
      </c>
      <c r="F2268" t="str">
        <f>HYPERLINK("https://drillhole.pir.sa.gov.au/Details.aspx?DRILLHOLE_NO=20828","Geol Survey Link")</f>
        <v>Geol Survey Link</v>
      </c>
      <c r="I2268">
        <v>-30.1858</v>
      </c>
      <c r="J2268">
        <v>137.00200000000001</v>
      </c>
      <c r="K2268" t="str">
        <f>HYPERLINK("https://sarigdata.pir.sa.gov.au/nvcl/NVCLDataServices/mosaic.html?datasetid=51f8c3e9-6519-42a6-942e-26388a4ce90","20828_SHD1_Core Image")</f>
        <v>20828_SHD1_Core Image</v>
      </c>
    </row>
    <row r="2269" spans="1:11" x14ac:dyDescent="0.25">
      <c r="A2269" t="str">
        <f>HYPERLINK("http://www.corstruth.com.au/SA/20829_SCYW-79_cs.png","20829_SCYW-79_A4")</f>
        <v>20829_SCYW-79_A4</v>
      </c>
      <c r="B2269" t="str">
        <f>HYPERLINK("http://www.corstruth.com.au/SA/PNG2/20829_SCYW-79_cs.png","20829_SCYW-79_0.25m Bins")</f>
        <v>20829_SCYW-79_0.25m Bins</v>
      </c>
      <c r="C2269" t="str">
        <f>HYPERLINK("http://www.corstruth.com.au/SA/CSV/20829_SCYW-79.csv","20829_SCYW-79_CSV File 1m Bins")</f>
        <v>20829_SCYW-79_CSV File 1m Bins</v>
      </c>
      <c r="D2269">
        <v>20829</v>
      </c>
      <c r="E2269" t="s">
        <v>2163</v>
      </c>
      <c r="F2269" t="str">
        <f>HYPERLINK("https://drillhole.pir.sa.gov.au/Details.aspx?DRILLHOLE_NO=20829","Geol Survey Link")</f>
        <v>Geol Survey Link</v>
      </c>
      <c r="I2269">
        <v>-30.1249</v>
      </c>
      <c r="J2269">
        <v>137.15700000000001</v>
      </c>
      <c r="K2269" t="str">
        <f>HYPERLINK("https://sarigdata.pir.sa.gov.au/nvcl/NVCLDataServices/mosaic.html?datasetid=559c9b87-682e-4939-a734-f0073951fbd","20829_SCYW-79_Core Image")</f>
        <v>20829_SCYW-79_Core Image</v>
      </c>
    </row>
    <row r="2270" spans="1:11" x14ac:dyDescent="0.25">
      <c r="A2270" t="str">
        <f>HYPERLINK("http://www.corstruth.com.au/SA/20831_BLD2_cs.png","20831_BLD2_A4")</f>
        <v>20831_BLD2_A4</v>
      </c>
      <c r="B2270" t="str">
        <f>HYPERLINK("http://www.corstruth.com.au/SA/PNG2/20831_BLD2_cs.png","20831_BLD2_0.25m Bins")</f>
        <v>20831_BLD2_0.25m Bins</v>
      </c>
      <c r="C2270" t="str">
        <f>HYPERLINK("http://www.corstruth.com.au/SA/CSV/20831_BLD2.csv","20831_BLD2_CSV File 1m Bins")</f>
        <v>20831_BLD2_CSV File 1m Bins</v>
      </c>
      <c r="D2270">
        <v>20831</v>
      </c>
      <c r="E2270" t="s">
        <v>2163</v>
      </c>
      <c r="F2270" t="str">
        <f>HYPERLINK("https://drillhole.pir.sa.gov.au/Details.aspx?DRILLHOLE_NO=20831","Geol Survey Link")</f>
        <v>Geol Survey Link</v>
      </c>
      <c r="I2270">
        <v>-30.412500000000001</v>
      </c>
      <c r="J2270">
        <v>137.26300000000001</v>
      </c>
      <c r="K2270" t="str">
        <f>HYPERLINK("https://sarigdata.pir.sa.gov.au/nvcl/NVCLDataServices/mosaic.html?datasetid=97be790a-6902-4a09-991f-4655f00bcf1","20831_BLD2_Core Image")</f>
        <v>20831_BLD2_Core Image</v>
      </c>
    </row>
    <row r="2271" spans="1:11" x14ac:dyDescent="0.25">
      <c r="A2271" t="str">
        <f>HYPERLINK("http://www.corstruth.com.au/SA/20832_BLD3_cs.png","20832_BLD3_A4")</f>
        <v>20832_BLD3_A4</v>
      </c>
      <c r="B2271" t="str">
        <f>HYPERLINK("http://www.corstruth.com.au/SA/PNG2/20832_BLD3_cs.png","20832_BLD3_0.25m Bins")</f>
        <v>20832_BLD3_0.25m Bins</v>
      </c>
      <c r="C2271" t="str">
        <f>HYPERLINK("http://www.corstruth.com.au/SA/CSV/20832_BLD3.csv","20832_BLD3_CSV File 1m Bins")</f>
        <v>20832_BLD3_CSV File 1m Bins</v>
      </c>
      <c r="D2271">
        <v>20832</v>
      </c>
      <c r="E2271" t="s">
        <v>2163</v>
      </c>
      <c r="F2271" t="str">
        <f>HYPERLINK("https://drillhole.pir.sa.gov.au/Details.aspx?DRILLHOLE_NO=20832","Geol Survey Link")</f>
        <v>Geol Survey Link</v>
      </c>
      <c r="I2271">
        <v>-30.375299999999999</v>
      </c>
      <c r="J2271">
        <v>137.32</v>
      </c>
      <c r="K2271" t="str">
        <f>HYPERLINK("https://sarigdata.pir.sa.gov.au/nvcl/NVCLDataServices/mosaic.html?datasetid=9ba6ab6b-b490-42cc-80cd-c5c24bb4b22","20832_BLD3_Core Image")</f>
        <v>20832_BLD3_Core Image</v>
      </c>
    </row>
    <row r="2272" spans="1:11" x14ac:dyDescent="0.25">
      <c r="A2272" t="str">
        <f>HYPERLINK("http://www.corstruth.com.au/SA/209645__LED007_cs.png","209645__LED007_A4")</f>
        <v>209645__LED007_A4</v>
      </c>
      <c r="B2272" t="str">
        <f>HYPERLINK("http://www.corstruth.com.au/SA/PNG2/209645__LED007_cs.png","209645__LED007_0.25m Bins")</f>
        <v>209645__LED007_0.25m Bins</v>
      </c>
      <c r="C2272" t="str">
        <f>HYPERLINK("http://www.corstruth.com.au/SA/CSV/209645__LED007.csv","209645__LED007_CSV File 1m Bins")</f>
        <v>209645__LED007_CSV File 1m Bins</v>
      </c>
      <c r="D2272">
        <v>209645</v>
      </c>
      <c r="E2272" t="s">
        <v>2163</v>
      </c>
      <c r="F2272" t="str">
        <f>HYPERLINK("https://drillhole.pir.sa.gov.au/Details.aspx?DRILLHOLE_NO=209645","Geol Survey Link")</f>
        <v>Geol Survey Link</v>
      </c>
      <c r="I2272">
        <v>-31.226900000000001</v>
      </c>
      <c r="J2272">
        <v>134.76300000000001</v>
      </c>
      <c r="K2272" t="str">
        <f>HYPERLINK("https://sarigdata.pir.sa.gov.au/nvcl/NVCLDataServices/mosaic.html?datasetid=57807b8d-d3c7-4ff9-98c5-d779cf4c1ee","209645__LED007_Core Image")</f>
        <v>209645__LED007_Core Image</v>
      </c>
    </row>
    <row r="2273" spans="1:11" x14ac:dyDescent="0.25">
      <c r="A2273" t="str">
        <f>HYPERLINK("http://www.corstruth.com.au/SA/209646_LRC34D_cs.png","209646_LRC34D_A4")</f>
        <v>209646_LRC34D_A4</v>
      </c>
      <c r="B2273" t="str">
        <f>HYPERLINK("http://www.corstruth.com.au/SA/PNG2/209646_LRC34D_cs.png","209646_LRC34D_0.25m Bins")</f>
        <v>209646_LRC34D_0.25m Bins</v>
      </c>
      <c r="C2273" t="str">
        <f>HYPERLINK("http://www.corstruth.com.au/SA/CSV/209646_LRC34D.csv","209646_LRC34D_CSV File 1m Bins")</f>
        <v>209646_LRC34D_CSV File 1m Bins</v>
      </c>
      <c r="D2273">
        <v>209646</v>
      </c>
      <c r="E2273" t="s">
        <v>2163</v>
      </c>
      <c r="F2273" t="str">
        <f>HYPERLINK("https://drillhole.pir.sa.gov.au/Details.aspx?DRILLHOLE_NO=209646","Geol Survey Link")</f>
        <v>Geol Survey Link</v>
      </c>
      <c r="I2273">
        <v>-31.226900000000001</v>
      </c>
      <c r="J2273">
        <v>134.76599999999999</v>
      </c>
      <c r="K2273" t="str">
        <f>HYPERLINK("https://sarigdata.pir.sa.gov.au/nvcl/NVCLDataServices/mosaic.html?datasetid=1a02f1c8-ce53-41b5-a985-d19392d599f","209646_LRC34D_Core Image")</f>
        <v>209646_LRC34D_Core Image</v>
      </c>
    </row>
    <row r="2274" spans="1:11" x14ac:dyDescent="0.25">
      <c r="A2274" t="str">
        <f>HYPERLINK("http://www.corstruth.com.au/SA/209648_LRC64D_cs.png","209648_LRC64D_A4")</f>
        <v>209648_LRC64D_A4</v>
      </c>
      <c r="B2274" t="str">
        <f>HYPERLINK("http://www.corstruth.com.au/SA/PNG2/209648_LRC64D_cs.png","209648_LRC64D_0.25m Bins")</f>
        <v>209648_LRC64D_0.25m Bins</v>
      </c>
      <c r="C2274" t="str">
        <f>HYPERLINK("http://www.corstruth.com.au/SA/CSV/209648_LRC64D.csv","209648_LRC64D_CSV File 1m Bins")</f>
        <v>209648_LRC64D_CSV File 1m Bins</v>
      </c>
      <c r="D2274">
        <v>209648</v>
      </c>
      <c r="E2274" t="s">
        <v>2163</v>
      </c>
      <c r="F2274" t="str">
        <f>HYPERLINK("https://drillhole.pir.sa.gov.au/Details.aspx?DRILLHOLE_NO=209648","Geol Survey Link")</f>
        <v>Geol Survey Link</v>
      </c>
      <c r="I2274">
        <v>-31.229399999999998</v>
      </c>
      <c r="J2274">
        <v>134.76499999999999</v>
      </c>
      <c r="K2274" t="str">
        <f>HYPERLINK("https://sarigdata.pir.sa.gov.au/nvcl/NVCLDataServices/mosaic.html?datasetid=af0913a7-4774-4072-8551-4898270abed","209648_LRC64D_Core Image")</f>
        <v>209648_LRC64D_Core Image</v>
      </c>
    </row>
    <row r="2275" spans="1:11" x14ac:dyDescent="0.25">
      <c r="A2275" t="str">
        <f>HYPERLINK("http://www.corstruth.com.au/SA/209782_RCDD04MS001_cs.png","209782_RCDD04MS001_A4")</f>
        <v>209782_RCDD04MS001_A4</v>
      </c>
      <c r="B2275" t="str">
        <f>HYPERLINK("http://www.corstruth.com.au/SA/PNG2/209782_RCDD04MS001_cs.png","209782_RCDD04MS001_0.25m Bins")</f>
        <v>209782_RCDD04MS001_0.25m Bins</v>
      </c>
      <c r="C2275" t="str">
        <f>HYPERLINK("http://www.corstruth.com.au/SA/CSV/209782_RCDD04MS001.csv","209782_RCDD04MS001_CSV File 1m Bins")</f>
        <v>209782_RCDD04MS001_CSV File 1m Bins</v>
      </c>
      <c r="D2275">
        <v>209782</v>
      </c>
      <c r="E2275" t="s">
        <v>2163</v>
      </c>
      <c r="F2275" t="str">
        <f>HYPERLINK("https://drillhole.pir.sa.gov.au/Details.aspx?DRILLHOLE_NO=209782","Geol Survey Link")</f>
        <v>Geol Survey Link</v>
      </c>
      <c r="I2275">
        <v>-30.276900000000001</v>
      </c>
      <c r="J2275">
        <v>137.05699999999999</v>
      </c>
      <c r="K2275" t="str">
        <f>HYPERLINK("https://sarigdata.pir.sa.gov.au/nvcl/NVCLDataServices/mosaic.html?datasetid=61920bee-894b-4a4f-8c56-875b7b686aa","209782_RCDD04MS001_Core Image")</f>
        <v>209782_RCDD04MS001_Core Image</v>
      </c>
    </row>
    <row r="2276" spans="1:11" x14ac:dyDescent="0.25">
      <c r="A2276" t="str">
        <f>HYPERLINK("http://www.corstruth.com.au/SA/209917_RC-DD04TI008_cs.png","209917_RC-DD04TI008_A4")</f>
        <v>209917_RC-DD04TI008_A4</v>
      </c>
      <c r="D2276">
        <v>209917</v>
      </c>
      <c r="E2276" t="s">
        <v>2163</v>
      </c>
      <c r="F2276" t="str">
        <f>HYPERLINK("https://drillhole.pir.sa.gov.au/Details.aspx?DRILLHOLE_NO=209917","Geol Survey Link")</f>
        <v>Geol Survey Link</v>
      </c>
      <c r="I2276">
        <v>-30.1523</v>
      </c>
      <c r="J2276">
        <v>136.85</v>
      </c>
      <c r="K2276" t="str">
        <f>HYPERLINK("https://sarigdata.pir.sa.gov.au/nvcl/NVCLDataServices/mosaic.html?datasetid=7587aeab-2f89-4f76-aed5-5db37c0a827","209917_RC-DD04TI008_Core Image")</f>
        <v>209917_RC-DD04TI008_Core Image</v>
      </c>
    </row>
    <row r="2277" spans="1:11" x14ac:dyDescent="0.25">
      <c r="A2277" t="str">
        <f>HYPERLINK("http://www.corstruth.com.au/SA/210004_WC05D001_cs.png","210004_WC05D001_A4")</f>
        <v>210004_WC05D001_A4</v>
      </c>
      <c r="D2277">
        <v>210004</v>
      </c>
      <c r="E2277" t="s">
        <v>2163</v>
      </c>
      <c r="F2277" t="str">
        <f>HYPERLINK("https://drillhole.pir.sa.gov.au/Details.aspx?DRILLHOLE_NO=210004","Geol Survey Link")</f>
        <v>Geol Survey Link</v>
      </c>
      <c r="I2277">
        <v>-29.429300000000001</v>
      </c>
      <c r="J2277">
        <v>135.81299999999999</v>
      </c>
      <c r="K2277" t="str">
        <f>HYPERLINK("https://sarigdata.pir.sa.gov.au/nvcl/NVCLDataServices/mosaic.html?datasetid=832cfbc4-0003-4ad2-ab4f-4c299362d68","210004_WC05D001_Core Image")</f>
        <v>210004_WC05D001_Core Image</v>
      </c>
    </row>
    <row r="2278" spans="1:11" x14ac:dyDescent="0.25">
      <c r="A2278" t="str">
        <f>HYPERLINK("http://www.corstruth.com.au/SA/210004_WC5D1_cs.png","210004_WC5D1_A4")</f>
        <v>210004_WC5D1_A4</v>
      </c>
      <c r="B2278" t="str">
        <f>HYPERLINK("http://www.corstruth.com.au/SA/PNG2/210004_WC5D1_cs.png","210004_WC5D1_0.25m Bins")</f>
        <v>210004_WC5D1_0.25m Bins</v>
      </c>
      <c r="C2278" t="str">
        <f>HYPERLINK("http://www.corstruth.com.au/SA/CSV/210004_WC5D1.csv","210004_WC5D1_CSV File 1m Bins")</f>
        <v>210004_WC5D1_CSV File 1m Bins</v>
      </c>
      <c r="D2278">
        <v>210004</v>
      </c>
      <c r="E2278" t="s">
        <v>2163</v>
      </c>
      <c r="F2278" t="str">
        <f>HYPERLINK("https://drillhole.pir.sa.gov.au/Details.aspx?DRILLHOLE_NO=210004","Geol Survey Link")</f>
        <v>Geol Survey Link</v>
      </c>
      <c r="I2278">
        <v>-29.429300000000001</v>
      </c>
      <c r="J2278">
        <v>135.81299999999999</v>
      </c>
      <c r="K2278" t="str">
        <f>HYPERLINK("https://sarigdata.pir.sa.gov.au/nvcl/NVCLDataServices/mosaic.html?datasetid=832cfbc4-0003-4ad2-ab4f-4c299362d68","210004_WC5D1_Core Image")</f>
        <v>210004_WC5D1_Core Image</v>
      </c>
    </row>
    <row r="2279" spans="1:11" x14ac:dyDescent="0.25">
      <c r="A2279" t="str">
        <f>HYPERLINK("http://www.corstruth.com.au/SA/210005_LB04D004_cs.png","210005_LB04D004_A4")</f>
        <v>210005_LB04D004_A4</v>
      </c>
      <c r="B2279" t="str">
        <f>HYPERLINK("http://www.corstruth.com.au/SA/PNG2/210005_LB04D004_cs.png","210005_LB04D004_0.25m Bins")</f>
        <v>210005_LB04D004_0.25m Bins</v>
      </c>
      <c r="C2279" t="str">
        <f>HYPERLINK("http://www.corstruth.com.au/SA/CSV/210005_LB04D004.csv","210005_LB04D004_CSV File 1m Bins")</f>
        <v>210005_LB04D004_CSV File 1m Bins</v>
      </c>
      <c r="D2279">
        <v>210005</v>
      </c>
      <c r="E2279" t="s">
        <v>2163</v>
      </c>
      <c r="F2279" t="str">
        <f>HYPERLINK("https://drillhole.pir.sa.gov.au/Details.aspx?DRILLHOLE_NO=210005","Geol Survey Link")</f>
        <v>Geol Survey Link</v>
      </c>
      <c r="I2279">
        <v>-30.7271</v>
      </c>
      <c r="J2279">
        <v>135.29</v>
      </c>
      <c r="K2279" t="str">
        <f>HYPERLINK("https://sarigdata.pir.sa.gov.au/nvcl/NVCLDataServices/mosaic.html?datasetid=c123a4a3-bdbb-48b6-ba12-e5def786193","210005_LB04D004_Core Image")</f>
        <v>210005_LB04D004_Core Image</v>
      </c>
    </row>
    <row r="2280" spans="1:11" x14ac:dyDescent="0.25">
      <c r="A2280" t="str">
        <f>HYPERLINK("http://www.corstruth.com.au/SA/210006_LB04D005_cs.png","210006_LB04D005_A4")</f>
        <v>210006_LB04D005_A4</v>
      </c>
      <c r="B2280" t="str">
        <f>HYPERLINK("http://www.corstruth.com.au/SA/PNG2/210006_LB04D005_cs.png","210006_LB04D005_0.25m Bins")</f>
        <v>210006_LB04D005_0.25m Bins</v>
      </c>
      <c r="C2280" t="str">
        <f>HYPERLINK("http://www.corstruth.com.au/SA/CSV/210006_LB04D005.csv","210006_LB04D005_CSV File 1m Bins")</f>
        <v>210006_LB04D005_CSV File 1m Bins</v>
      </c>
      <c r="D2280">
        <v>210006</v>
      </c>
      <c r="E2280" t="s">
        <v>2163</v>
      </c>
      <c r="F2280" t="str">
        <f>HYPERLINK("https://drillhole.pir.sa.gov.au/Details.aspx?DRILLHOLE_NO=210006","Geol Survey Link")</f>
        <v>Geol Survey Link</v>
      </c>
      <c r="I2280">
        <v>-30.7807</v>
      </c>
      <c r="J2280">
        <v>135.24199999999999</v>
      </c>
      <c r="K2280" t="str">
        <f>HYPERLINK("https://sarigdata.pir.sa.gov.au/nvcl/NVCLDataServices/mosaic.html?datasetid=e184266f-86bb-465a-947f-f552d073eb1","210006_LB04D005_Core Image")</f>
        <v>210006_LB04D005_Core Image</v>
      </c>
    </row>
    <row r="2281" spans="1:11" x14ac:dyDescent="0.25">
      <c r="A2281" t="str">
        <f>HYPERLINK("http://www.corstruth.com.au/SA/210035_GEMRC1_cs.png","210035_GEMRC1_A4")</f>
        <v>210035_GEMRC1_A4</v>
      </c>
      <c r="D2281">
        <v>210035</v>
      </c>
      <c r="E2281" t="s">
        <v>2163</v>
      </c>
      <c r="F2281" t="str">
        <f>HYPERLINK("https://drillhole.pir.sa.gov.au/Details.aspx?DRILLHOLE_NO=210035","Geol Survey Link")</f>
        <v>Geol Survey Link</v>
      </c>
      <c r="I2281">
        <v>-29.7806</v>
      </c>
      <c r="J2281">
        <v>135.53800000000001</v>
      </c>
    </row>
    <row r="2282" spans="1:11" x14ac:dyDescent="0.25">
      <c r="A2282" t="str">
        <f>HYPERLINK("http://www.corstruth.com.au/SA/210036_GEMRC2_cs.png","210036_GEMRC2_A4")</f>
        <v>210036_GEMRC2_A4</v>
      </c>
      <c r="D2282">
        <v>210036</v>
      </c>
      <c r="E2282" t="s">
        <v>2163</v>
      </c>
      <c r="F2282" t="str">
        <f>HYPERLINK("https://drillhole.pir.sa.gov.au/Details.aspx?DRILLHOLE_NO=210036","Geol Survey Link")</f>
        <v>Geol Survey Link</v>
      </c>
      <c r="I2282">
        <v>-29.786100000000001</v>
      </c>
      <c r="J2282">
        <v>135.529</v>
      </c>
    </row>
    <row r="2283" spans="1:11" x14ac:dyDescent="0.25">
      <c r="A2283" t="str">
        <f>HYPERLINK("http://www.corstruth.com.au/SA/210037_GEMRC3_cs.png","210037_GEMRC3_A4")</f>
        <v>210037_GEMRC3_A4</v>
      </c>
      <c r="D2283">
        <v>210037</v>
      </c>
      <c r="E2283" t="s">
        <v>2163</v>
      </c>
      <c r="F2283" t="str">
        <f>HYPERLINK("https://drillhole.pir.sa.gov.au/Details.aspx?DRILLHOLE_NO=210037","Geol Survey Link")</f>
        <v>Geol Survey Link</v>
      </c>
      <c r="I2283">
        <v>-29.7805</v>
      </c>
      <c r="J2283">
        <v>135.53899999999999</v>
      </c>
    </row>
    <row r="2284" spans="1:11" x14ac:dyDescent="0.25">
      <c r="A2284" t="str">
        <f>HYPERLINK("http://www.corstruth.com.au/SA/210072_LED_11_cs.png","210072_LED 11_A4")</f>
        <v>210072_LED 11_A4</v>
      </c>
      <c r="D2284">
        <v>210072</v>
      </c>
      <c r="E2284" t="s">
        <v>2163</v>
      </c>
      <c r="F2284" t="str">
        <f>HYPERLINK("https://drillhole.pir.sa.gov.au/Details.aspx?DRILLHOLE_NO=210072","Geol Survey Link")</f>
        <v>Geol Survey Link</v>
      </c>
      <c r="I2284">
        <v>-31.215299999999999</v>
      </c>
      <c r="J2284">
        <v>134.75399999999999</v>
      </c>
      <c r="K2284" t="str">
        <f>HYPERLINK("https://sarigdata.pir.sa.gov.au/nvcl/NVCLDataServices/mosaic.html?datasetid=7706baf3-98c5-424a-8781-60fd5f9b26c","210072_LED 11_Core Image")</f>
        <v>210072_LED 11_Core Image</v>
      </c>
    </row>
    <row r="2285" spans="1:11" x14ac:dyDescent="0.25">
      <c r="A2285" t="str">
        <f>HYPERLINK("http://www.corstruth.com.au/SA/210072_LED011_cs.png","210072_LED011_A4")</f>
        <v>210072_LED011_A4</v>
      </c>
      <c r="B2285" t="str">
        <f>HYPERLINK("http://www.corstruth.com.au/SA/PNG2/210072_LED011_cs.png","210072_LED011_0.25m Bins")</f>
        <v>210072_LED011_0.25m Bins</v>
      </c>
      <c r="C2285" t="str">
        <f>HYPERLINK("http://www.corstruth.com.au/SA/CSV/210072_LED011.csv","210072_LED011_CSV File 1m Bins")</f>
        <v>210072_LED011_CSV File 1m Bins</v>
      </c>
      <c r="D2285">
        <v>210072</v>
      </c>
      <c r="E2285" t="s">
        <v>2163</v>
      </c>
      <c r="F2285" t="str">
        <f>HYPERLINK("https://drillhole.pir.sa.gov.au/Details.aspx?DRILLHOLE_NO=210072","Geol Survey Link")</f>
        <v>Geol Survey Link</v>
      </c>
      <c r="I2285">
        <v>-31.215199999999999</v>
      </c>
      <c r="J2285">
        <v>134.75399999999999</v>
      </c>
      <c r="K2285" t="str">
        <f>HYPERLINK("https://sarigdata.pir.sa.gov.au/nvcl/NVCLDataServices/mosaic.html?datasetid=7706baf3-98c5-424a-8781-60fd5f9b26c","210072_LED011_Core Image")</f>
        <v>210072_LED011_Core Image</v>
      </c>
    </row>
    <row r="2286" spans="1:11" x14ac:dyDescent="0.25">
      <c r="A2286" t="str">
        <f>HYPERLINK("http://www.corstruth.com.au/SA/210073_LED_12_cs.png","210073_LED 12_A4")</f>
        <v>210073_LED 12_A4</v>
      </c>
      <c r="D2286">
        <v>210073</v>
      </c>
      <c r="E2286" t="s">
        <v>2163</v>
      </c>
      <c r="F2286" t="str">
        <f>HYPERLINK("https://drillhole.pir.sa.gov.au/Details.aspx?DRILLHOLE_NO=210073","Geol Survey Link")</f>
        <v>Geol Survey Link</v>
      </c>
      <c r="I2286">
        <v>-31.2163</v>
      </c>
      <c r="J2286">
        <v>134.78200000000001</v>
      </c>
      <c r="K2286" t="str">
        <f>HYPERLINK("https://sarigdata.pir.sa.gov.au/nvcl/NVCLDataServices/mosaic.html?datasetid=6ef705e1-0201-4599-87c9-ae0914f6b2d","210073_LED 12_Core Image")</f>
        <v>210073_LED 12_Core Image</v>
      </c>
    </row>
    <row r="2287" spans="1:11" x14ac:dyDescent="0.25">
      <c r="A2287" t="str">
        <f>HYPERLINK("http://www.corstruth.com.au/SA/210073_LED012_cs.png","210073_LED012_A4")</f>
        <v>210073_LED012_A4</v>
      </c>
      <c r="B2287" t="str">
        <f>HYPERLINK("http://www.corstruth.com.au/SA/PNG2/210073_LED012_cs.png","210073_LED012_0.25m Bins")</f>
        <v>210073_LED012_0.25m Bins</v>
      </c>
      <c r="C2287" t="str">
        <f>HYPERLINK("http://www.corstruth.com.au/SA/CSV/210073_LED012.csv","210073_LED012_CSV File 1m Bins")</f>
        <v>210073_LED012_CSV File 1m Bins</v>
      </c>
      <c r="D2287">
        <v>210073</v>
      </c>
      <c r="E2287" t="s">
        <v>2163</v>
      </c>
      <c r="F2287" t="str">
        <f>HYPERLINK("https://drillhole.pir.sa.gov.au/Details.aspx?DRILLHOLE_NO=210073","Geol Survey Link")</f>
        <v>Geol Survey Link</v>
      </c>
      <c r="I2287">
        <v>-31.2163</v>
      </c>
      <c r="J2287">
        <v>134.78200000000001</v>
      </c>
      <c r="K2287" t="str">
        <f>HYPERLINK("https://sarigdata.pir.sa.gov.au/nvcl/NVCLDataServices/mosaic.html?datasetid=6ef705e1-0201-4599-87c9-ae0914f6b2d","210073_LED012_Core Image")</f>
        <v>210073_LED012_Core Image</v>
      </c>
    </row>
    <row r="2288" spans="1:11" x14ac:dyDescent="0.25">
      <c r="A2288" t="str">
        <f>HYPERLINK("http://www.corstruth.com.au/SA/210074_LED_13_cs.png","210074_LED 13_A4")</f>
        <v>210074_LED 13_A4</v>
      </c>
      <c r="D2288">
        <v>210074</v>
      </c>
      <c r="E2288" t="s">
        <v>2163</v>
      </c>
      <c r="F2288" t="str">
        <f>HYPERLINK("https://drillhole.pir.sa.gov.au/Details.aspx?DRILLHOLE_NO=210074","Geol Survey Link")</f>
        <v>Geol Survey Link</v>
      </c>
      <c r="I2288">
        <v>-31.204799999999999</v>
      </c>
      <c r="J2288">
        <v>134.774</v>
      </c>
      <c r="K2288" t="str">
        <f>HYPERLINK("https://sarigdata.pir.sa.gov.au/nvcl/NVCLDataServices/mosaic.html?datasetid=301f830c-ace4-4f67-a62d-cbaa04149e2","210074_LED 13_Core Image")</f>
        <v>210074_LED 13_Core Image</v>
      </c>
    </row>
    <row r="2289" spans="1:11" x14ac:dyDescent="0.25">
      <c r="A2289" t="str">
        <f>HYPERLINK("http://www.corstruth.com.au/SA/210074_LED013_cs.png","210074_LED013_A4")</f>
        <v>210074_LED013_A4</v>
      </c>
      <c r="B2289" t="str">
        <f>HYPERLINK("http://www.corstruth.com.au/SA/PNG2/210074_LED013_cs.png","210074_LED013_0.25m Bins")</f>
        <v>210074_LED013_0.25m Bins</v>
      </c>
      <c r="C2289" t="str">
        <f>HYPERLINK("http://www.corstruth.com.au/SA/CSV/210074_LED013.csv","210074_LED013_CSV File 1m Bins")</f>
        <v>210074_LED013_CSV File 1m Bins</v>
      </c>
      <c r="D2289">
        <v>210074</v>
      </c>
      <c r="E2289" t="s">
        <v>2163</v>
      </c>
      <c r="F2289" t="str">
        <f>HYPERLINK("https://drillhole.pir.sa.gov.au/Details.aspx?DRILLHOLE_NO=210074","Geol Survey Link")</f>
        <v>Geol Survey Link</v>
      </c>
      <c r="I2289">
        <v>-31.204799999999999</v>
      </c>
      <c r="J2289">
        <v>134.774</v>
      </c>
      <c r="K2289" t="str">
        <f>HYPERLINK("https://sarigdata.pir.sa.gov.au/nvcl/NVCLDataServices/mosaic.html?datasetid=301f830c-ace4-4f67-a62d-cbaa04149e2","210074_LED013_Core Image")</f>
        <v>210074_LED013_Core Image</v>
      </c>
    </row>
    <row r="2290" spans="1:11" x14ac:dyDescent="0.25">
      <c r="A2290" t="str">
        <f>HYPERLINK("http://www.corstruth.com.au/SA/210075_LED_14_cs.png","210075_LED 14_A4")</f>
        <v>210075_LED 14_A4</v>
      </c>
      <c r="D2290">
        <v>210075</v>
      </c>
      <c r="E2290" t="s">
        <v>2163</v>
      </c>
      <c r="F2290" t="str">
        <f>HYPERLINK("https://drillhole.pir.sa.gov.au/Details.aspx?DRILLHOLE_NO=210075","Geol Survey Link")</f>
        <v>Geol Survey Link</v>
      </c>
      <c r="I2290">
        <v>-31.198399999999999</v>
      </c>
      <c r="J2290">
        <v>134.77600000000001</v>
      </c>
      <c r="K2290" t="str">
        <f>HYPERLINK("https://sarigdata.pir.sa.gov.au/nvcl/NVCLDataServices/mosaic.html?datasetid=dc69cc4a-a90c-4dc8-998b-a8df70576b7","210075_LED 14_Core Image")</f>
        <v>210075_LED 14_Core Image</v>
      </c>
    </row>
    <row r="2291" spans="1:11" x14ac:dyDescent="0.25">
      <c r="A2291" t="str">
        <f>HYPERLINK("http://www.corstruth.com.au/SA/210075_LED014_cs.png","210075_LED014_A4")</f>
        <v>210075_LED014_A4</v>
      </c>
      <c r="B2291" t="str">
        <f>HYPERLINK("http://www.corstruth.com.au/SA/PNG2/210075_LED014_cs.png","210075_LED014_0.25m Bins")</f>
        <v>210075_LED014_0.25m Bins</v>
      </c>
      <c r="C2291" t="str">
        <f>HYPERLINK("http://www.corstruth.com.au/SA/CSV/210075_LED014.csv","210075_LED014_CSV File 1m Bins")</f>
        <v>210075_LED014_CSV File 1m Bins</v>
      </c>
      <c r="D2291">
        <v>210075</v>
      </c>
      <c r="E2291" t="s">
        <v>2163</v>
      </c>
      <c r="F2291" t="str">
        <f>HYPERLINK("https://drillhole.pir.sa.gov.au/Details.aspx?DRILLHOLE_NO=210075","Geol Survey Link")</f>
        <v>Geol Survey Link</v>
      </c>
      <c r="I2291">
        <v>-31.198399999999999</v>
      </c>
      <c r="J2291">
        <v>134.77600000000001</v>
      </c>
      <c r="K2291" t="str">
        <f>HYPERLINK("https://sarigdata.pir.sa.gov.au/nvcl/NVCLDataServices/mosaic.html?datasetid=dc69cc4a-a90c-4dc8-998b-a8df70576b7","210075_LED014_Core Image")</f>
        <v>210075_LED014_Core Image</v>
      </c>
    </row>
    <row r="2292" spans="1:11" x14ac:dyDescent="0.25">
      <c r="A2292" t="str">
        <f>HYPERLINK("http://www.corstruth.com.au/SA/210919_BRD001_cs.png","210919_BRD001_A4")</f>
        <v>210919_BRD001_A4</v>
      </c>
      <c r="B2292" t="str">
        <f>HYPERLINK("http://www.corstruth.com.au/SA/PNG2/210919_BRD001_cs.png","210919_BRD001_0.25m Bins")</f>
        <v>210919_BRD001_0.25m Bins</v>
      </c>
      <c r="C2292" t="str">
        <f>HYPERLINK("http://www.corstruth.com.au/SA/CSV/210919_BRD001.csv","210919_BRD001_CSV File 1m Bins")</f>
        <v>210919_BRD001_CSV File 1m Bins</v>
      </c>
      <c r="D2292">
        <v>210919</v>
      </c>
      <c r="E2292" t="s">
        <v>2163</v>
      </c>
      <c r="F2292" t="str">
        <f>HYPERLINK("https://drillhole.pir.sa.gov.au/Details.aspx?DRILLHOLE_NO=210919","Geol Survey Link")</f>
        <v>Geol Survey Link</v>
      </c>
      <c r="I2292">
        <v>-32.639000000000003</v>
      </c>
      <c r="J2292">
        <v>140.244</v>
      </c>
      <c r="K2292" t="str">
        <f>HYPERLINK("https://sarigdata.pir.sa.gov.au/nvcl/NVCLDataServices/mosaic.html?datasetid=3d5c849b-c9e0-4e2b-bf63-00ade597a7b","210919_BRD001_Core Image")</f>
        <v>210919_BRD001_Core Image</v>
      </c>
    </row>
    <row r="2293" spans="1:11" x14ac:dyDescent="0.25">
      <c r="A2293" t="str">
        <f>HYPERLINK("http://www.corstruth.com.au/SA/210920_BRD002_cs.png","210920_BRD002_A4")</f>
        <v>210920_BRD002_A4</v>
      </c>
      <c r="B2293" t="str">
        <f>HYPERLINK("http://www.corstruth.com.au/SA/PNG2/210920_BRD002_cs.png","210920_BRD002_0.25m Bins")</f>
        <v>210920_BRD002_0.25m Bins</v>
      </c>
      <c r="C2293" t="str">
        <f>HYPERLINK("http://www.corstruth.com.au/SA/CSV/210920_BRD002.csv","210920_BRD002_CSV File 1m Bins")</f>
        <v>210920_BRD002_CSV File 1m Bins</v>
      </c>
      <c r="D2293">
        <v>210920</v>
      </c>
      <c r="E2293" t="s">
        <v>2163</v>
      </c>
      <c r="F2293" t="str">
        <f>HYPERLINK("https://drillhole.pir.sa.gov.au/Details.aspx?DRILLHOLE_NO=210920","Geol Survey Link")</f>
        <v>Geol Survey Link</v>
      </c>
      <c r="I2293">
        <v>-32.639499999999998</v>
      </c>
      <c r="J2293">
        <v>140.24600000000001</v>
      </c>
      <c r="K2293" t="str">
        <f>HYPERLINK("https://sarigdata.pir.sa.gov.au/nvcl/NVCLDataServices/mosaic.html?datasetid=ef67d47a-f813-4980-854d-ed188390c3b","210920_BRD002_Core Image")</f>
        <v>210920_BRD002_Core Image</v>
      </c>
    </row>
    <row r="2294" spans="1:11" x14ac:dyDescent="0.25">
      <c r="A2294" t="str">
        <f>HYPERLINK("http://www.corstruth.com.au/SA/210921_BRDD003_cs.png","210921_BRDD003_A4")</f>
        <v>210921_BRDD003_A4</v>
      </c>
      <c r="D2294">
        <v>210921</v>
      </c>
      <c r="E2294" t="s">
        <v>2163</v>
      </c>
      <c r="F2294" t="str">
        <f>HYPERLINK("https://drillhole.pir.sa.gov.au/Details.aspx?DRILLHOLE_NO=210921","Geol Survey Link")</f>
        <v>Geol Survey Link</v>
      </c>
      <c r="I2294">
        <v>-32.639499999999998</v>
      </c>
      <c r="J2294">
        <v>140.24299999999999</v>
      </c>
      <c r="K2294" t="str">
        <f>HYPERLINK("https://sarigdata.pir.sa.gov.au/nvcl/NVCLDataServices/mosaic.html?datasetid=95a37067-1552-4224-97e2-93b57afcee8","210921_BRDD003_Core Image")</f>
        <v>210921_BRDD003_Core Image</v>
      </c>
    </row>
    <row r="2295" spans="1:11" x14ac:dyDescent="0.25">
      <c r="A2295" t="str">
        <f>HYPERLINK("http://www.corstruth.com.au/SA/210922_BRDD006_cs.png","210922_BRDD006_A4")</f>
        <v>210922_BRDD006_A4</v>
      </c>
      <c r="D2295">
        <v>210922</v>
      </c>
      <c r="E2295" t="s">
        <v>2163</v>
      </c>
      <c r="F2295" t="str">
        <f>HYPERLINK("https://drillhole.pir.sa.gov.au/Details.aspx?DRILLHOLE_NO=210922","Geol Survey Link")</f>
        <v>Geol Survey Link</v>
      </c>
      <c r="I2295">
        <v>-32.637099999999997</v>
      </c>
      <c r="J2295">
        <v>140.22900000000001</v>
      </c>
      <c r="K2295" t="str">
        <f>HYPERLINK("https://sarigdata.pir.sa.gov.au/nvcl/NVCLDataServices/mosaic.html?datasetid=4ea466c2-8333-43a3-ae79-7ac53ec235a","210922_BRDD006_Core Image")</f>
        <v>210922_BRDD006_Core Image</v>
      </c>
    </row>
    <row r="2296" spans="1:11" x14ac:dyDescent="0.25">
      <c r="A2296" t="str">
        <f>HYPERLINK("http://www.corstruth.com.au/SA/212208_MGD34_cs.png","212208_MGD34_A4")</f>
        <v>212208_MGD34_A4</v>
      </c>
      <c r="D2296">
        <v>212208</v>
      </c>
      <c r="E2296" t="s">
        <v>2163</v>
      </c>
      <c r="F2296" t="str">
        <f>HYPERLINK("https://drillhole.pir.sa.gov.au/Details.aspx?DRILLHOLE_NO=212208","Geol Survey Link")</f>
        <v>Geol Survey Link</v>
      </c>
      <c r="I2296">
        <v>-31.256399999999999</v>
      </c>
      <c r="J2296">
        <v>137.25</v>
      </c>
      <c r="K2296" t="str">
        <f>HYPERLINK("https://sarigdata.pir.sa.gov.au/nvcl/NVCLDataServices/mosaic.html?datasetid=3aa816d0-c3db-46ef-ba08-dc95815dae0","212208_MGD34_Core Image")</f>
        <v>212208_MGD34_Core Image</v>
      </c>
    </row>
    <row r="2297" spans="1:11" x14ac:dyDescent="0.25">
      <c r="A2297" t="str">
        <f>HYPERLINK("http://www.corstruth.com.au/SA/212209_MGD35_cs.png","212209_MGD35_A4")</f>
        <v>212209_MGD35_A4</v>
      </c>
      <c r="B2297" t="str">
        <f>HYPERLINK("http://www.corstruth.com.au/SA/PNG2/212209_MGD35_cs.png","212209_MGD35_0.25m Bins")</f>
        <v>212209_MGD35_0.25m Bins</v>
      </c>
      <c r="C2297" t="str">
        <f>HYPERLINK("http://www.corstruth.com.au/SA/CSV/212209_MGD35.csv","212209_MGD35_CSV File 1m Bins")</f>
        <v>212209_MGD35_CSV File 1m Bins</v>
      </c>
      <c r="D2297">
        <v>212209</v>
      </c>
      <c r="E2297" t="s">
        <v>2163</v>
      </c>
      <c r="F2297" t="str">
        <f>HYPERLINK("https://drillhole.pir.sa.gov.au/Details.aspx?DRILLHOLE_NO=212209","Geol Survey Link")</f>
        <v>Geol Survey Link</v>
      </c>
      <c r="I2297">
        <v>-31.265699999999999</v>
      </c>
      <c r="J2297">
        <v>137.24799999999999</v>
      </c>
      <c r="K2297" t="str">
        <f>HYPERLINK("https://sarigdata.pir.sa.gov.au/nvcl/NVCLDataServices/mosaic.html?datasetid=c8a83d35-308c-486c-962e-9a7d63a5ef1","212209_MGD35_Core Image")</f>
        <v>212209_MGD35_Core Image</v>
      </c>
    </row>
    <row r="2298" spans="1:11" x14ac:dyDescent="0.25">
      <c r="A2298" t="str">
        <f>HYPERLINK("http://www.corstruth.com.au/SA/212210_MGD40_cs.png","212210_MGD40_A4")</f>
        <v>212210_MGD40_A4</v>
      </c>
      <c r="D2298">
        <v>212210</v>
      </c>
      <c r="E2298" t="s">
        <v>2163</v>
      </c>
      <c r="F2298" t="str">
        <f>HYPERLINK("https://drillhole.pir.sa.gov.au/Details.aspx?DRILLHOLE_NO=212210","Geol Survey Link")</f>
        <v>Geol Survey Link</v>
      </c>
      <c r="I2298">
        <v>-31.539300000000001</v>
      </c>
      <c r="J2298">
        <v>136.98599999999999</v>
      </c>
      <c r="K2298" t="str">
        <f>HYPERLINK("https://sarigdata.pir.sa.gov.au/nvcl/NVCLDataServices/mosaic.html?datasetid=3c078f7f-eb17-4c1f-92d7-8cbdb332a71","212210_MGD40_Core Image")</f>
        <v>212210_MGD40_Core Image</v>
      </c>
    </row>
    <row r="2299" spans="1:11" x14ac:dyDescent="0.25">
      <c r="A2299" t="str">
        <f>HYPERLINK("http://www.corstruth.com.au/SA/212211_MGD41_cs.png","212211_MGD41_A4")</f>
        <v>212211_MGD41_A4</v>
      </c>
      <c r="D2299">
        <v>212211</v>
      </c>
      <c r="E2299" t="s">
        <v>2163</v>
      </c>
      <c r="F2299" t="str">
        <f>HYPERLINK("https://drillhole.pir.sa.gov.au/Details.aspx?DRILLHOLE_NO=212211","Geol Survey Link")</f>
        <v>Geol Survey Link</v>
      </c>
      <c r="I2299">
        <v>-31.5459</v>
      </c>
      <c r="J2299">
        <v>136.97900000000001</v>
      </c>
      <c r="K2299" t="str">
        <f>HYPERLINK("https://sarigdata.pir.sa.gov.au/nvcl/NVCLDataServices/mosaic.html?datasetid=587bc31b-6aa6-4854-9a94-2dd5b3bcaf6","212211_MGD41_Core Image")</f>
        <v>212211_MGD41_Core Image</v>
      </c>
    </row>
    <row r="2300" spans="1:11" x14ac:dyDescent="0.25">
      <c r="A2300" t="str">
        <f>HYPERLINK("http://www.corstruth.com.au/SA/214008_WD_DD111_cs.png","214008_WD_DD111_A4")</f>
        <v>214008_WD_DD111_A4</v>
      </c>
      <c r="D2300">
        <v>214008</v>
      </c>
      <c r="E2300" t="s">
        <v>2163</v>
      </c>
      <c r="F2300" t="str">
        <f>HYPERLINK("https://drillhole.pir.sa.gov.au/Details.aspx?DRILLHOLE_NO=214008","Geol Survey Link")</f>
        <v>Geol Survey Link</v>
      </c>
      <c r="I2300">
        <v>-32.092799999999997</v>
      </c>
      <c r="J2300">
        <v>140.57599999999999</v>
      </c>
    </row>
    <row r="2301" spans="1:11" x14ac:dyDescent="0.25">
      <c r="A2301" t="str">
        <f>HYPERLINK("http://www.corstruth.com.au/SA/214073_WD_DD176_cs.png","214073_WD_DD176_A4")</f>
        <v>214073_WD_DD176_A4</v>
      </c>
      <c r="D2301">
        <v>214073</v>
      </c>
      <c r="E2301" t="s">
        <v>2163</v>
      </c>
      <c r="F2301" t="str">
        <f>HYPERLINK("https://drillhole.pir.sa.gov.au/Details.aspx?DRILLHOLE_NO=214073","Geol Survey Link")</f>
        <v>Geol Survey Link</v>
      </c>
      <c r="I2301">
        <v>-32.089799999999997</v>
      </c>
      <c r="J2301">
        <v>140.57499999999999</v>
      </c>
    </row>
    <row r="2302" spans="1:11" x14ac:dyDescent="0.25">
      <c r="A2302" t="str">
        <f>HYPERLINK("http://www.corstruth.com.au/SA/214085_WD_DD191_cs.png","214085_WD_DD191_A4")</f>
        <v>214085_WD_DD191_A4</v>
      </c>
      <c r="D2302">
        <v>214085</v>
      </c>
      <c r="E2302" t="s">
        <v>2163</v>
      </c>
      <c r="F2302" t="str">
        <f>HYPERLINK("https://drillhole.pir.sa.gov.au/Details.aspx?DRILLHOLE_NO=214085","Geol Survey Link")</f>
        <v>Geol Survey Link</v>
      </c>
      <c r="I2302">
        <v>-32.0961</v>
      </c>
      <c r="J2302">
        <v>140.559</v>
      </c>
    </row>
    <row r="2303" spans="1:11" x14ac:dyDescent="0.25">
      <c r="A2303" t="str">
        <f>HYPERLINK("http://www.corstruth.com.au/SA/214087_WD_DD193_cs.png","214087_WD_DD193_A4")</f>
        <v>214087_WD_DD193_A4</v>
      </c>
      <c r="D2303">
        <v>214087</v>
      </c>
      <c r="E2303" t="s">
        <v>2163</v>
      </c>
      <c r="F2303" t="str">
        <f>HYPERLINK("https://drillhole.pir.sa.gov.au/Details.aspx?DRILLHOLE_NO=214087","Geol Survey Link")</f>
        <v>Geol Survey Link</v>
      </c>
      <c r="I2303">
        <v>-32.0946</v>
      </c>
      <c r="J2303">
        <v>140.57599999999999</v>
      </c>
    </row>
    <row r="2304" spans="1:11" x14ac:dyDescent="0.25">
      <c r="A2304" t="str">
        <f>HYPERLINK("http://www.corstruth.com.au/SA/214088_WD_DD194_cs.png","214088_WD_DD194_A4")</f>
        <v>214088_WD_DD194_A4</v>
      </c>
      <c r="D2304">
        <v>214088</v>
      </c>
      <c r="E2304" t="s">
        <v>2163</v>
      </c>
      <c r="F2304" t="str">
        <f>HYPERLINK("https://drillhole.pir.sa.gov.au/Details.aspx?DRILLHOLE_NO=214088","Geol Survey Link")</f>
        <v>Geol Survey Link</v>
      </c>
      <c r="I2304">
        <v>-32.098100000000002</v>
      </c>
      <c r="J2304">
        <v>140.56899999999999</v>
      </c>
    </row>
    <row r="2305" spans="1:11" x14ac:dyDescent="0.25">
      <c r="A2305" t="str">
        <f>HYPERLINK("http://www.corstruth.com.au/SA/214089_WD_DD195_cs.png","214089_WD_DD195_A4")</f>
        <v>214089_WD_DD195_A4</v>
      </c>
      <c r="D2305">
        <v>214089</v>
      </c>
      <c r="E2305" t="s">
        <v>2163</v>
      </c>
      <c r="F2305" t="str">
        <f>HYPERLINK("https://drillhole.pir.sa.gov.au/Details.aspx?DRILLHOLE_NO=214089","Geol Survey Link")</f>
        <v>Geol Survey Link</v>
      </c>
      <c r="I2305">
        <v>-32.095100000000002</v>
      </c>
      <c r="J2305">
        <v>140.57599999999999</v>
      </c>
    </row>
    <row r="2306" spans="1:11" x14ac:dyDescent="0.25">
      <c r="A2306" t="str">
        <f>HYPERLINK("http://www.corstruth.com.au/SA/214110_WD_DD61_cs.png","214110_WD_DD61_A4")</f>
        <v>214110_WD_DD61_A4</v>
      </c>
      <c r="D2306">
        <v>214110</v>
      </c>
      <c r="E2306" t="s">
        <v>2163</v>
      </c>
      <c r="F2306" t="str">
        <f>HYPERLINK("https://drillhole.pir.sa.gov.au/Details.aspx?DRILLHOLE_NO=214110","Geol Survey Link")</f>
        <v>Geol Survey Link</v>
      </c>
      <c r="I2306">
        <v>-32.093200000000003</v>
      </c>
      <c r="J2306">
        <v>140.57499999999999</v>
      </c>
    </row>
    <row r="2307" spans="1:11" x14ac:dyDescent="0.25">
      <c r="A2307" t="str">
        <f>HYPERLINK("http://www.corstruth.com.au/SA/214116_WD_DD69_cs.png","214116_WD_DD69_A4")</f>
        <v>214116_WD_DD69_A4</v>
      </c>
      <c r="D2307">
        <v>214116</v>
      </c>
      <c r="E2307" t="s">
        <v>2163</v>
      </c>
      <c r="F2307" t="str">
        <f>HYPERLINK("https://drillhole.pir.sa.gov.au/Details.aspx?DRILLHOLE_NO=214116","Geol Survey Link")</f>
        <v>Geol Survey Link</v>
      </c>
      <c r="I2307">
        <v>-32.093000000000004</v>
      </c>
      <c r="J2307">
        <v>140.57499999999999</v>
      </c>
    </row>
    <row r="2308" spans="1:11" x14ac:dyDescent="0.25">
      <c r="A2308" t="str">
        <f>HYPERLINK("http://www.corstruth.com.au/SA/214118_WD_DD71_cs.png","214118_WD_DD71_A4")</f>
        <v>214118_WD_DD71_A4</v>
      </c>
      <c r="D2308">
        <v>214118</v>
      </c>
      <c r="E2308" t="s">
        <v>2163</v>
      </c>
      <c r="F2308" t="str">
        <f>HYPERLINK("https://drillhole.pir.sa.gov.au/Details.aspx?DRILLHOLE_NO=214118","Geol Survey Link")</f>
        <v>Geol Survey Link</v>
      </c>
      <c r="I2308">
        <v>-32.092599999999997</v>
      </c>
      <c r="J2308">
        <v>140.57400000000001</v>
      </c>
    </row>
    <row r="2309" spans="1:11" x14ac:dyDescent="0.25">
      <c r="A2309" t="str">
        <f>HYPERLINK("http://www.corstruth.com.au/SA/214493_Moomba_175_cs.png","214493_Moomba_175_A4")</f>
        <v>214493_Moomba_175_A4</v>
      </c>
      <c r="B2309" t="str">
        <f>HYPERLINK("http://www.corstruth.com.au/SA/PNG2/214493_Moomba_175_cs.png","214493_Moomba_175_0.25m Bins")</f>
        <v>214493_Moomba_175_0.25m Bins</v>
      </c>
      <c r="C2309" t="str">
        <f>HYPERLINK("http://www.corstruth.com.au/SA/CSV/214493_Moomba_175.csv","214493_Moomba_175_CSV File 1m Bins")</f>
        <v>214493_Moomba_175_CSV File 1m Bins</v>
      </c>
      <c r="D2309">
        <v>214493</v>
      </c>
      <c r="E2309" t="s">
        <v>2163</v>
      </c>
      <c r="F2309" t="str">
        <f>HYPERLINK("https://drillhole.pir.sa.gov.au/Details.aspx?DRILLHOLE_NO=214493","Geol Survey Link")</f>
        <v>Geol Survey Link</v>
      </c>
      <c r="I2309">
        <v>-28.145800000000001</v>
      </c>
      <c r="J2309">
        <v>140.37799999999999</v>
      </c>
      <c r="K2309" t="str">
        <f>HYPERLINK("https://sarigdata.pir.sa.gov.au/nvcl/NVCLDataServices/mosaic.html?datasetid=3c534dcb-151a-4344-90e6-956fcda438f","214493_Moomba_175_Core Image")</f>
        <v>214493_Moomba_175_Core Image</v>
      </c>
    </row>
    <row r="2310" spans="1:11" x14ac:dyDescent="0.25">
      <c r="A2310" t="str">
        <f>HYPERLINK("http://www.corstruth.com.au/SA/214563_BLDD01_cs.png","214563_BLDD01_A4")</f>
        <v>214563_BLDD01_A4</v>
      </c>
      <c r="B2310" t="str">
        <f>HYPERLINK("http://www.corstruth.com.au/SA/PNG2/214563_BLDD01_cs.png","214563_BLDD01_0.25m Bins")</f>
        <v>214563_BLDD01_0.25m Bins</v>
      </c>
      <c r="C2310" t="str">
        <f>HYPERLINK("http://www.corstruth.com.au/SA/CSV/214563_BLDD01.csv","214563_BLDD01_CSV File 1m Bins")</f>
        <v>214563_BLDD01_CSV File 1m Bins</v>
      </c>
      <c r="D2310">
        <v>214563</v>
      </c>
      <c r="E2310" t="s">
        <v>2163</v>
      </c>
      <c r="F2310" t="str">
        <f>HYPERLINK("https://drillhole.pir.sa.gov.au/Details.aspx?DRILLHOLE_NO=214563","Geol Survey Link")</f>
        <v>Geol Survey Link</v>
      </c>
      <c r="I2310">
        <v>-33.8598</v>
      </c>
      <c r="J2310">
        <v>135.685</v>
      </c>
      <c r="K2310" t="str">
        <f>HYPERLINK("https://sarigdata.pir.sa.gov.au/nvcl/NVCLDataServices/mosaic.html?datasetid=c810936a-1330-435a-913d-ab5c3860522","214563_BLDD01_Core Image")</f>
        <v>214563_BLDD01_Core Image</v>
      </c>
    </row>
    <row r="2311" spans="1:11" x14ac:dyDescent="0.25">
      <c r="A2311" t="str">
        <f>HYPERLINK("http://www.corstruth.com.au/SA/214881_VP05-001_cs.png","214881_VP05-001_A4")</f>
        <v>214881_VP05-001_A4</v>
      </c>
      <c r="B2311" t="str">
        <f>HYPERLINK("http://www.corstruth.com.au/SA/PNG2/214881_VP05-001_cs.png","214881_VP05-001_0.25m Bins")</f>
        <v>214881_VP05-001_0.25m Bins</v>
      </c>
      <c r="C2311" t="str">
        <f>HYPERLINK("http://www.corstruth.com.au/SA/CSV/214881_VP05-001.csv","214881_VP05-001_CSV File 1m Bins")</f>
        <v>214881_VP05-001_CSV File 1m Bins</v>
      </c>
      <c r="D2311">
        <v>214881</v>
      </c>
      <c r="E2311" t="s">
        <v>2163</v>
      </c>
      <c r="F2311" t="str">
        <f>HYPERLINK("https://drillhole.pir.sa.gov.au/Details.aspx?DRILLHOLE_NO=214881","Geol Survey Link")</f>
        <v>Geol Survey Link</v>
      </c>
      <c r="I2311">
        <v>-32.696899999999999</v>
      </c>
      <c r="J2311">
        <v>136.29400000000001</v>
      </c>
      <c r="K2311" t="str">
        <f>HYPERLINK("https://sarigdata.pir.sa.gov.au/nvcl/NVCLDataServices/mosaic.html?datasetid=4bda6801-1f0e-4d40-9659-8aff0c41056","214881_VP05-001_Core Image")</f>
        <v>214881_VP05-001_Core Image</v>
      </c>
    </row>
    <row r="2312" spans="1:11" x14ac:dyDescent="0.25">
      <c r="A2312" t="str">
        <f>HYPERLINK("http://www.corstruth.com.au/SA/214881_VP05_001_cs.png","214881_VP05_001_A4")</f>
        <v>214881_VP05_001_A4</v>
      </c>
      <c r="D2312">
        <v>214881</v>
      </c>
      <c r="E2312" t="s">
        <v>2163</v>
      </c>
      <c r="F2312" t="str">
        <f>HYPERLINK("https://drillhole.pir.sa.gov.au/Details.aspx?DRILLHOLE_NO=214881","Geol Survey Link")</f>
        <v>Geol Survey Link</v>
      </c>
      <c r="I2312">
        <v>-32.696899999999999</v>
      </c>
      <c r="J2312">
        <v>136.29400000000001</v>
      </c>
      <c r="K2312" t="str">
        <f>HYPERLINK("https://sarigdata.pir.sa.gov.au/nvcl/NVCLDataServices/mosaic.html?datasetid=4bda6801-1f0e-4d40-9659-8aff0c41056","214881_VP05_001_Core Image")</f>
        <v>214881_VP05_001_Core Image</v>
      </c>
    </row>
    <row r="2313" spans="1:11" x14ac:dyDescent="0.25">
      <c r="A2313" t="str">
        <f>HYPERLINK("http://www.corstruth.com.au/SA/214883_VP05-002_cs.png","214883_VP05-002_A4")</f>
        <v>214883_VP05-002_A4</v>
      </c>
      <c r="B2313" t="str">
        <f>HYPERLINK("http://www.corstruth.com.au/SA/PNG2/214883_VP05-002_cs.png","214883_VP05-002_0.25m Bins")</f>
        <v>214883_VP05-002_0.25m Bins</v>
      </c>
      <c r="C2313" t="str">
        <f>HYPERLINK("http://www.corstruth.com.au/SA/CSV/214883_VP05-002.csv","214883_VP05-002_CSV File 1m Bins")</f>
        <v>214883_VP05-002_CSV File 1m Bins</v>
      </c>
      <c r="D2313">
        <v>214883</v>
      </c>
      <c r="E2313" t="s">
        <v>2163</v>
      </c>
      <c r="F2313" t="str">
        <f>HYPERLINK("https://drillhole.pir.sa.gov.au/Details.aspx?DRILLHOLE_NO=214883","Geol Survey Link")</f>
        <v>Geol Survey Link</v>
      </c>
      <c r="I2313">
        <v>-32.694899999999997</v>
      </c>
      <c r="J2313">
        <v>136.297</v>
      </c>
      <c r="K2313" t="str">
        <f>HYPERLINK("https://sarigdata.pir.sa.gov.au/nvcl/NVCLDataServices/mosaic.html?datasetid=0bf3f78e-bfc1-4834-9123-925bd28f0c4","214883_VP05-002_Core Image")</f>
        <v>214883_VP05-002_Core Image</v>
      </c>
    </row>
    <row r="2314" spans="1:11" x14ac:dyDescent="0.25">
      <c r="A2314" t="str">
        <f>HYPERLINK("http://www.corstruth.com.au/SA/214883_VP05_002_cs.png","214883_VP05_002_A4")</f>
        <v>214883_VP05_002_A4</v>
      </c>
      <c r="D2314">
        <v>214883</v>
      </c>
      <c r="E2314" t="s">
        <v>2163</v>
      </c>
      <c r="F2314" t="str">
        <f>HYPERLINK("https://drillhole.pir.sa.gov.au/Details.aspx?DRILLHOLE_NO=214883","Geol Survey Link")</f>
        <v>Geol Survey Link</v>
      </c>
      <c r="I2314">
        <v>-32.695</v>
      </c>
      <c r="J2314">
        <v>136.297</v>
      </c>
      <c r="K2314" t="str">
        <f>HYPERLINK("https://sarigdata.pir.sa.gov.au/nvcl/NVCLDataServices/mosaic.html?datasetid=0bf3f78e-bfc1-4834-9123-925bd28f0c4","214883_VP05_002_Core Image")</f>
        <v>214883_VP05_002_Core Image</v>
      </c>
    </row>
    <row r="2315" spans="1:11" x14ac:dyDescent="0.25">
      <c r="A2315" t="str">
        <f>HYPERLINK("http://www.corstruth.com.au/SA/214884_VP05_003_cs.png","214884_VP05_003_A4")</f>
        <v>214884_VP05_003_A4</v>
      </c>
      <c r="D2315">
        <v>214884</v>
      </c>
      <c r="E2315" t="s">
        <v>2163</v>
      </c>
      <c r="F2315" t="str">
        <f>HYPERLINK("https://drillhole.pir.sa.gov.au/Details.aspx?DRILLHOLE_NO=214884","Geol Survey Link")</f>
        <v>Geol Survey Link</v>
      </c>
      <c r="I2315">
        <v>-32.696899999999999</v>
      </c>
      <c r="J2315">
        <v>136.28800000000001</v>
      </c>
      <c r="K2315" t="str">
        <f>HYPERLINK("https://sarigdata.pir.sa.gov.au/nvcl/NVCLDataServices/mosaic.html?datasetid=d4bac35b-ab2b-4f4b-9673-15fdc8d4bb9","214884_VP05_003_Core Image")</f>
        <v>214884_VP05_003_Core Image</v>
      </c>
    </row>
    <row r="2316" spans="1:11" x14ac:dyDescent="0.25">
      <c r="A2316" t="str">
        <f>HYPERLINK("http://www.corstruth.com.au/SA/214886_VP05-004_cs.png","214886_VP05-004_A4")</f>
        <v>214886_VP05-004_A4</v>
      </c>
      <c r="D2316">
        <v>214886</v>
      </c>
      <c r="E2316" t="s">
        <v>2163</v>
      </c>
      <c r="F2316" t="str">
        <f>HYPERLINK("https://drillhole.pir.sa.gov.au/Details.aspx?DRILLHOLE_NO=214886","Geol Survey Link")</f>
        <v>Geol Survey Link</v>
      </c>
      <c r="I2316">
        <v>-32.6892</v>
      </c>
      <c r="J2316">
        <v>136.28800000000001</v>
      </c>
      <c r="K2316" t="str">
        <f>HYPERLINK("https://sarigdata.pir.sa.gov.au/nvcl/NVCLDataServices/mosaic.html?datasetid=f1c8cacf-0995-4561-98ce-8ebf2c39f1c","214886_VP05-004_Core Image")</f>
        <v>214886_VP05-004_Core Image</v>
      </c>
    </row>
    <row r="2317" spans="1:11" x14ac:dyDescent="0.25">
      <c r="A2317" t="str">
        <f>HYPERLINK("http://www.corstruth.com.au/SA/215239_RED001_cs.png","215239_RED001_A4")</f>
        <v>215239_RED001_A4</v>
      </c>
      <c r="D2317">
        <v>215239</v>
      </c>
      <c r="E2317" t="s">
        <v>2163</v>
      </c>
      <c r="F2317" t="str">
        <f>HYPERLINK("https://drillhole.pir.sa.gov.au/Details.aspx?DRILLHOLE_NO=215239","Geol Survey Link")</f>
        <v>Geol Survey Link</v>
      </c>
      <c r="I2317">
        <v>-33.585000000000001</v>
      </c>
      <c r="J2317">
        <v>138.274</v>
      </c>
      <c r="K2317" t="str">
        <f>HYPERLINK("https://sarigdata.pir.sa.gov.au/nvcl/NVCLDataServices/mosaic.html?datasetid=a4fdbe41-1b2f-4f6b-896c-ff7966a2cfa","215239_RED001_Core Image")</f>
        <v>215239_RED001_Core Image</v>
      </c>
    </row>
    <row r="2318" spans="1:11" x14ac:dyDescent="0.25">
      <c r="A2318" t="str">
        <f>HYPERLINK("http://www.corstruth.com.au/SA/215240_PN_05_01_cs.png","215240_PN_05_01_A4")</f>
        <v>215240_PN_05_01_A4</v>
      </c>
      <c r="B2318" t="str">
        <f>HYPERLINK("http://www.corstruth.com.au/SA/PNG2/215240_PN_05_01_cs.png","215240_PN_05_01_0.25m Bins")</f>
        <v>215240_PN_05_01_0.25m Bins</v>
      </c>
      <c r="C2318" t="str">
        <f>HYPERLINK("http://www.corstruth.com.au/SA/CSV/215240_PN_05_01.csv","215240_PN_05_01_CSV File 1m Bins")</f>
        <v>215240_PN_05_01_CSV File 1m Bins</v>
      </c>
      <c r="D2318">
        <v>215240</v>
      </c>
      <c r="E2318" t="s">
        <v>2163</v>
      </c>
      <c r="F2318" t="str">
        <f>HYPERLINK("https://drillhole.pir.sa.gov.au/Details.aspx?DRILLHOLE_NO=215240","Geol Survey Link")</f>
        <v>Geol Survey Link</v>
      </c>
      <c r="I2318">
        <v>-31.592700000000001</v>
      </c>
      <c r="J2318">
        <v>137.423</v>
      </c>
      <c r="K2318" t="str">
        <f>HYPERLINK("https://sarigdata.pir.sa.gov.au/nvcl/NVCLDataServices/mosaic.html?datasetid=b2625df9-1ab2-47bd-ad95-7e896b2c6c6","215240_PN_05_01_Core Image")</f>
        <v>215240_PN_05_01_Core Image</v>
      </c>
    </row>
    <row r="2319" spans="1:11" x14ac:dyDescent="0.25">
      <c r="A2319" t="str">
        <f>HYPERLINK("http://www.corstruth.com.au/SA/215242_KDD002_cs.png","215242_KDD002_A4")</f>
        <v>215242_KDD002_A4</v>
      </c>
      <c r="D2319">
        <v>215242</v>
      </c>
      <c r="E2319" t="s">
        <v>2163</v>
      </c>
      <c r="F2319" t="str">
        <f>HYPERLINK("https://drillhole.pir.sa.gov.au/Details.aspx?DRILLHOLE_NO=215242","Geol Survey Link")</f>
        <v>Geol Survey Link</v>
      </c>
      <c r="I2319">
        <v>-29.375599999999999</v>
      </c>
      <c r="J2319">
        <v>134.90899999999999</v>
      </c>
      <c r="K2319" t="str">
        <f>HYPERLINK("https://sarigdata.pir.sa.gov.au/nvcl/NVCLDataServices/mosaic.html?datasetid=d99730aa-02a6-4788-8593-0623be4bfda","215242_KDD002_Core Image")</f>
        <v>215242_KDD002_Core Image</v>
      </c>
    </row>
    <row r="2320" spans="1:11" x14ac:dyDescent="0.25">
      <c r="A2320" t="str">
        <f>HYPERLINK("http://www.corstruth.com.au/SA/215243_KDD003_cs.png","215243_KDD003_A4")</f>
        <v>215243_KDD003_A4</v>
      </c>
      <c r="D2320">
        <v>215243</v>
      </c>
      <c r="E2320" t="s">
        <v>2163</v>
      </c>
      <c r="F2320" t="str">
        <f>HYPERLINK("https://drillhole.pir.sa.gov.au/Details.aspx?DRILLHOLE_NO=215243","Geol Survey Link")</f>
        <v>Geol Survey Link</v>
      </c>
      <c r="I2320">
        <v>-29.376899999999999</v>
      </c>
      <c r="J2320">
        <v>134.90899999999999</v>
      </c>
      <c r="K2320" t="str">
        <f>HYPERLINK("https://sarigdata.pir.sa.gov.au/nvcl/NVCLDataServices/mosaic.html?datasetid=7243b77f-be19-4a3c-ac12-9bdb55f989c","215243_KDD003_Core Image")</f>
        <v>215243_KDD003_Core Image</v>
      </c>
    </row>
    <row r="2321" spans="1:11" x14ac:dyDescent="0.25">
      <c r="A2321" t="str">
        <f>HYPERLINK("http://www.corstruth.com.au/SA/215244_KDD004_cs.png","215244_KDD004_A4")</f>
        <v>215244_KDD004_A4</v>
      </c>
      <c r="D2321">
        <v>215244</v>
      </c>
      <c r="E2321" t="s">
        <v>2163</v>
      </c>
      <c r="F2321" t="str">
        <f>HYPERLINK("https://drillhole.pir.sa.gov.au/Details.aspx?DRILLHOLE_NO=215244","Geol Survey Link")</f>
        <v>Geol Survey Link</v>
      </c>
      <c r="I2321">
        <v>-29.376000000000001</v>
      </c>
      <c r="J2321">
        <v>134.91</v>
      </c>
      <c r="K2321" t="str">
        <f>HYPERLINK("https://sarigdata.pir.sa.gov.au/nvcl/NVCLDataServices/mosaic.html?datasetid=2761fe00-15bb-43b1-9acd-fd5ebcdc429","215244_KDD004_Core Image")</f>
        <v>215244_KDD004_Core Image</v>
      </c>
    </row>
    <row r="2322" spans="1:11" x14ac:dyDescent="0.25">
      <c r="A2322" t="str">
        <f>HYPERLINK("http://www.corstruth.com.au/SA/215245_KDD005_cs.png","215245_KDD005_A4")</f>
        <v>215245_KDD005_A4</v>
      </c>
      <c r="D2322">
        <v>215245</v>
      </c>
      <c r="E2322" t="s">
        <v>2163</v>
      </c>
      <c r="F2322" t="str">
        <f>HYPERLINK("https://drillhole.pir.sa.gov.au/Details.aspx?DRILLHOLE_NO=215245","Geol Survey Link")</f>
        <v>Geol Survey Link</v>
      </c>
      <c r="I2322">
        <v>-29.375800000000002</v>
      </c>
      <c r="J2322">
        <v>134.90799999999999</v>
      </c>
      <c r="K2322" t="str">
        <f>HYPERLINK("https://sarigdata.pir.sa.gov.au/nvcl/NVCLDataServices/mosaic.html?datasetid=7e26baa6-acbe-4bfa-91b3-2da45fea46c","215245_KDD005_Core Image")</f>
        <v>215245_KDD005_Core Image</v>
      </c>
    </row>
    <row r="2323" spans="1:11" x14ac:dyDescent="0.25">
      <c r="A2323" t="str">
        <f>HYPERLINK("http://www.corstruth.com.au/SA/215302_MHD1_cs.png","215302_MHD1_A4")</f>
        <v>215302_MHD1_A4</v>
      </c>
      <c r="D2323">
        <v>215302</v>
      </c>
      <c r="E2323" t="s">
        <v>2163</v>
      </c>
      <c r="F2323" t="str">
        <f>HYPERLINK("https://drillhole.pir.sa.gov.au/Details.aspx?DRILLHOLE_NO=215302","Geol Survey Link")</f>
        <v>Geol Survey Link</v>
      </c>
      <c r="I2323">
        <v>-30.449300000000001</v>
      </c>
      <c r="J2323">
        <v>138.256</v>
      </c>
    </row>
    <row r="2324" spans="1:11" x14ac:dyDescent="0.25">
      <c r="A2324" t="str">
        <f>HYPERLINK("http://www.corstruth.com.au/SA/215303_MHD2_cs.png","215303_MHD2_A4")</f>
        <v>215303_MHD2_A4</v>
      </c>
      <c r="D2324">
        <v>215303</v>
      </c>
      <c r="E2324" t="s">
        <v>2163</v>
      </c>
      <c r="F2324" t="str">
        <f>HYPERLINK("https://drillhole.pir.sa.gov.au/Details.aspx?DRILLHOLE_NO=215303","Geol Survey Link")</f>
        <v>Geol Survey Link</v>
      </c>
      <c r="I2324">
        <v>-30.4497</v>
      </c>
      <c r="J2324">
        <v>138.256</v>
      </c>
    </row>
    <row r="2325" spans="1:11" x14ac:dyDescent="0.25">
      <c r="A2325" t="str">
        <f>HYPERLINK("http://www.corstruth.com.au/SA/215304_MHD3_cs.png","215304_MHD3_A4")</f>
        <v>215304_MHD3_A4</v>
      </c>
      <c r="D2325">
        <v>215304</v>
      </c>
      <c r="E2325" t="s">
        <v>2163</v>
      </c>
      <c r="F2325" t="str">
        <f>HYPERLINK("https://drillhole.pir.sa.gov.au/Details.aspx?DRILLHOLE_NO=215304","Geol Survey Link")</f>
        <v>Geol Survey Link</v>
      </c>
      <c r="I2325">
        <v>-30.463799999999999</v>
      </c>
      <c r="J2325">
        <v>138.274</v>
      </c>
    </row>
    <row r="2326" spans="1:11" x14ac:dyDescent="0.25">
      <c r="A2326" t="str">
        <f>HYPERLINK("http://www.corstruth.com.au/SA/215367_MHD6_cs.png","215367_MHD6_A4")</f>
        <v>215367_MHD6_A4</v>
      </c>
      <c r="D2326">
        <v>215367</v>
      </c>
      <c r="E2326" t="s">
        <v>2163</v>
      </c>
      <c r="F2326" t="str">
        <f>HYPERLINK("https://drillhole.pir.sa.gov.au/Details.aspx?DRILLHOLE_NO=215367","Geol Survey Link")</f>
        <v>Geol Survey Link</v>
      </c>
      <c r="I2326">
        <v>-30.478200000000001</v>
      </c>
      <c r="J2326">
        <v>138.28800000000001</v>
      </c>
    </row>
    <row r="2327" spans="1:11" x14ac:dyDescent="0.25">
      <c r="A2327" t="str">
        <f>HYPERLINK("http://www.corstruth.com.au/SA/215368_MHD7_cs.png","215368_MHD7_A4")</f>
        <v>215368_MHD7_A4</v>
      </c>
      <c r="D2327">
        <v>215368</v>
      </c>
      <c r="E2327" t="s">
        <v>2163</v>
      </c>
      <c r="F2327" t="str">
        <f>HYPERLINK("https://drillhole.pir.sa.gov.au/Details.aspx?DRILLHOLE_NO=215368","Geol Survey Link")</f>
        <v>Geol Survey Link</v>
      </c>
      <c r="I2327">
        <v>-30.4636</v>
      </c>
      <c r="J2327">
        <v>138.274</v>
      </c>
    </row>
    <row r="2328" spans="1:11" x14ac:dyDescent="0.25">
      <c r="A2328" t="str">
        <f>HYPERLINK("http://www.corstruth.com.au/SA/215369_MHD8_cs.png","215369_MHD8_A4")</f>
        <v>215369_MHD8_A4</v>
      </c>
      <c r="D2328">
        <v>215369</v>
      </c>
      <c r="E2328" t="s">
        <v>2163</v>
      </c>
      <c r="F2328" t="str">
        <f>HYPERLINK("https://drillhole.pir.sa.gov.au/Details.aspx?DRILLHOLE_NO=215369","Geol Survey Link")</f>
        <v>Geol Survey Link</v>
      </c>
      <c r="I2328">
        <v>-30.413900000000002</v>
      </c>
      <c r="J2328">
        <v>138.26</v>
      </c>
    </row>
    <row r="2329" spans="1:11" x14ac:dyDescent="0.25">
      <c r="A2329" t="str">
        <f>HYPERLINK("http://www.corstruth.com.au/SA/215372_MHD11_cs.png","215372_MHD11_A4")</f>
        <v>215372_MHD11_A4</v>
      </c>
      <c r="D2329">
        <v>215372</v>
      </c>
      <c r="E2329" t="s">
        <v>2163</v>
      </c>
      <c r="F2329" t="str">
        <f>HYPERLINK("https://drillhole.pir.sa.gov.au/Details.aspx?DRILLHOLE_NO=215372","Geol Survey Link")</f>
        <v>Geol Survey Link</v>
      </c>
      <c r="I2329">
        <v>-30.400500000000001</v>
      </c>
      <c r="J2329">
        <v>138.26599999999999</v>
      </c>
    </row>
    <row r="2330" spans="1:11" x14ac:dyDescent="0.25">
      <c r="A2330" t="str">
        <f>HYPERLINK("http://www.corstruth.com.au/SA/215379_MHD18A_cs.png","215379_MHD18A_A4")</f>
        <v>215379_MHD18A_A4</v>
      </c>
      <c r="D2330">
        <v>215379</v>
      </c>
      <c r="E2330" t="s">
        <v>2163</v>
      </c>
      <c r="F2330" t="str">
        <f>HYPERLINK("https://drillhole.pir.sa.gov.au/Details.aspx?DRILLHOLE_NO=215379","Geol Survey Link")</f>
        <v>Geol Survey Link</v>
      </c>
      <c r="I2330">
        <v>-30.452300000000001</v>
      </c>
      <c r="J2330">
        <v>138.26</v>
      </c>
    </row>
    <row r="2331" spans="1:11" x14ac:dyDescent="0.25">
      <c r="A2331" t="str">
        <f>HYPERLINK("http://www.corstruth.com.au/SA/215381_MHD20_cs.png","215381_MHD20_A4")</f>
        <v>215381_MHD20_A4</v>
      </c>
      <c r="D2331">
        <v>215381</v>
      </c>
      <c r="E2331" t="s">
        <v>2163</v>
      </c>
      <c r="F2331" t="str">
        <f>HYPERLINK("https://drillhole.pir.sa.gov.au/Details.aspx?DRILLHOLE_NO=215381","Geol Survey Link")</f>
        <v>Geol Survey Link</v>
      </c>
      <c r="I2331">
        <v>-30.452000000000002</v>
      </c>
      <c r="J2331">
        <v>138.26</v>
      </c>
    </row>
    <row r="2332" spans="1:11" x14ac:dyDescent="0.25">
      <c r="A2332" t="str">
        <f>HYPERLINK("http://www.corstruth.com.au/SA/215391_DD05WS001_cs.png","215391_DD05WS001_A4")</f>
        <v>215391_DD05WS001_A4</v>
      </c>
      <c r="B2332" t="str">
        <f>HYPERLINK("http://www.corstruth.com.au/SA/PNG2/215391_DD05WS001_cs.png","215391_DD05WS001_0.25m Bins")</f>
        <v>215391_DD05WS001_0.25m Bins</v>
      </c>
      <c r="C2332" t="str">
        <f>HYPERLINK("http://www.corstruth.com.au/SA/CSV/215391_DD05WS001.csv","215391_DD05WS001_CSV File 1m Bins")</f>
        <v>215391_DD05WS001_CSV File 1m Bins</v>
      </c>
      <c r="D2332">
        <v>215391</v>
      </c>
      <c r="E2332" t="s">
        <v>2163</v>
      </c>
      <c r="F2332" t="str">
        <f>HYPERLINK("https://drillhole.pir.sa.gov.au/Details.aspx?DRILLHOLE_NO=215391","Geol Survey Link")</f>
        <v>Geol Survey Link</v>
      </c>
      <c r="I2332">
        <v>-31.823599999999999</v>
      </c>
      <c r="J2332">
        <v>140.36699999999999</v>
      </c>
      <c r="K2332" t="str">
        <f>HYPERLINK("https://sarigdata.pir.sa.gov.au/nvcl/NVCLDataServices/mosaic.html?datasetid=ee33ea73-650e-453b-8a2b-9c8b9092ea9","215391_DD05WS001_Core Image")</f>
        <v>215391_DD05WS001_Core Image</v>
      </c>
    </row>
    <row r="2333" spans="1:11" x14ac:dyDescent="0.25">
      <c r="A2333" t="str">
        <f>HYPERLINK("http://www.corstruth.com.au/SA/215392_DD05SK001_cs.png","215392_DD05SK001_A4")</f>
        <v>215392_DD05SK001_A4</v>
      </c>
      <c r="B2333" t="str">
        <f>HYPERLINK("http://www.corstruth.com.au/SA/PNG2/215392_DD05SK001_cs.png","215392_DD05SK001_0.25m Bins")</f>
        <v>215392_DD05SK001_0.25m Bins</v>
      </c>
      <c r="C2333" t="str">
        <f>HYPERLINK("http://www.corstruth.com.au/SA/CSV/215392_DD05SK001.csv","215392_DD05SK001_CSV File 1m Bins")</f>
        <v>215392_DD05SK001_CSV File 1m Bins</v>
      </c>
      <c r="D2333">
        <v>215392</v>
      </c>
      <c r="E2333" t="s">
        <v>2163</v>
      </c>
      <c r="F2333" t="str">
        <f>HYPERLINK("https://drillhole.pir.sa.gov.au/Details.aspx?DRILLHOLE_NO=215392","Geol Survey Link")</f>
        <v>Geol Survey Link</v>
      </c>
      <c r="I2333">
        <v>-31.9054</v>
      </c>
      <c r="J2333">
        <v>140.12200000000001</v>
      </c>
    </row>
    <row r="2334" spans="1:11" x14ac:dyDescent="0.25">
      <c r="A2334" t="str">
        <f>HYPERLINK("http://www.corstruth.com.au/SA/215741_MHD22_cs.png","215741_MHD22_A4")</f>
        <v>215741_MHD22_A4</v>
      </c>
      <c r="D2334">
        <v>215741</v>
      </c>
      <c r="E2334" t="s">
        <v>2163</v>
      </c>
      <c r="F2334" t="str">
        <f>HYPERLINK("https://drillhole.pir.sa.gov.au/Details.aspx?DRILLHOLE_NO=215741","Geol Survey Link")</f>
        <v>Geol Survey Link</v>
      </c>
      <c r="I2334">
        <v>-30.453600000000002</v>
      </c>
      <c r="J2334">
        <v>138.262</v>
      </c>
    </row>
    <row r="2335" spans="1:11" x14ac:dyDescent="0.25">
      <c r="A2335" t="str">
        <f>HYPERLINK("http://www.corstruth.com.au/SA/215744_MHD25_cs.png","215744_MHD25_A4")</f>
        <v>215744_MHD25_A4</v>
      </c>
      <c r="D2335">
        <v>215744</v>
      </c>
      <c r="E2335" t="s">
        <v>2163</v>
      </c>
      <c r="F2335" t="str">
        <f>HYPERLINK("https://drillhole.pir.sa.gov.au/Details.aspx?DRILLHOLE_NO=215744","Geol Survey Link")</f>
        <v>Geol Survey Link</v>
      </c>
      <c r="I2335">
        <v>-30.455100000000002</v>
      </c>
      <c r="J2335">
        <v>138.26400000000001</v>
      </c>
    </row>
    <row r="2336" spans="1:11" x14ac:dyDescent="0.25">
      <c r="A2336" t="str">
        <f>HYPERLINK("http://www.corstruth.com.au/SA/215750_MHD31_cs.png","215750_MHD31_A4")</f>
        <v>215750_MHD31_A4</v>
      </c>
      <c r="D2336">
        <v>215750</v>
      </c>
      <c r="E2336" t="s">
        <v>2163</v>
      </c>
      <c r="F2336" t="str">
        <f>HYPERLINK("https://drillhole.pir.sa.gov.au/Details.aspx?DRILLHOLE_NO=215750","Geol Survey Link")</f>
        <v>Geol Survey Link</v>
      </c>
      <c r="I2336">
        <v>-30.458500000000001</v>
      </c>
      <c r="J2336">
        <v>138.268</v>
      </c>
    </row>
    <row r="2337" spans="1:11" x14ac:dyDescent="0.25">
      <c r="A2337" t="str">
        <f>HYPERLINK("http://www.corstruth.com.au/SA/215753_MHD34_cs.png","215753_MHD34_A4")</f>
        <v>215753_MHD34_A4</v>
      </c>
      <c r="D2337">
        <v>215753</v>
      </c>
      <c r="E2337" t="s">
        <v>2163</v>
      </c>
      <c r="F2337" t="str">
        <f>HYPERLINK("https://drillhole.pir.sa.gov.au/Details.aspx?DRILLHOLE_NO=215753","Geol Survey Link")</f>
        <v>Geol Survey Link</v>
      </c>
      <c r="I2337">
        <v>-30.46</v>
      </c>
      <c r="J2337">
        <v>138.27000000000001</v>
      </c>
    </row>
    <row r="2338" spans="1:11" x14ac:dyDescent="0.25">
      <c r="A2338" t="str">
        <f>HYPERLINK("http://www.corstruth.com.au/SA/216414_MHD37_cs.png","216414_MHD37_A4")</f>
        <v>216414_MHD37_A4</v>
      </c>
      <c r="D2338">
        <v>216414</v>
      </c>
      <c r="E2338" t="s">
        <v>2163</v>
      </c>
      <c r="F2338" t="str">
        <f>HYPERLINK("https://drillhole.pir.sa.gov.au/Details.aspx?DRILLHOLE_NO=216414","Geol Survey Link")</f>
        <v>Geol Survey Link</v>
      </c>
      <c r="I2338">
        <v>-30.461500000000001</v>
      </c>
      <c r="J2338">
        <v>138.27199999999999</v>
      </c>
    </row>
    <row r="2339" spans="1:11" x14ac:dyDescent="0.25">
      <c r="A2339" t="str">
        <f>HYPERLINK("http://www.corstruth.com.au/SA/21708_STANSBURYTOWN1_cs.png","21708_STANSBURYTOWN1_A4")</f>
        <v>21708_STANSBURYTOWN1_A4</v>
      </c>
      <c r="D2339">
        <v>21708</v>
      </c>
      <c r="E2339" t="s">
        <v>2163</v>
      </c>
      <c r="F2339" t="str">
        <f>HYPERLINK("https://drillhole.pir.sa.gov.au/Details.aspx?DRILLHOLE_NO=21708","Geol Survey Link")</f>
        <v>Geol Survey Link</v>
      </c>
      <c r="I2339">
        <v>-34.905200000000001</v>
      </c>
      <c r="J2339">
        <v>137.78100000000001</v>
      </c>
    </row>
    <row r="2340" spans="1:11" x14ac:dyDescent="0.25">
      <c r="A2340" t="str">
        <f>HYPERLINK("http://www.corstruth.com.au/SA/21709_STANSBURYWEST1_cs.png","21709_STANSBURYWEST1_A4")</f>
        <v>21709_STANSBURYWEST1_A4</v>
      </c>
      <c r="D2340">
        <v>21709</v>
      </c>
      <c r="E2340" t="s">
        <v>2163</v>
      </c>
      <c r="F2340" t="str">
        <f>HYPERLINK("https://drillhole.pir.sa.gov.au/Details.aspx?DRILLHOLE_NO=21709","Geol Survey Link")</f>
        <v>Geol Survey Link</v>
      </c>
      <c r="I2340">
        <v>-34.899099999999997</v>
      </c>
      <c r="J2340">
        <v>137.714</v>
      </c>
    </row>
    <row r="2341" spans="1:11" x14ac:dyDescent="0.25">
      <c r="A2341" t="str">
        <f>HYPERLINK("http://www.corstruth.com.au/SA/217361_MHD43_cs.png","217361_MHD43_A4")</f>
        <v>217361_MHD43_A4</v>
      </c>
      <c r="D2341">
        <v>217361</v>
      </c>
      <c r="E2341" t="s">
        <v>2163</v>
      </c>
      <c r="F2341" t="str">
        <f>HYPERLINK("https://drillhole.pir.sa.gov.au/Details.aspx?DRILLHOLE_NO=217361","Geol Survey Link")</f>
        <v>Geol Survey Link</v>
      </c>
      <c r="I2341">
        <v>-30.467700000000001</v>
      </c>
      <c r="J2341">
        <v>138.27799999999999</v>
      </c>
    </row>
    <row r="2342" spans="1:11" x14ac:dyDescent="0.25">
      <c r="A2342" t="str">
        <f>HYPERLINK("http://www.corstruth.com.au/SA/217367_MHD48_cs.png","217367_MHD48_A4")</f>
        <v>217367_MHD48_A4</v>
      </c>
      <c r="D2342">
        <v>217367</v>
      </c>
      <c r="E2342" t="s">
        <v>2163</v>
      </c>
      <c r="F2342" t="str">
        <f>HYPERLINK("https://drillhole.pir.sa.gov.au/Details.aspx?DRILLHOLE_NO=217367","Geol Survey Link")</f>
        <v>Geol Survey Link</v>
      </c>
      <c r="I2342">
        <v>-30.471299999999999</v>
      </c>
      <c r="J2342">
        <v>138.28200000000001</v>
      </c>
    </row>
    <row r="2343" spans="1:11" x14ac:dyDescent="0.25">
      <c r="A2343" t="str">
        <f>HYPERLINK("http://www.corstruth.com.au/SA/217372_MHDDH_55_cs.png","217372_MHDDH_55_A4")</f>
        <v>217372_MHDDH_55_A4</v>
      </c>
      <c r="D2343">
        <v>217372</v>
      </c>
      <c r="E2343" t="s">
        <v>2163</v>
      </c>
      <c r="F2343" t="str">
        <f>HYPERLINK("https://drillhole.pir.sa.gov.au/Details.aspx?DRILLHOLE_NO=217372","Geol Survey Link")</f>
        <v>Geol Survey Link</v>
      </c>
      <c r="I2343">
        <v>-30.474499999999999</v>
      </c>
      <c r="J2343">
        <v>138.285</v>
      </c>
    </row>
    <row r="2344" spans="1:11" x14ac:dyDescent="0.25">
      <c r="A2344" t="str">
        <f>HYPERLINK("http://www.corstruth.com.au/SA/218473_RU39-5371_cs.png","218473_RU39-5371_A4")</f>
        <v>218473_RU39-5371_A4</v>
      </c>
      <c r="D2344">
        <v>218473</v>
      </c>
      <c r="E2344" t="s">
        <v>2163</v>
      </c>
      <c r="F2344" t="str">
        <f>HYPERLINK("https://drillhole.pir.sa.gov.au/Details.aspx?DRILLHOLE_NO=218473","Geol Survey Link")</f>
        <v>Geol Survey Link</v>
      </c>
      <c r="I2344">
        <v>-30.439499999999999</v>
      </c>
      <c r="J2344">
        <v>136.887</v>
      </c>
      <c r="K2344" t="str">
        <f>HYPERLINK("https://sarigdata.pir.sa.gov.au/nvcl/NVCLDataServices/mosaic.html?datasetid=bac7563e-f7f2-4d63-a594-bb5867beb03","218473_RU39-5371_Core Image")</f>
        <v>218473_RU39-5371_Core Image</v>
      </c>
    </row>
    <row r="2345" spans="1:11" x14ac:dyDescent="0.25">
      <c r="A2345" t="str">
        <f>HYPERLINK("http://www.corstruth.com.au/SA/218473_RU39_5371_cs.png","218473_RU39_5371_A4")</f>
        <v>218473_RU39_5371_A4</v>
      </c>
      <c r="B2345" t="str">
        <f>HYPERLINK("http://www.corstruth.com.au/SA/PNG2/218473_RU39_5371_cs.png","218473_RU39_5371_0.25m Bins")</f>
        <v>218473_RU39_5371_0.25m Bins</v>
      </c>
      <c r="C2345" t="str">
        <f>HYPERLINK("http://www.corstruth.com.au/SA/CSV/218473_RU39_5371.csv","218473_RU39_5371_CSV File 1m Bins")</f>
        <v>218473_RU39_5371_CSV File 1m Bins</v>
      </c>
      <c r="D2345">
        <v>218473</v>
      </c>
      <c r="E2345" t="s">
        <v>2163</v>
      </c>
      <c r="F2345" t="str">
        <f>HYPERLINK("https://drillhole.pir.sa.gov.au/Details.aspx?DRILLHOLE_NO=218473","Geol Survey Link")</f>
        <v>Geol Survey Link</v>
      </c>
      <c r="I2345">
        <v>-30.439499999999999</v>
      </c>
      <c r="J2345">
        <v>136.887</v>
      </c>
      <c r="K2345" t="str">
        <f>HYPERLINK("https://sarigdata.pir.sa.gov.au/nvcl/NVCLDataServices/mosaic.html?datasetid=bac7563e-f7f2-4d63-a594-bb5867beb03","218473_RU39_5371_Core Image")</f>
        <v>218473_RU39_5371_Core Image</v>
      </c>
    </row>
    <row r="2346" spans="1:11" x14ac:dyDescent="0.25">
      <c r="A2346" t="str">
        <f>HYPERLINK("http://www.corstruth.com.au/SA/218474_RU39-5293_cs.png","218474_RU39-5293_A4")</f>
        <v>218474_RU39-5293_A4</v>
      </c>
      <c r="D2346">
        <v>218474</v>
      </c>
      <c r="E2346" t="s">
        <v>2163</v>
      </c>
      <c r="F2346" t="str">
        <f>HYPERLINK("https://drillhole.pir.sa.gov.au/Details.aspx?DRILLHOLE_NO=218474","Geol Survey Link")</f>
        <v>Geol Survey Link</v>
      </c>
      <c r="I2346">
        <v>-30.439800000000002</v>
      </c>
      <c r="J2346">
        <v>136.887</v>
      </c>
      <c r="K2346" t="str">
        <f>HYPERLINK("https://sarigdata.pir.sa.gov.au/nvcl/NVCLDataServices/mosaic.html?datasetid=b0f22872-4f1b-4bc7-8015-f162fb9f126","218474_RU39-5293_Core Image")</f>
        <v>218474_RU39-5293_Core Image</v>
      </c>
    </row>
    <row r="2347" spans="1:11" x14ac:dyDescent="0.25">
      <c r="A2347" t="str">
        <f>HYPERLINK("http://www.corstruth.com.au/SA/218474_RU39_5293_cs.png","218474_RU39_5293_A4")</f>
        <v>218474_RU39_5293_A4</v>
      </c>
      <c r="B2347" t="str">
        <f>HYPERLINK("http://www.corstruth.com.au/SA/PNG2/218474_RU39_5293_cs.png","218474_RU39_5293_0.25m Bins")</f>
        <v>218474_RU39_5293_0.25m Bins</v>
      </c>
      <c r="C2347" t="str">
        <f>HYPERLINK("http://www.corstruth.com.au/SA/CSV/218474_RU39_5293.csv","218474_RU39_5293_CSV File 1m Bins")</f>
        <v>218474_RU39_5293_CSV File 1m Bins</v>
      </c>
      <c r="D2347">
        <v>218474</v>
      </c>
      <c r="E2347" t="s">
        <v>2163</v>
      </c>
      <c r="F2347" t="str">
        <f>HYPERLINK("https://drillhole.pir.sa.gov.au/Details.aspx?DRILLHOLE_NO=218474","Geol Survey Link")</f>
        <v>Geol Survey Link</v>
      </c>
      <c r="I2347">
        <v>-30.439800000000002</v>
      </c>
      <c r="J2347">
        <v>136.887</v>
      </c>
      <c r="K2347" t="str">
        <f>HYPERLINK("https://sarigdata.pir.sa.gov.au/nvcl/NVCLDataServices/mosaic.html?datasetid=b0f22872-4f1b-4bc7-8015-f162fb9f126","218474_RU39_5293_Core Image")</f>
        <v>218474_RU39_5293_Core Image</v>
      </c>
    </row>
    <row r="2348" spans="1:11" x14ac:dyDescent="0.25">
      <c r="A2348" t="str">
        <f>HYPERLINK("http://www.corstruth.com.au/SA/218998_THD07_cs.png","218998_THD07_A4")</f>
        <v>218998_THD07_A4</v>
      </c>
      <c r="D2348">
        <v>218998</v>
      </c>
      <c r="E2348" t="s">
        <v>2163</v>
      </c>
      <c r="F2348" t="str">
        <f>HYPERLINK("https://drillhole.pir.sa.gov.au/Details.aspx?DRILLHOLE_NO=218998","Geol Survey Link")</f>
        <v>Geol Survey Link</v>
      </c>
      <c r="I2348">
        <v>-30.224900000000002</v>
      </c>
      <c r="J2348">
        <v>138.02500000000001</v>
      </c>
    </row>
    <row r="2349" spans="1:11" x14ac:dyDescent="0.25">
      <c r="A2349" t="str">
        <f>HYPERLINK("http://www.corstruth.com.au/SA/218999_THD08_cs.png","218999_THD08_A4")</f>
        <v>218999_THD08_A4</v>
      </c>
      <c r="D2349">
        <v>218999</v>
      </c>
      <c r="E2349" t="s">
        <v>2163</v>
      </c>
      <c r="F2349" t="str">
        <f>HYPERLINK("https://drillhole.pir.sa.gov.au/Details.aspx?DRILLHOLE_NO=218999","Geol Survey Link")</f>
        <v>Geol Survey Link</v>
      </c>
      <c r="I2349">
        <v>-30.224599999999999</v>
      </c>
      <c r="J2349">
        <v>138.02500000000001</v>
      </c>
    </row>
    <row r="2350" spans="1:11" x14ac:dyDescent="0.25">
      <c r="A2350" t="str">
        <f>HYPERLINK("http://www.corstruth.com.au/SA/219000_WD13_cs.png","219000_WD13_A4")</f>
        <v>219000_WD13_A4</v>
      </c>
      <c r="D2350">
        <v>219000</v>
      </c>
      <c r="E2350" t="s">
        <v>2163</v>
      </c>
      <c r="F2350" t="str">
        <f>HYPERLINK("https://drillhole.pir.sa.gov.au/Details.aspx?DRILLHOLE_NO=219000","Geol Survey Link")</f>
        <v>Geol Survey Link</v>
      </c>
      <c r="I2350">
        <v>-30.114799999999999</v>
      </c>
      <c r="J2350">
        <v>137.994</v>
      </c>
    </row>
    <row r="2351" spans="1:11" x14ac:dyDescent="0.25">
      <c r="A2351" t="str">
        <f>HYPERLINK("http://www.corstruth.com.au/SA/219189_BLDD08_cs.png","219189_BLDD08_A4")</f>
        <v>219189_BLDD08_A4</v>
      </c>
      <c r="B2351" t="str">
        <f>HYPERLINK("http://www.corstruth.com.au/SA/PNG2/219189_BLDD08_cs.png","219189_BLDD08_0.25m Bins")</f>
        <v>219189_BLDD08_0.25m Bins</v>
      </c>
      <c r="C2351" t="str">
        <f>HYPERLINK("http://www.corstruth.com.au/SA/CSV/219189_BLDD08.csv","219189_BLDD08_CSV File 1m Bins")</f>
        <v>219189_BLDD08_CSV File 1m Bins</v>
      </c>
      <c r="D2351">
        <v>219189</v>
      </c>
      <c r="E2351" t="s">
        <v>2163</v>
      </c>
      <c r="F2351" t="str">
        <f>HYPERLINK("https://drillhole.pir.sa.gov.au/Details.aspx?DRILLHOLE_NO=219189","Geol Survey Link")</f>
        <v>Geol Survey Link</v>
      </c>
      <c r="I2351">
        <v>-33.859299999999998</v>
      </c>
      <c r="J2351">
        <v>135.68700000000001</v>
      </c>
      <c r="K2351" t="str">
        <f>HYPERLINK("https://sarigdata.pir.sa.gov.au/nvcl/NVCLDataServices/mosaic.html?datasetid=fc454172-fc0f-4e2b-b646-1d7ed1d1bc3","219189_BLDD08_Core Image")</f>
        <v>219189_BLDD08_Core Image</v>
      </c>
    </row>
    <row r="2352" spans="1:11" x14ac:dyDescent="0.25">
      <c r="A2352" t="str">
        <f>HYPERLINK("http://www.corstruth.com.au/SA/219344_KAN_KDH1_cs.png","219344_KAN_KDH1_A4")</f>
        <v>219344_KAN_KDH1_A4</v>
      </c>
      <c r="B2352" t="str">
        <f>HYPERLINK("http://www.corstruth.com.au/SA/PNG2/219344_KAN_KDH1_cs.png","219344_KAN_KDH1_0.25m Bins")</f>
        <v>219344_KAN_KDH1_0.25m Bins</v>
      </c>
      <c r="C2352" t="str">
        <f>HYPERLINK("http://www.corstruth.com.au/SA/CSV/219344_KAN_KDH1.csv","219344_KAN_KDH1_CSV File 1m Bins")</f>
        <v>219344_KAN_KDH1_CSV File 1m Bins</v>
      </c>
      <c r="D2352">
        <v>219344</v>
      </c>
      <c r="E2352" t="s">
        <v>2163</v>
      </c>
      <c r="F2352" t="str">
        <f>HYPERLINK("https://drillhole.pir.sa.gov.au/Details.aspx?DRILLHOLE_NO=219344","Geol Survey Link")</f>
        <v>Geol Survey Link</v>
      </c>
      <c r="I2352">
        <v>-35.03</v>
      </c>
      <c r="J2352">
        <v>139.00899999999999</v>
      </c>
      <c r="K2352" t="str">
        <f>HYPERLINK("https://sarigdata.pir.sa.gov.au/nvcl/NVCLDataServices/mosaic.html?datasetid=cfd01677-7bbd-4ab0-b8c7-24c1a81b197","219344_KAN_KDH1_Core Image")</f>
        <v>219344_KAN_KDH1_Core Image</v>
      </c>
    </row>
    <row r="2353" spans="1:11" x14ac:dyDescent="0.25">
      <c r="A2353" t="str">
        <f>HYPERLINK("http://www.corstruth.com.au/SA/219345_KAN_KDH2_cs.png","219345_KAN_KDH2_A4")</f>
        <v>219345_KAN_KDH2_A4</v>
      </c>
      <c r="B2353" t="str">
        <f>HYPERLINK("http://www.corstruth.com.au/SA/PNG2/219345_KAN_KDH2_cs.png","219345_KAN_KDH2_0.25m Bins")</f>
        <v>219345_KAN_KDH2_0.25m Bins</v>
      </c>
      <c r="C2353" t="str">
        <f>HYPERLINK("http://www.corstruth.com.au/SA/CSV/219345_KAN_KDH2.csv","219345_KAN_KDH2_CSV File 1m Bins")</f>
        <v>219345_KAN_KDH2_CSV File 1m Bins</v>
      </c>
      <c r="D2353">
        <v>219345</v>
      </c>
      <c r="E2353" t="s">
        <v>2163</v>
      </c>
      <c r="F2353" t="str">
        <f>HYPERLINK("https://drillhole.pir.sa.gov.au/Details.aspx?DRILLHOLE_NO=219345","Geol Survey Link")</f>
        <v>Geol Survey Link</v>
      </c>
      <c r="I2353">
        <v>-35.026899999999998</v>
      </c>
      <c r="J2353">
        <v>139.012</v>
      </c>
      <c r="K2353" t="str">
        <f>HYPERLINK("https://sarigdata.pir.sa.gov.au/nvcl/NVCLDataServices/mosaic.html?datasetid=4c64ed1a-eefe-4730-a10a-226daf30f06","219345_KAN_KDH2_Core Image")</f>
        <v>219345_KAN_KDH2_Core Image</v>
      </c>
    </row>
    <row r="2354" spans="1:11" x14ac:dyDescent="0.25">
      <c r="A2354" t="str">
        <f>HYPERLINK("http://www.corstruth.com.au/SA/219431_YAM52C_cs.png","219431_YAM52C_A4")</f>
        <v>219431_YAM52C_A4</v>
      </c>
      <c r="B2354" t="str">
        <f>HYPERLINK("http://www.corstruth.com.au/SA/PNG2/219431_YAM52C_cs.png","219431_YAM52C_0.25m Bins")</f>
        <v>219431_YAM52C_0.25m Bins</v>
      </c>
      <c r="C2354" t="str">
        <f>HYPERLINK("http://www.corstruth.com.au/SA/CSV/219431_YAM52C.csv","219431_YAM52C_CSV File 1m Bins")</f>
        <v>219431_YAM52C_CSV File 1m Bins</v>
      </c>
      <c r="D2354">
        <v>219431</v>
      </c>
      <c r="E2354" t="s">
        <v>2163</v>
      </c>
      <c r="F2354" t="str">
        <f>HYPERLINK("https://drillhole.pir.sa.gov.au/Details.aspx?DRILLHOLE_NO=219431","Geol Survey Link")</f>
        <v>Geol Survey Link</v>
      </c>
      <c r="I2354">
        <v>-31.7637</v>
      </c>
      <c r="J2354">
        <v>140.68700000000001</v>
      </c>
      <c r="K2354" t="str">
        <f>HYPERLINK("https://sarigdata.pir.sa.gov.au/nvcl/NVCLDataServices/mosaic.html?datasetid=44696581-878e-42a5-a42c-cdf77fd6f84","219431_YAM52C_Core Image")</f>
        <v>219431_YAM52C_Core Image</v>
      </c>
    </row>
    <row r="2355" spans="1:11" x14ac:dyDescent="0.25">
      <c r="A2355" t="str">
        <f>HYPERLINK("http://www.corstruth.com.au/SA/219447_BLDD05_cs.png","219447_BLDD05_A4")</f>
        <v>219447_BLDD05_A4</v>
      </c>
      <c r="B2355" t="str">
        <f>HYPERLINK("http://www.corstruth.com.au/SA/PNG2/219447_BLDD05_cs.png","219447_BLDD05_0.25m Bins")</f>
        <v>219447_BLDD05_0.25m Bins</v>
      </c>
      <c r="C2355" t="str">
        <f>HYPERLINK("http://www.corstruth.com.au/SA/CSV/219447_BLDD05.csv","219447_BLDD05_CSV File 1m Bins")</f>
        <v>219447_BLDD05_CSV File 1m Bins</v>
      </c>
      <c r="D2355">
        <v>219447</v>
      </c>
      <c r="E2355" t="s">
        <v>2163</v>
      </c>
      <c r="F2355" t="str">
        <f>HYPERLINK("https://drillhole.pir.sa.gov.au/Details.aspx?DRILLHOLE_NO=219447","Geol Survey Link")</f>
        <v>Geol Survey Link</v>
      </c>
      <c r="I2355">
        <v>-33.709699999999998</v>
      </c>
      <c r="J2355">
        <v>135.17599999999999</v>
      </c>
      <c r="K2355" t="str">
        <f>HYPERLINK("https://sarigdata.pir.sa.gov.au/nvcl/NVCLDataServices/mosaic.html?datasetid=b68d2079-0e16-4f36-9b11-66d9de174cd","219447_BLDD05_Core Image")</f>
        <v>219447_BLDD05_Core Image</v>
      </c>
    </row>
    <row r="2356" spans="1:11" x14ac:dyDescent="0.25">
      <c r="A2356" t="str">
        <f>HYPERLINK("http://www.corstruth.com.au/SA/219498_QM2004_cs.png","219498_QM2004_A4")</f>
        <v>219498_QM2004_A4</v>
      </c>
      <c r="D2356">
        <v>219498</v>
      </c>
      <c r="E2356" t="s">
        <v>2163</v>
      </c>
      <c r="F2356" t="str">
        <f>HYPERLINK("https://drillhole.pir.sa.gov.au/Details.aspx?DRILLHOLE_NO=219498","Geol Survey Link")</f>
        <v>Geol Survey Link</v>
      </c>
      <c r="I2356">
        <v>-30.174900000000001</v>
      </c>
      <c r="J2356">
        <v>139.27799999999999</v>
      </c>
      <c r="K2356" t="str">
        <f>HYPERLINK("https://sarigdata.pir.sa.gov.au/nvcl/NVCLDataServices/mosaic.html?datasetid=45682145-6e6a-4b08-b9d8-67cb26a6d75","219498_QM2004_Core Image")</f>
        <v>219498_QM2004_Core Image</v>
      </c>
    </row>
    <row r="2357" spans="1:11" x14ac:dyDescent="0.25">
      <c r="A2357" t="str">
        <f>HYPERLINK("http://www.corstruth.com.au/SA/219499_QM2005_cs.png","219499_QM2005_A4")</f>
        <v>219499_QM2005_A4</v>
      </c>
      <c r="D2357">
        <v>219499</v>
      </c>
      <c r="E2357" t="s">
        <v>2163</v>
      </c>
      <c r="F2357" t="str">
        <f>HYPERLINK("https://drillhole.pir.sa.gov.au/Details.aspx?DRILLHOLE_NO=219499","Geol Survey Link")</f>
        <v>Geol Survey Link</v>
      </c>
      <c r="I2357">
        <v>-30.179500000000001</v>
      </c>
      <c r="J2357">
        <v>139.268</v>
      </c>
      <c r="K2357" t="str">
        <f>HYPERLINK("https://sarigdata.pir.sa.gov.au/nvcl/NVCLDataServices/mosaic.html?datasetid=136746d9-4678-4e48-9a00-ab42e6a1a1b","219499_QM2005_Core Image")</f>
        <v>219499_QM2005_Core Image</v>
      </c>
    </row>
    <row r="2358" spans="1:11" x14ac:dyDescent="0.25">
      <c r="A2358" t="str">
        <f>HYPERLINK("http://www.corstruth.com.au/SA/219502_QM2002_cs.png","219502_QM2002_A4")</f>
        <v>219502_QM2002_A4</v>
      </c>
      <c r="D2358">
        <v>219502</v>
      </c>
      <c r="E2358" t="s">
        <v>2163</v>
      </c>
      <c r="F2358" t="str">
        <f>HYPERLINK("https://drillhole.pir.sa.gov.au/Details.aspx?DRILLHOLE_NO=219502","Geol Survey Link")</f>
        <v>Geol Survey Link</v>
      </c>
      <c r="I2358">
        <v>-30.1739</v>
      </c>
      <c r="J2358">
        <v>139.274</v>
      </c>
      <c r="K2358" t="str">
        <f>HYPERLINK("https://sarigdata.pir.sa.gov.au/nvcl/NVCLDataServices/mosaic.html?datasetid=f5671e54-c5a4-4786-9ada-06af79019d8","219502_QM2002_Core Image")</f>
        <v>219502_QM2002_Core Image</v>
      </c>
    </row>
    <row r="2359" spans="1:11" x14ac:dyDescent="0.25">
      <c r="A2359" t="str">
        <f>HYPERLINK("http://www.corstruth.com.au/SA/219503_QM2008_cs.png","219503_QM2008_A4")</f>
        <v>219503_QM2008_A4</v>
      </c>
      <c r="D2359">
        <v>219503</v>
      </c>
      <c r="E2359" t="s">
        <v>2163</v>
      </c>
      <c r="F2359" t="str">
        <f>HYPERLINK("https://drillhole.pir.sa.gov.au/Details.aspx?DRILLHOLE_NO=219503","Geol Survey Link")</f>
        <v>Geol Survey Link</v>
      </c>
      <c r="I2359">
        <v>-30.179600000000001</v>
      </c>
      <c r="J2359">
        <v>139.268</v>
      </c>
      <c r="K2359" t="str">
        <f>HYPERLINK("https://sarigdata.pir.sa.gov.au/nvcl/NVCLDataServices/mosaic.html?datasetid=bdd58e3d-b26e-4ddb-978a-2cd0d41a1ea","219503_QM2008_Core Image")</f>
        <v>219503_QM2008_Core Image</v>
      </c>
    </row>
    <row r="2360" spans="1:11" x14ac:dyDescent="0.25">
      <c r="A2360" t="str">
        <f>HYPERLINK("http://www.corstruth.com.au/SA/219504_QM2009_cs.png","219504_QM2009_A4")</f>
        <v>219504_QM2009_A4</v>
      </c>
      <c r="D2360">
        <v>219504</v>
      </c>
      <c r="E2360" t="s">
        <v>2163</v>
      </c>
      <c r="F2360" t="str">
        <f>HYPERLINK("https://drillhole.pir.sa.gov.au/Details.aspx?DRILLHOLE_NO=219504","Geol Survey Link")</f>
        <v>Geol Survey Link</v>
      </c>
      <c r="I2360">
        <v>-30.171600000000002</v>
      </c>
      <c r="J2360">
        <v>139.27799999999999</v>
      </c>
      <c r="K2360" t="str">
        <f>HYPERLINK("https://sarigdata.pir.sa.gov.au/nvcl/NVCLDataServices/mosaic.html?datasetid=c5300118-0dc0-4a11-bcb3-72a25b8a0c7","219504_QM2009_Core Image")</f>
        <v>219504_QM2009_Core Image</v>
      </c>
    </row>
    <row r="2361" spans="1:11" x14ac:dyDescent="0.25">
      <c r="A2361" t="str">
        <f>HYPERLINK("http://www.corstruth.com.au/SA/220553_PN_06_02_cs.png","220553_PN_06_02_A4")</f>
        <v>220553_PN_06_02_A4</v>
      </c>
      <c r="B2361" t="str">
        <f>HYPERLINK("http://www.corstruth.com.au/SA/PNG2/220553_PN_06_02_cs.png","220553_PN_06_02_0.25m Bins")</f>
        <v>220553_PN_06_02_0.25m Bins</v>
      </c>
      <c r="C2361" t="str">
        <f>HYPERLINK("http://www.corstruth.com.au/SA/CSV/220553_PN_06_02.csv","220553_PN_06_02_CSV File 1m Bins")</f>
        <v>220553_PN_06_02_CSV File 1m Bins</v>
      </c>
      <c r="D2361">
        <v>220553</v>
      </c>
      <c r="E2361" t="s">
        <v>2163</v>
      </c>
      <c r="F2361" t="str">
        <f>HYPERLINK("https://drillhole.pir.sa.gov.au/Details.aspx?DRILLHOLE_NO=220553","Geol Survey Link")</f>
        <v>Geol Survey Link</v>
      </c>
      <c r="I2361">
        <v>-31.5899</v>
      </c>
      <c r="J2361">
        <v>137.404</v>
      </c>
      <c r="K2361" t="str">
        <f>HYPERLINK("https://sarigdata.pir.sa.gov.au/nvcl/NVCLDataServices/mosaic.html?datasetid=8cd75096-bce2-4456-b2d5-5e5bfb0cc8f","220553_PN_06_02_Core Image")</f>
        <v>220553_PN_06_02_Core Image</v>
      </c>
    </row>
    <row r="2362" spans="1:11" x14ac:dyDescent="0.25">
      <c r="A2362" t="str">
        <f>HYPERLINK("http://www.corstruth.com.au/SA/220554_PN_06_03_cs.png","220554_PN_06_03_A4")</f>
        <v>220554_PN_06_03_A4</v>
      </c>
      <c r="B2362" t="str">
        <f>HYPERLINK("http://www.corstruth.com.au/SA/PNG2/220554_PN_06_03_cs.png","220554_PN_06_03_0.25m Bins")</f>
        <v>220554_PN_06_03_0.25m Bins</v>
      </c>
      <c r="C2362" t="str">
        <f>HYPERLINK("http://www.corstruth.com.au/SA/CSV/220554_PN_06_03.csv","220554_PN_06_03_CSV File 1m Bins")</f>
        <v>220554_PN_06_03_CSV File 1m Bins</v>
      </c>
      <c r="D2362">
        <v>220554</v>
      </c>
      <c r="E2362" t="s">
        <v>2163</v>
      </c>
      <c r="F2362" t="str">
        <f>HYPERLINK("https://drillhole.pir.sa.gov.au/Details.aspx?DRILLHOLE_NO=220554","Geol Survey Link")</f>
        <v>Geol Survey Link</v>
      </c>
      <c r="I2362">
        <v>-31.526700000000002</v>
      </c>
      <c r="J2362">
        <v>137.34399999999999</v>
      </c>
      <c r="K2362" t="str">
        <f>HYPERLINK("https://sarigdata.pir.sa.gov.au/nvcl/NVCLDataServices/mosaic.html?datasetid=69b3258a-78ae-480a-8e87-4ee8039c80b","220554_PN_06_03_Core Image")</f>
        <v>220554_PN_06_03_Core Image</v>
      </c>
    </row>
    <row r="2363" spans="1:11" x14ac:dyDescent="0.25">
      <c r="A2363" t="str">
        <f>HYPERLINK("http://www.corstruth.com.au/SA/220555_PN_06_04_cs.png","220555_PN_06_04_A4")</f>
        <v>220555_PN_06_04_A4</v>
      </c>
      <c r="B2363" t="str">
        <f>HYPERLINK("http://www.corstruth.com.au/SA/PNG2/220555_PN_06_04_cs.png","220555_PN_06_04_0.25m Bins")</f>
        <v>220555_PN_06_04_0.25m Bins</v>
      </c>
      <c r="C2363" t="str">
        <f>HYPERLINK("http://www.corstruth.com.au/SA/CSV/220555_PN_06_04.csv","220555_PN_06_04_CSV File 1m Bins")</f>
        <v>220555_PN_06_04_CSV File 1m Bins</v>
      </c>
      <c r="D2363">
        <v>220555</v>
      </c>
      <c r="E2363" t="s">
        <v>2163</v>
      </c>
      <c r="F2363" t="str">
        <f>HYPERLINK("https://drillhole.pir.sa.gov.au/Details.aspx?DRILLHOLE_NO=220555","Geol Survey Link")</f>
        <v>Geol Survey Link</v>
      </c>
      <c r="I2363">
        <v>-31.540700000000001</v>
      </c>
      <c r="J2363">
        <v>137.363</v>
      </c>
      <c r="K2363" t="str">
        <f>HYPERLINK("https://sarigdata.pir.sa.gov.au/nvcl/NVCLDataServices/mosaic.html?datasetid=a0445dc5-9946-4de9-82ca-899858fb618","220555_PN_06_04_Core Image")</f>
        <v>220555_PN_06_04_Core Image</v>
      </c>
    </row>
    <row r="2364" spans="1:11" x14ac:dyDescent="0.25">
      <c r="A2364" t="str">
        <f>HYPERLINK("http://www.corstruth.com.au/SA/220556_PN_06_05_cs.png","220556_PN_06_05_A4")</f>
        <v>220556_PN_06_05_A4</v>
      </c>
      <c r="B2364" t="str">
        <f>HYPERLINK("http://www.corstruth.com.au/SA/PNG2/220556_PN_06_05_cs.png","220556_PN_06_05_0.25m Bins")</f>
        <v>220556_PN_06_05_0.25m Bins</v>
      </c>
      <c r="C2364" t="str">
        <f>HYPERLINK("http://www.corstruth.com.au/SA/CSV/220556_PN_06_05.csv","220556_PN_06_05_CSV File 1m Bins")</f>
        <v>220556_PN_06_05_CSV File 1m Bins</v>
      </c>
      <c r="D2364">
        <v>220556</v>
      </c>
      <c r="E2364" t="s">
        <v>2163</v>
      </c>
      <c r="F2364" t="str">
        <f>HYPERLINK("https://drillhole.pir.sa.gov.au/Details.aspx?DRILLHOLE_NO=220556","Geol Survey Link")</f>
        <v>Geol Survey Link</v>
      </c>
      <c r="I2364">
        <v>-31.648599999999998</v>
      </c>
      <c r="J2364">
        <v>137.35900000000001</v>
      </c>
      <c r="K2364" t="str">
        <f>HYPERLINK("https://sarigdata.pir.sa.gov.au/nvcl/NVCLDataServices/mosaic.html?datasetid=021f695a-f25f-4a38-a7f1-f252da86b64","220556_PN_06_05_Core Image")</f>
        <v>220556_PN_06_05_Core Image</v>
      </c>
    </row>
    <row r="2365" spans="1:11" x14ac:dyDescent="0.25">
      <c r="A2365" t="str">
        <f>HYPERLINK("http://www.corstruth.com.au/SA/222850_BRD002_cs.png","222850_BRD002_A4")</f>
        <v>222850_BRD002_A4</v>
      </c>
      <c r="D2365">
        <v>222850</v>
      </c>
      <c r="E2365" t="s">
        <v>2163</v>
      </c>
      <c r="F2365" t="str">
        <f>HYPERLINK("https://drillhole.pir.sa.gov.au/Details.aspx?DRILLHOLE_NO=222850","Geol Survey Link")</f>
        <v>Geol Survey Link</v>
      </c>
      <c r="I2365">
        <v>-30.776900000000001</v>
      </c>
      <c r="J2365">
        <v>140.43799999999999</v>
      </c>
      <c r="K2365" t="str">
        <f>HYPERLINK("https://sarigdata.pir.sa.gov.au/nvcl/NVCLDataServices/mosaic.html?datasetid=70345abe-3a40-4214-ba42-8eb73d0e02d","222850_BRD002_Core Image")</f>
        <v>222850_BRD002_Core Image</v>
      </c>
    </row>
    <row r="2366" spans="1:11" x14ac:dyDescent="0.25">
      <c r="A2366" t="str">
        <f>HYPERLINK("http://www.corstruth.com.au/SA/222851_BRD003_cs.png","222851_BRD003_A4")</f>
        <v>222851_BRD003_A4</v>
      </c>
      <c r="D2366">
        <v>222851</v>
      </c>
      <c r="E2366" t="s">
        <v>2163</v>
      </c>
      <c r="F2366" t="str">
        <f>HYPERLINK("https://drillhole.pir.sa.gov.au/Details.aspx?DRILLHOLE_NO=222851","Geol Survey Link")</f>
        <v>Geol Survey Link</v>
      </c>
      <c r="I2366">
        <v>-30.714500000000001</v>
      </c>
      <c r="J2366">
        <v>140.43299999999999</v>
      </c>
      <c r="K2366" t="str">
        <f>HYPERLINK("https://sarigdata.pir.sa.gov.au/nvcl/NVCLDataServices/mosaic.html?datasetid=0080f05a-5cf8-4e32-ab1c-2fd1e50d253","222851_BRD003_Core Image")</f>
        <v>222851_BRD003_Core Image</v>
      </c>
    </row>
    <row r="2367" spans="1:11" x14ac:dyDescent="0.25">
      <c r="A2367" t="str">
        <f>HYPERLINK("http://www.corstruth.com.au/SA/222852_BRD004_cs.png","222852_BRD004_A4")</f>
        <v>222852_BRD004_A4</v>
      </c>
      <c r="D2367">
        <v>222852</v>
      </c>
      <c r="E2367" t="s">
        <v>2163</v>
      </c>
      <c r="F2367" t="str">
        <f>HYPERLINK("https://drillhole.pir.sa.gov.au/Details.aspx?DRILLHOLE_NO=222852","Geol Survey Link")</f>
        <v>Geol Survey Link</v>
      </c>
      <c r="I2367">
        <v>-30.7758</v>
      </c>
      <c r="J2367">
        <v>140.44300000000001</v>
      </c>
      <c r="K2367" t="str">
        <f>HYPERLINK("https://sarigdata.pir.sa.gov.au/nvcl/NVCLDataServices/mosaic.html?datasetid=81a74fe5-5006-4c58-b061-793e1f30b4f","222852_BRD004_Core Image")</f>
        <v>222852_BRD004_Core Image</v>
      </c>
    </row>
    <row r="2368" spans="1:11" x14ac:dyDescent="0.25">
      <c r="A2368" t="str">
        <f>HYPERLINK("http://www.corstruth.com.au/SA/222853_BRD005_cs.png","222853_BRD005_A4")</f>
        <v>222853_BRD005_A4</v>
      </c>
      <c r="D2368">
        <v>222853</v>
      </c>
      <c r="E2368" t="s">
        <v>2163</v>
      </c>
      <c r="F2368" t="str">
        <f>HYPERLINK("https://drillhole.pir.sa.gov.au/Details.aspx?DRILLHOLE_NO=222853","Geol Survey Link")</f>
        <v>Geol Survey Link</v>
      </c>
      <c r="I2368">
        <v>-30.6616</v>
      </c>
      <c r="J2368">
        <v>140.33099999999999</v>
      </c>
      <c r="K2368" t="str">
        <f>HYPERLINK("https://sarigdata.pir.sa.gov.au/nvcl/NVCLDataServices/mosaic.html?datasetid=b7b24396-e5f7-45b3-8b5e-5154c719ad6","222853_BRD005_Core Image")</f>
        <v>222853_BRD005_Core Image</v>
      </c>
    </row>
    <row r="2369" spans="1:11" x14ac:dyDescent="0.25">
      <c r="A2369" t="str">
        <f>HYPERLINK("http://www.corstruth.com.au/SA/222854_BRD006_cs.png","222854_BRD006_A4")</f>
        <v>222854_BRD006_A4</v>
      </c>
      <c r="D2369">
        <v>222854</v>
      </c>
      <c r="E2369" t="s">
        <v>2163</v>
      </c>
      <c r="F2369" t="str">
        <f>HYPERLINK("https://drillhole.pir.sa.gov.au/Details.aspx?DRILLHOLE_NO=222854","Geol Survey Link")</f>
        <v>Geol Survey Link</v>
      </c>
      <c r="I2369">
        <v>-30.633099999999999</v>
      </c>
      <c r="J2369">
        <v>140.35900000000001</v>
      </c>
      <c r="K2369" t="str">
        <f>HYPERLINK("https://sarigdata.pir.sa.gov.au/nvcl/NVCLDataServices/mosaic.html?datasetid=a58e7b84-b176-44dd-a7e3-a1fd6f67b0e","222854_BRD006_Core Image")</f>
        <v>222854_BRD006_Core Image</v>
      </c>
    </row>
    <row r="2370" spans="1:11" x14ac:dyDescent="0.25">
      <c r="A2370" t="str">
        <f>HYPERLINK("http://www.corstruth.com.au/SA/222855_BRD007_cs.png","222855_BRD007_A4")</f>
        <v>222855_BRD007_A4</v>
      </c>
      <c r="D2370">
        <v>222855</v>
      </c>
      <c r="E2370" t="s">
        <v>2163</v>
      </c>
      <c r="F2370" t="str">
        <f>HYPERLINK("https://drillhole.pir.sa.gov.au/Details.aspx?DRILLHOLE_NO=222855","Geol Survey Link")</f>
        <v>Geol Survey Link</v>
      </c>
      <c r="I2370">
        <v>-30.645800000000001</v>
      </c>
      <c r="J2370">
        <v>140.31399999999999</v>
      </c>
      <c r="K2370" t="str">
        <f>HYPERLINK("https://sarigdata.pir.sa.gov.au/nvcl/NVCLDataServices/mosaic.html?datasetid=32acd643-ea73-4c3c-83a9-df43b37122c","222855_BRD007_Core Image")</f>
        <v>222855_BRD007_Core Image</v>
      </c>
    </row>
    <row r="2371" spans="1:11" x14ac:dyDescent="0.25">
      <c r="A2371" t="str">
        <f>HYPERLINK("http://www.corstruth.com.au/SA/224640_03CDDH0053_cs.png","224640_03CDDH0053_A4")</f>
        <v>224640_03CDDH0053_A4</v>
      </c>
      <c r="D2371">
        <v>224640</v>
      </c>
      <c r="E2371" t="s">
        <v>2163</v>
      </c>
      <c r="F2371" t="str">
        <f>HYPERLINK("https://drillhole.pir.sa.gov.au/Details.aspx?DRILLHOLE_NO=224640","Geol Survey Link")</f>
        <v>Geol Survey Link</v>
      </c>
      <c r="I2371">
        <v>-29.8749</v>
      </c>
      <c r="J2371">
        <v>133.59</v>
      </c>
    </row>
    <row r="2372" spans="1:11" x14ac:dyDescent="0.25">
      <c r="A2372" t="str">
        <f>HYPERLINK("http://www.corstruth.com.au/SA/226685_97CHDH0988_cs.png","226685_97CHDH0988_A4")</f>
        <v>226685_97CHDH0988_A4</v>
      </c>
      <c r="B2372" t="str">
        <f>HYPERLINK("http://www.corstruth.com.au/SA/PNG2/226685_97CHDH0988_cs.png","226685_97CHDH0988_0.25m Bins")</f>
        <v>226685_97CHDH0988_0.25m Bins</v>
      </c>
      <c r="C2372" t="str">
        <f>HYPERLINK("http://www.corstruth.com.au/SA/CSV/226685_97CHDH0988.csv","226685_97CHDH0988_CSV File 1m Bins")</f>
        <v>226685_97CHDH0988_CSV File 1m Bins</v>
      </c>
      <c r="D2372">
        <v>226685</v>
      </c>
      <c r="E2372" t="s">
        <v>2163</v>
      </c>
      <c r="F2372" t="str">
        <f>HYPERLINK("https://drillhole.pir.sa.gov.au/Details.aspx?DRILLHOLE_NO=226685","Geol Survey Link")</f>
        <v>Geol Survey Link</v>
      </c>
      <c r="I2372">
        <v>-29.876899999999999</v>
      </c>
      <c r="J2372">
        <v>133.58799999999999</v>
      </c>
      <c r="K2372" t="str">
        <f>HYPERLINK("https://sarigdata.pir.sa.gov.au/nvcl/NVCLDataServices/mosaic.html?datasetid=0175a3d5-ecc2-4e4c-b5fa-dd36a70ad7a","226685_97CHDH0988_Core Image")</f>
        <v>226685_97CHDH0988_Core Image</v>
      </c>
    </row>
    <row r="2373" spans="1:11" x14ac:dyDescent="0.25">
      <c r="A2373" t="str">
        <f>HYPERLINK("http://www.corstruth.com.au/SA/226688_97CHDH1000_cs.png","226688_97CHDH1000_A4")</f>
        <v>226688_97CHDH1000_A4</v>
      </c>
      <c r="B2373" t="str">
        <f>HYPERLINK("http://www.corstruth.com.au/SA/PNG2/226688_97CHDH1000_cs.png","226688_97CHDH1000_0.25m Bins")</f>
        <v>226688_97CHDH1000_0.25m Bins</v>
      </c>
      <c r="C2373" t="str">
        <f>HYPERLINK("http://www.corstruth.com.au/SA/CSV/226688_97CHDH1000.csv","226688_97CHDH1000_CSV File 1m Bins")</f>
        <v>226688_97CHDH1000_CSV File 1m Bins</v>
      </c>
      <c r="D2373">
        <v>226688</v>
      </c>
      <c r="E2373" t="s">
        <v>2163</v>
      </c>
      <c r="F2373" t="str">
        <f>HYPERLINK("https://drillhole.pir.sa.gov.au/Details.aspx?DRILLHOLE_NO=226688","Geol Survey Link")</f>
        <v>Geol Survey Link</v>
      </c>
      <c r="I2373">
        <v>-29.873100000000001</v>
      </c>
      <c r="J2373">
        <v>133.589</v>
      </c>
      <c r="K2373" t="str">
        <f>HYPERLINK("https://sarigdata.pir.sa.gov.au/nvcl/NVCLDataServices/mosaic.html?datasetid=688543c3-7303-4318-962b-79880015671","226688_97CHDH1000_Core Image")</f>
        <v>226688_97CHDH1000_Core Image</v>
      </c>
    </row>
    <row r="2374" spans="1:11" x14ac:dyDescent="0.25">
      <c r="A2374" t="str">
        <f>HYPERLINK("http://www.corstruth.com.au/SA/226693_97CHDH1337_cs.png","226693_97CHDH1337_A4")</f>
        <v>226693_97CHDH1337_A4</v>
      </c>
      <c r="B2374" t="str">
        <f>HYPERLINK("http://www.corstruth.com.au/SA/PNG2/226693_97CHDH1337_cs.png","226693_97CHDH1337_0.25m Bins")</f>
        <v>226693_97CHDH1337_0.25m Bins</v>
      </c>
      <c r="C2374" t="str">
        <f>HYPERLINK("http://www.corstruth.com.au/SA/CSV/226693_97CHDH1337.csv","226693_97CHDH1337_CSV File 1m Bins")</f>
        <v>226693_97CHDH1337_CSV File 1m Bins</v>
      </c>
      <c r="D2374">
        <v>226693</v>
      </c>
      <c r="E2374" t="s">
        <v>2163</v>
      </c>
      <c r="F2374" t="str">
        <f>HYPERLINK("https://drillhole.pir.sa.gov.au/Details.aspx?DRILLHOLE_NO=226693","Geol Survey Link")</f>
        <v>Geol Survey Link</v>
      </c>
      <c r="I2374">
        <v>-29.881499999999999</v>
      </c>
      <c r="J2374">
        <v>133.596</v>
      </c>
      <c r="K2374" t="str">
        <f>HYPERLINK("https://sarigdata.pir.sa.gov.au/nvcl/NVCLDataServices/mosaic.html?datasetid=d606fd94-9d81-42cc-9af5-ab2adf36270","226693_97CHDH1337_Core Image")</f>
        <v>226693_97CHDH1337_Core Image</v>
      </c>
    </row>
    <row r="2375" spans="1:11" x14ac:dyDescent="0.25">
      <c r="A2375" t="str">
        <f>HYPERLINK("http://www.corstruth.com.au/SA/226703_97CDDH1360_cs.png","226703_97CDDH1360_A4")</f>
        <v>226703_97CDDH1360_A4</v>
      </c>
      <c r="B2375" t="str">
        <f>HYPERLINK("http://www.corstruth.com.au/SA/PNG2/226703_97CDDH1360_cs.png","226703_97CDDH1360_0.25m Bins")</f>
        <v>226703_97CDDH1360_0.25m Bins</v>
      </c>
      <c r="C2375" t="str">
        <f>HYPERLINK("http://www.corstruth.com.au/SA/CSV/226703_97CDDH1360.csv","226703_97CDDH1360_CSV File 1m Bins")</f>
        <v>226703_97CDDH1360_CSV File 1m Bins</v>
      </c>
      <c r="D2375">
        <v>226703</v>
      </c>
      <c r="E2375" t="s">
        <v>2163</v>
      </c>
      <c r="F2375" t="str">
        <f>HYPERLINK("https://drillhole.pir.sa.gov.au/Details.aspx?DRILLHOLE_NO=226703","Geol Survey Link")</f>
        <v>Geol Survey Link</v>
      </c>
      <c r="I2375">
        <v>-29.871200000000002</v>
      </c>
      <c r="J2375">
        <v>133.59</v>
      </c>
      <c r="K2375" t="str">
        <f>HYPERLINK("https://sarigdata.pir.sa.gov.au/nvcl/NVCLDataServices/mosaic.html?datasetid=c5c82ead-970f-4bdc-832d-2a6b4c7a1f1","226703_97CDDH1360_Core Image")</f>
        <v>226703_97CDDH1360_Core Image</v>
      </c>
    </row>
    <row r="2376" spans="1:11" x14ac:dyDescent="0.25">
      <c r="A2376" t="str">
        <f>HYPERLINK("http://www.corstruth.com.au/SA/226812_98CDDH0002_cs.png","226812_98CDDH0002_A4")</f>
        <v>226812_98CDDH0002_A4</v>
      </c>
      <c r="B2376" t="str">
        <f>HYPERLINK("http://www.corstruth.com.au/SA/PNG2/226812_98CDDH0002_cs.png","226812_98CDDH0002_0.25m Bins")</f>
        <v>226812_98CDDH0002_0.25m Bins</v>
      </c>
      <c r="C2376" t="str">
        <f>HYPERLINK("http://www.corstruth.com.au/SA/CSV/226812_98CDDH0002.csv","226812_98CDDH0002_CSV File 1m Bins")</f>
        <v>226812_98CDDH0002_CSV File 1m Bins</v>
      </c>
      <c r="D2376">
        <v>226812</v>
      </c>
      <c r="E2376" t="s">
        <v>2163</v>
      </c>
      <c r="F2376" t="str">
        <f>HYPERLINK("https://drillhole.pir.sa.gov.au/Details.aspx?DRILLHOLE_NO=226812","Geol Survey Link")</f>
        <v>Geol Survey Link</v>
      </c>
      <c r="I2376">
        <v>-29.877700000000001</v>
      </c>
      <c r="J2376">
        <v>133.589</v>
      </c>
      <c r="K2376" t="str">
        <f>HYPERLINK("https://sarigdata.pir.sa.gov.au/nvcl/NVCLDataServices/mosaic.html?datasetid=a2125b83-97dd-4ff6-8f86-159ff8aae04","226812_98CDDH0002_Core Image")</f>
        <v>226812_98CDDH0002_Core Image</v>
      </c>
    </row>
    <row r="2377" spans="1:11" x14ac:dyDescent="0.25">
      <c r="A2377" t="str">
        <f>HYPERLINK("http://www.corstruth.com.au/SA/227935_SH7_cs.png","227935_SH7_A4")</f>
        <v>227935_SH7_A4</v>
      </c>
      <c r="B2377" t="str">
        <f>HYPERLINK("http://www.corstruth.com.au/SA/PNG2/227935_SH7_cs.png","227935_SH7_0.25m Bins")</f>
        <v>227935_SH7_0.25m Bins</v>
      </c>
      <c r="C2377" t="str">
        <f>HYPERLINK("http://www.corstruth.com.au/SA/CSV/227935_SH7.csv","227935_SH7_CSV File 1m Bins")</f>
        <v>227935_SH7_CSV File 1m Bins</v>
      </c>
      <c r="D2377">
        <v>227935</v>
      </c>
      <c r="E2377" t="s">
        <v>2163</v>
      </c>
      <c r="F2377" t="str">
        <f>HYPERLINK("https://drillhole.pir.sa.gov.au/Details.aspx?DRILLHOLE_NO=227935","Geol Survey Link")</f>
        <v>Geol Survey Link</v>
      </c>
      <c r="I2377">
        <v>-29.982099999999999</v>
      </c>
      <c r="J2377">
        <v>135.71799999999999</v>
      </c>
      <c r="K2377" t="str">
        <f>HYPERLINK("https://sarigdata.pir.sa.gov.au/nvcl/NVCLDataServices/mosaic.html?datasetid=db1ad921-c610-46ce-9d91-79df54a8d8e","227935_SH7_Core Image")</f>
        <v>227935_SH7_Core Image</v>
      </c>
    </row>
    <row r="2378" spans="1:11" x14ac:dyDescent="0.25">
      <c r="A2378" t="str">
        <f>HYPERLINK("http://www.corstruth.com.au/SA/228563_GraniteDowns_DH03_cs.png","228563_GraniteDowns_DH03_A4")</f>
        <v>228563_GraniteDowns_DH03_A4</v>
      </c>
      <c r="D2378">
        <v>228563</v>
      </c>
      <c r="E2378" t="s">
        <v>2163</v>
      </c>
      <c r="F2378" t="str">
        <f>HYPERLINK("https://drillhole.pir.sa.gov.au/Details.aspx?DRILLHOLE_NO=228563","Geol Survey Link")</f>
        <v>Geol Survey Link</v>
      </c>
      <c r="I2378">
        <v>-26.896000000000001</v>
      </c>
      <c r="J2378">
        <v>133.40600000000001</v>
      </c>
    </row>
    <row r="2379" spans="1:11" x14ac:dyDescent="0.25">
      <c r="A2379" t="str">
        <f>HYPERLINK("http://www.corstruth.com.au/SA/228564_GraniteDowns_DH11_cs.png","228564_GraniteDowns_DH11_A4")</f>
        <v>228564_GraniteDowns_DH11_A4</v>
      </c>
      <c r="D2379">
        <v>228564</v>
      </c>
      <c r="E2379" t="s">
        <v>2163</v>
      </c>
      <c r="F2379" t="str">
        <f>HYPERLINK("https://drillhole.pir.sa.gov.au/Details.aspx?DRILLHOLE_NO=228564","Geol Survey Link")</f>
        <v>Geol Survey Link</v>
      </c>
      <c r="I2379">
        <v>-26.8947</v>
      </c>
      <c r="J2379">
        <v>133.404</v>
      </c>
    </row>
    <row r="2380" spans="1:11" x14ac:dyDescent="0.25">
      <c r="A2380" t="str">
        <f>HYPERLINK("http://www.corstruth.com.au/SA/228565_GraniteDowns_DH15_cs.png","228565_GraniteDowns_DH15_A4")</f>
        <v>228565_GraniteDowns_DH15_A4</v>
      </c>
      <c r="D2380">
        <v>228565</v>
      </c>
      <c r="E2380" t="s">
        <v>2163</v>
      </c>
      <c r="F2380" t="str">
        <f>HYPERLINK("https://drillhole.pir.sa.gov.au/Details.aspx?DRILLHOLE_NO=228565","Geol Survey Link")</f>
        <v>Geol Survey Link</v>
      </c>
      <c r="I2380">
        <v>-26.895199999999999</v>
      </c>
      <c r="J2380">
        <v>133.405</v>
      </c>
    </row>
    <row r="2381" spans="1:11" x14ac:dyDescent="0.25">
      <c r="A2381" t="str">
        <f>HYPERLINK("http://www.corstruth.com.au/SA/228566_GraniteDowns_DH16_cs.png","228566_GraniteDowns_DH16_A4")</f>
        <v>228566_GraniteDowns_DH16_A4</v>
      </c>
      <c r="D2381">
        <v>228566</v>
      </c>
      <c r="E2381" t="s">
        <v>2163</v>
      </c>
      <c r="F2381" t="str">
        <f>HYPERLINK("https://drillhole.pir.sa.gov.au/Details.aspx?DRILLHOLE_NO=228566","Geol Survey Link")</f>
        <v>Geol Survey Link</v>
      </c>
      <c r="I2381">
        <v>-26.895700000000001</v>
      </c>
      <c r="J2381">
        <v>133.405</v>
      </c>
    </row>
    <row r="2382" spans="1:11" x14ac:dyDescent="0.25">
      <c r="A2382" t="str">
        <f>HYPERLINK("http://www.corstruth.com.au/SA/228567_GraniteDowns_DH20_cs.png","228567_GraniteDowns_DH20_A4")</f>
        <v>228567_GraniteDowns_DH20_A4</v>
      </c>
      <c r="D2382">
        <v>228567</v>
      </c>
      <c r="E2382" t="s">
        <v>2163</v>
      </c>
      <c r="F2382" t="str">
        <f>HYPERLINK("https://drillhole.pir.sa.gov.au/Details.aspx?DRILLHOLE_NO=228567","Geol Survey Link")</f>
        <v>Geol Survey Link</v>
      </c>
      <c r="I2382">
        <v>-26.894600000000001</v>
      </c>
      <c r="J2382">
        <v>133.40299999999999</v>
      </c>
    </row>
    <row r="2383" spans="1:11" x14ac:dyDescent="0.25">
      <c r="A2383" t="str">
        <f>HYPERLINK("http://www.corstruth.com.au/SA/229147_119105-0_cs.png","229147_119105-0_A4")</f>
        <v>229147_119105-0_A4</v>
      </c>
      <c r="D2383">
        <v>229147</v>
      </c>
      <c r="E2383" t="s">
        <v>2163</v>
      </c>
      <c r="F2383" t="str">
        <f>HYPERLINK("https://drillhole.pir.sa.gov.au/Details.aspx?DRILLHOLE_NO=229147","Geol Survey Link")</f>
        <v>Geol Survey Link</v>
      </c>
      <c r="I2383">
        <v>-34.104100000000003</v>
      </c>
      <c r="J2383">
        <v>139.30500000000001</v>
      </c>
      <c r="K2383" t="str">
        <f>HYPERLINK("https://sarigdata.pir.sa.gov.au/nvcl/NVCLDataServices/mosaic.html?datasetid=7a619c06-f254-4afb-afee-8fbcbfc4734","229147_119105-0_Core Image")</f>
        <v>229147_119105-0_Core Image</v>
      </c>
    </row>
    <row r="2384" spans="1:11" x14ac:dyDescent="0.25">
      <c r="A2384" t="str">
        <f>HYPERLINK("http://www.corstruth.com.au/SA/229148_119106-0_cs.png","229148_119106-0_A4")</f>
        <v>229148_119106-0_A4</v>
      </c>
      <c r="D2384">
        <v>229148</v>
      </c>
      <c r="E2384" t="s">
        <v>2163</v>
      </c>
      <c r="F2384" t="str">
        <f>HYPERLINK("https://drillhole.pir.sa.gov.au/Details.aspx?DRILLHOLE_NO=229148","Geol Survey Link")</f>
        <v>Geol Survey Link</v>
      </c>
      <c r="I2384">
        <v>-34.1374</v>
      </c>
      <c r="J2384">
        <v>139.30000000000001</v>
      </c>
      <c r="K2384" t="str">
        <f>HYPERLINK("https://sarigdata.pir.sa.gov.au/nvcl/NVCLDataServices/mosaic.html?datasetid=eee753a5-8cc4-4f60-b3eb-933f6dde472","229148_119106-0_Core Image")</f>
        <v>229148_119106-0_Core Image</v>
      </c>
    </row>
    <row r="2385" spans="1:11" x14ac:dyDescent="0.25">
      <c r="A2385" t="str">
        <f>HYPERLINK("http://www.corstruth.com.au/SA/229506_119101-0_cs.png","229506_119101-0_A4")</f>
        <v>229506_119101-0_A4</v>
      </c>
      <c r="D2385">
        <v>229506</v>
      </c>
      <c r="E2385" t="s">
        <v>2163</v>
      </c>
      <c r="F2385" t="str">
        <f>HYPERLINK("https://drillhole.pir.sa.gov.au/Details.aspx?DRILLHOLE_NO=229506","Geol Survey Link")</f>
        <v>Geol Survey Link</v>
      </c>
      <c r="I2385">
        <v>-34.707000000000001</v>
      </c>
      <c r="J2385">
        <v>139.411</v>
      </c>
      <c r="K2385" t="str">
        <f>HYPERLINK("https://sarigdata.pir.sa.gov.au/nvcl/NVCLDataServices/mosaic.html?datasetid=5fc1c29a-41f5-4af4-b45d-d44333b5907","229506_119101-0_Core Image")</f>
        <v>229506_119101-0_Core Image</v>
      </c>
    </row>
    <row r="2386" spans="1:11" x14ac:dyDescent="0.25">
      <c r="A2386" t="str">
        <f>HYPERLINK("http://www.corstruth.com.au/SA/229507_119102-0_cs.png","229507_119102-0_A4")</f>
        <v>229507_119102-0_A4</v>
      </c>
      <c r="D2386">
        <v>229507</v>
      </c>
      <c r="E2386" t="s">
        <v>2163</v>
      </c>
      <c r="F2386" t="str">
        <f>HYPERLINK("https://drillhole.pir.sa.gov.au/Details.aspx?DRILLHOLE_NO=229507","Geol Survey Link")</f>
        <v>Geol Survey Link</v>
      </c>
      <c r="I2386">
        <v>-34.706499999999998</v>
      </c>
      <c r="J2386">
        <v>139.398</v>
      </c>
      <c r="K2386" t="str">
        <f>HYPERLINK("https://sarigdata.pir.sa.gov.au/nvcl/NVCLDataServices/mosaic.html?datasetid=45937cac-b030-492b-a805-8540c7fd3c0","229507_119102-0_Core Image")</f>
        <v>229507_119102-0_Core Image</v>
      </c>
    </row>
    <row r="2387" spans="1:11" x14ac:dyDescent="0.25">
      <c r="A2387" t="str">
        <f>HYPERLINK("http://www.corstruth.com.au/SA/229508_119103-0_cs.png","229508_119103-0_A4")</f>
        <v>229508_119103-0_A4</v>
      </c>
      <c r="D2387">
        <v>229508</v>
      </c>
      <c r="E2387" t="s">
        <v>2163</v>
      </c>
      <c r="F2387" t="str">
        <f>HYPERLINK("https://drillhole.pir.sa.gov.au/Details.aspx?DRILLHOLE_NO=229508","Geol Survey Link")</f>
        <v>Geol Survey Link</v>
      </c>
      <c r="I2387">
        <v>-34.64</v>
      </c>
      <c r="J2387">
        <v>139.31399999999999</v>
      </c>
      <c r="K2387" t="str">
        <f>HYPERLINK("https://sarigdata.pir.sa.gov.au/nvcl/NVCLDataServices/mosaic.html?datasetid=7013df0e-0d81-497d-a636-9f260351031","229508_119103-0_Core Image")</f>
        <v>229508_119103-0_Core Image</v>
      </c>
    </row>
    <row r="2388" spans="1:11" x14ac:dyDescent="0.25">
      <c r="A2388" t="str">
        <f>HYPERLINK("http://www.corstruth.com.au/SA/229509_119104-0_cs.png","229509_119104-0_A4")</f>
        <v>229509_119104-0_A4</v>
      </c>
      <c r="D2388">
        <v>229509</v>
      </c>
      <c r="E2388" t="s">
        <v>2163</v>
      </c>
      <c r="F2388" t="str">
        <f>HYPERLINK("https://drillhole.pir.sa.gov.au/Details.aspx?DRILLHOLE_NO=229509","Geol Survey Link")</f>
        <v>Geol Survey Link</v>
      </c>
      <c r="I2388">
        <v>-34.639699999999998</v>
      </c>
      <c r="J2388">
        <v>139.292</v>
      </c>
      <c r="K2388" t="str">
        <f>HYPERLINK("https://sarigdata.pir.sa.gov.au/nvcl/NVCLDataServices/mosaic.html?datasetid=9c889b94-a251-4f6e-a587-6d111047fbf","229509_119104-0_Core Image")</f>
        <v>229509_119104-0_Core Image</v>
      </c>
    </row>
    <row r="2389" spans="1:11" x14ac:dyDescent="0.25">
      <c r="A2389" t="str">
        <f>HYPERLINK("http://www.corstruth.com.au/SA/229978_MGD44_cs.png","229978_MGD44_A4")</f>
        <v>229978_MGD44_A4</v>
      </c>
      <c r="D2389">
        <v>229978</v>
      </c>
      <c r="E2389" t="s">
        <v>2163</v>
      </c>
      <c r="F2389" t="str">
        <f>HYPERLINK("https://drillhole.pir.sa.gov.au/Details.aspx?DRILLHOLE_NO=229978","Geol Survey Link")</f>
        <v>Geol Survey Link</v>
      </c>
      <c r="I2389">
        <v>-31.267700000000001</v>
      </c>
      <c r="J2389">
        <v>137.25200000000001</v>
      </c>
      <c r="K2389" t="str">
        <f>HYPERLINK("https://sarigdata.pir.sa.gov.au/nvcl/NVCLDataServices/mosaic.html?datasetid=f1117d4f-a8de-4fd3-91d6-a75d311472f","229978_MGD44_Core Image")</f>
        <v>229978_MGD44_Core Image</v>
      </c>
    </row>
    <row r="2390" spans="1:11" x14ac:dyDescent="0.25">
      <c r="A2390" t="str">
        <f>HYPERLINK("http://www.corstruth.com.au/SA/229979_MGD45_cs.png","229979_MGD45_A4")</f>
        <v>229979_MGD45_A4</v>
      </c>
      <c r="D2390">
        <v>229979</v>
      </c>
      <c r="E2390" t="s">
        <v>2163</v>
      </c>
      <c r="F2390" t="str">
        <f>HYPERLINK("https://drillhole.pir.sa.gov.au/Details.aspx?DRILLHOLE_NO=229979","Geol Survey Link")</f>
        <v>Geol Survey Link</v>
      </c>
      <c r="I2390">
        <v>-31.251100000000001</v>
      </c>
      <c r="J2390">
        <v>137.25200000000001</v>
      </c>
      <c r="K2390" t="str">
        <f>HYPERLINK("https://sarigdata.pir.sa.gov.au/nvcl/NVCLDataServices/mosaic.html?datasetid=05a31382-317f-4696-9cdd-1afe4440fe6","229979_MGD45_Core Image")</f>
        <v>229979_MGD45_Core Image</v>
      </c>
    </row>
    <row r="2391" spans="1:11" x14ac:dyDescent="0.25">
      <c r="A2391" t="str">
        <f>HYPERLINK("http://www.corstruth.com.au/SA/229981_MGD46_cs.png","229981_MGD46_A4")</f>
        <v>229981_MGD46_A4</v>
      </c>
      <c r="B2391" t="str">
        <f>HYPERLINK("http://www.corstruth.com.au/SA/PNG2/229981_MGD46_cs.png","229981_MGD46_0.25m Bins")</f>
        <v>229981_MGD46_0.25m Bins</v>
      </c>
      <c r="C2391" t="str">
        <f>HYPERLINK("http://www.corstruth.com.au/SA/CSV/229981_MGD46.csv","229981_MGD46_CSV File 1m Bins")</f>
        <v>229981_MGD46_CSV File 1m Bins</v>
      </c>
      <c r="D2391">
        <v>229981</v>
      </c>
      <c r="E2391" t="s">
        <v>2163</v>
      </c>
      <c r="F2391" t="str">
        <f>HYPERLINK("https://drillhole.pir.sa.gov.au/Details.aspx?DRILLHOLE_NO=229981","Geol Survey Link")</f>
        <v>Geol Survey Link</v>
      </c>
      <c r="I2391">
        <v>-31.2455</v>
      </c>
      <c r="J2391">
        <v>137.25800000000001</v>
      </c>
      <c r="K2391" t="str">
        <f>HYPERLINK("https://sarigdata.pir.sa.gov.au/nvcl/NVCLDataServices/mosaic.html?datasetid=6a58fe2f-3316-4fbb-a3df-6976a922765","229981_MGD46_Core Image")</f>
        <v>229981_MGD46_Core Image</v>
      </c>
    </row>
    <row r="2392" spans="1:11" x14ac:dyDescent="0.25">
      <c r="A2392" t="str">
        <f>HYPERLINK("http://www.corstruth.com.au/SA/229989_RD002_cs.png","229989_RD002_A4")</f>
        <v>229989_RD002_A4</v>
      </c>
      <c r="B2392" t="str">
        <f>HYPERLINK("http://www.corstruth.com.au/SA/PNG2/229989_RD002_cs.png","229989_RD002_0.25m Bins")</f>
        <v>229989_RD002_0.25m Bins</v>
      </c>
      <c r="C2392" t="str">
        <f>HYPERLINK("http://www.corstruth.com.au/SA/CSV/229989_RD002.csv","229989_RD002_CSV File 1m Bins")</f>
        <v>229989_RD002_CSV File 1m Bins</v>
      </c>
      <c r="D2392">
        <v>229989</v>
      </c>
      <c r="E2392" t="s">
        <v>2163</v>
      </c>
      <c r="F2392" t="str">
        <f>HYPERLINK("https://drillhole.pir.sa.gov.au/Details.aspx?DRILLHOLE_NO=229989","Geol Survey Link")</f>
        <v>Geol Survey Link</v>
      </c>
      <c r="I2392">
        <v>-32.823900000000002</v>
      </c>
      <c r="J2392">
        <v>136.976</v>
      </c>
      <c r="K2392" t="str">
        <f>HYPERLINK("https://sarigdata.pir.sa.gov.au/nvcl/NVCLDataServices/mosaic.html?datasetid=d01bf50b-5fdb-40e0-a8f2-418f213c4c0","229989_RD002_Core Image")</f>
        <v>229989_RD002_Core Image</v>
      </c>
    </row>
    <row r="2393" spans="1:11" x14ac:dyDescent="0.25">
      <c r="A2393" t="str">
        <f>HYPERLINK("http://www.corstruth.com.au/SA/23015_WeetultaDDH93_cs.png","23015_WeetultaDDH93_A4")</f>
        <v>23015_WeetultaDDH93_A4</v>
      </c>
      <c r="B2393" t="str">
        <f>HYPERLINK("http://www.corstruth.com.au/SA/PNG2/23015_WeetultaDDH93_cs.png","23015_WeetultaDDH93_0.25m Bins")</f>
        <v>23015_WeetultaDDH93_0.25m Bins</v>
      </c>
      <c r="C2393" t="str">
        <f>HYPERLINK("http://www.corstruth.com.au/SA/CSV/23015_WeetultaDDH93.csv","23015_WeetultaDDH93_CSV File 1m Bins")</f>
        <v>23015_WeetultaDDH93_CSV File 1m Bins</v>
      </c>
      <c r="D2393">
        <v>23015</v>
      </c>
      <c r="E2393" t="s">
        <v>2163</v>
      </c>
      <c r="F2393" t="str">
        <f>HYPERLINK("https://drillhole.pir.sa.gov.au/Details.aspx?DRILLHOLE_NO=23015","Geol Survey Link")</f>
        <v>Geol Survey Link</v>
      </c>
      <c r="I2393">
        <v>-34.233199999999997</v>
      </c>
      <c r="J2393">
        <v>137.636</v>
      </c>
      <c r="K2393" t="str">
        <f>HYPERLINK("https://sarigdata.pir.sa.gov.au/nvcl/NVCLDataServices/mosaic.html?datasetid=3fe24bf4-dae7-47fc-9dff-b712e19e4cc","23015_WeetultaDDH93_Core Image")</f>
        <v>23015_WeetultaDDH93_Core Image</v>
      </c>
    </row>
    <row r="2394" spans="1:11" x14ac:dyDescent="0.25">
      <c r="A2394" t="str">
        <f>HYPERLINK("http://www.corstruth.com.au/SA/23028_DDH178_cs.png","23028_DDH178_A4")</f>
        <v>23028_DDH178_A4</v>
      </c>
      <c r="B2394" t="str">
        <f>HYPERLINK("http://www.corstruth.com.au/SA/PNG2/23028_DDH178_cs.png","23028_DDH178_0.25m Bins")</f>
        <v>23028_DDH178_0.25m Bins</v>
      </c>
      <c r="C2394" t="str">
        <f>HYPERLINK("http://www.corstruth.com.au/SA/CSV/23028_DDH178.csv","23028_DDH178_CSV File 1m Bins")</f>
        <v>23028_DDH178_CSV File 1m Bins</v>
      </c>
      <c r="D2394">
        <v>23028</v>
      </c>
      <c r="E2394" t="s">
        <v>2163</v>
      </c>
      <c r="F2394" t="str">
        <f>HYPERLINK("https://drillhole.pir.sa.gov.au/Details.aspx?DRILLHOLE_NO=23028","Geol Survey Link")</f>
        <v>Geol Survey Link</v>
      </c>
      <c r="I2394">
        <v>-34.237299999999998</v>
      </c>
      <c r="J2394">
        <v>137.53399999999999</v>
      </c>
      <c r="K2394" t="str">
        <f>HYPERLINK("https://sarigdata.pir.sa.gov.au/nvcl/NVCLDataServices/mosaic.html?datasetid=292786d3-4574-443e-b55f-1497b25b109","23028_DDH178_Core Image")</f>
        <v>23028_DDH178_Core Image</v>
      </c>
    </row>
    <row r="2395" spans="1:11" x14ac:dyDescent="0.25">
      <c r="A2395" t="str">
        <f>HYPERLINK("http://www.corstruth.com.au/SA/23045_NBH203_cs.png","23045_NBH203_A4")</f>
        <v>23045_NBH203_A4</v>
      </c>
      <c r="B2395" t="str">
        <f>HYPERLINK("http://www.corstruth.com.au/SA/PNG2/23045_NBH203_cs.png","23045_NBH203_0.25m Bins")</f>
        <v>23045_NBH203_0.25m Bins</v>
      </c>
      <c r="C2395" t="str">
        <f>HYPERLINK("http://www.corstruth.com.au/SA/CSV/23045_NBH203.csv","23045_NBH203_CSV File 1m Bins")</f>
        <v>23045_NBH203_CSV File 1m Bins</v>
      </c>
      <c r="D2395">
        <v>23045</v>
      </c>
      <c r="E2395" t="s">
        <v>2163</v>
      </c>
      <c r="F2395" t="str">
        <f>HYPERLINK("https://drillhole.pir.sa.gov.au/Details.aspx?DRILLHOLE_NO=23045","Geol Survey Link")</f>
        <v>Geol Survey Link</v>
      </c>
      <c r="I2395">
        <v>-34.1751</v>
      </c>
      <c r="J2395">
        <v>137.726</v>
      </c>
      <c r="K2395" t="str">
        <f>HYPERLINK("https://sarigdata.pir.sa.gov.au/nvcl/NVCLDataServices/mosaic.html?datasetid=32822657-91db-407b-871a-aa16dff3422","23045_NBH203_Core Image")</f>
        <v>23045_NBH203_Core Image</v>
      </c>
    </row>
    <row r="2396" spans="1:11" x14ac:dyDescent="0.25">
      <c r="A2396" t="str">
        <f>HYPERLINK("http://www.corstruth.com.au/SA/23053_DDH_228_cs.png","23053_DDH 228_A4")</f>
        <v>23053_DDH 228_A4</v>
      </c>
      <c r="D2396">
        <v>23053</v>
      </c>
      <c r="E2396" t="s">
        <v>2163</v>
      </c>
      <c r="F2396" t="str">
        <f>HYPERLINK("https://drillhole.pir.sa.gov.au/Details.aspx?DRILLHOLE_NO=23053","Geol Survey Link")</f>
        <v>Geol Survey Link</v>
      </c>
      <c r="I2396">
        <v>-34.039900000000003</v>
      </c>
      <c r="J2396">
        <v>137.61699999999999</v>
      </c>
    </row>
    <row r="2397" spans="1:11" x14ac:dyDescent="0.25">
      <c r="A2397" t="str">
        <f>HYPERLINK("http://www.corstruth.com.au/SA/230886_03CDDH0065_cs.png","230886_03CDDH0065_A4")</f>
        <v>230886_03CDDH0065_A4</v>
      </c>
      <c r="B2397" t="str">
        <f>HYPERLINK("http://www.corstruth.com.au/SA/PNG2/230886_03CDDH0065_cs.png","230886_03CDDH0065_0.25m Bins")</f>
        <v>230886_03CDDH0065_0.25m Bins</v>
      </c>
      <c r="C2397" t="str">
        <f>HYPERLINK("http://www.corstruth.com.au/SA/CSV/230886_03CDDH0065.csv","230886_03CDDH0065_CSV File 1m Bins")</f>
        <v>230886_03CDDH0065_CSV File 1m Bins</v>
      </c>
      <c r="D2397">
        <v>230886</v>
      </c>
      <c r="E2397" t="s">
        <v>2163</v>
      </c>
      <c r="F2397" t="str">
        <f>HYPERLINK("https://drillhole.pir.sa.gov.au/Details.aspx?DRILLHOLE_NO=230886","Geol Survey Link")</f>
        <v>Geol Survey Link</v>
      </c>
      <c r="I2397">
        <v>-29.873100000000001</v>
      </c>
      <c r="J2397">
        <v>133.59</v>
      </c>
      <c r="K2397" t="str">
        <f>HYPERLINK("https://sarigdata.pir.sa.gov.au/nvcl/NVCLDataServices/mosaic.html?datasetid=aa48422d-b035-47c3-9691-2e94fdf9468","230886_03CDDH0065_Core Image")</f>
        <v>230886_03CDDH0065_Core Image</v>
      </c>
    </row>
    <row r="2398" spans="1:11" x14ac:dyDescent="0.25">
      <c r="A2398" t="str">
        <f>HYPERLINK("http://www.corstruth.com.au/SA/230887_03CDDH0067_cs.png","230887_03CDDH0067_A4")</f>
        <v>230887_03CDDH0067_A4</v>
      </c>
      <c r="B2398" t="str">
        <f>HYPERLINK("http://www.corstruth.com.au/SA/PNG2/230887_03CDDH0067_cs.png","230887_03CDDH0067_0.25m Bins")</f>
        <v>230887_03CDDH0067_0.25m Bins</v>
      </c>
      <c r="C2398" t="str">
        <f>HYPERLINK("http://www.corstruth.com.au/SA/CSV/230887_03CDDH0067.csv","230887_03CDDH0067_CSV File 1m Bins")</f>
        <v>230887_03CDDH0067_CSV File 1m Bins</v>
      </c>
      <c r="D2398">
        <v>230887</v>
      </c>
      <c r="E2398" t="s">
        <v>2163</v>
      </c>
      <c r="F2398" t="str">
        <f>HYPERLINK("https://drillhole.pir.sa.gov.au/Details.aspx?DRILLHOLE_NO=230887","Geol Survey Link")</f>
        <v>Geol Survey Link</v>
      </c>
      <c r="I2398">
        <v>-29.878499999999999</v>
      </c>
      <c r="J2398">
        <v>133.59</v>
      </c>
      <c r="K2398" t="str">
        <f>HYPERLINK("https://sarigdata.pir.sa.gov.au/nvcl/NVCLDataServices/mosaic.html?datasetid=955fee72-d106-4355-9dc6-895ecf078d5","230887_03CDDH0067_Core Image")</f>
        <v>230887_03CDDH0067_Core Image</v>
      </c>
    </row>
    <row r="2399" spans="1:11" x14ac:dyDescent="0.25">
      <c r="A2399" t="str">
        <f>HYPERLINK("http://www.corstruth.com.au/SA/230888_04CUD0117_cs.png","230888_04CUD0117_A4")</f>
        <v>230888_04CUD0117_A4</v>
      </c>
      <c r="B2399" t="str">
        <f>HYPERLINK("http://www.corstruth.com.au/SA/PNG2/230888_04CUD0117_cs.png","230888_04CUD0117_0.25m Bins")</f>
        <v>230888_04CUD0117_0.25m Bins</v>
      </c>
      <c r="C2399" t="str">
        <f>HYPERLINK("http://www.corstruth.com.au/SA/CSV/230888_04CUD0117.csv","230888_04CUD0117_CSV File 1m Bins")</f>
        <v>230888_04CUD0117_CSV File 1m Bins</v>
      </c>
      <c r="D2399">
        <v>230888</v>
      </c>
      <c r="E2399" t="s">
        <v>2163</v>
      </c>
      <c r="F2399" t="str">
        <f>HYPERLINK("https://drillhole.pir.sa.gov.au/Details.aspx?DRILLHOLE_NO=230888","Geol Survey Link")</f>
        <v>Geol Survey Link</v>
      </c>
      <c r="I2399">
        <v>-29.878499999999999</v>
      </c>
      <c r="J2399">
        <v>133.58799999999999</v>
      </c>
      <c r="K2399" t="str">
        <f>HYPERLINK("https://sarigdata.pir.sa.gov.au/nvcl/NVCLDataServices/mosaic.html?datasetid=a32a4493-c4c0-46f1-a5ed-f56aa530e86","230888_04CUD0117_Core Image")</f>
        <v>230888_04CUD0117_Core Image</v>
      </c>
    </row>
    <row r="2400" spans="1:11" x14ac:dyDescent="0.25">
      <c r="A2400" t="str">
        <f>HYPERLINK("http://www.corstruth.com.au/SA/230889_KAR1_cs.png","230889_KAR1_A4")</f>
        <v>230889_KAR1_A4</v>
      </c>
      <c r="B2400" t="str">
        <f>HYPERLINK("http://www.corstruth.com.au/SA/PNG2/230889_KAR1_cs.png","230889_KAR1_0.25m Bins")</f>
        <v>230889_KAR1_0.25m Bins</v>
      </c>
      <c r="C2400" t="str">
        <f>HYPERLINK("http://www.corstruth.com.au/SA/CSV/230889_KAR1.csv","230889_KAR1_CSV File 1m Bins")</f>
        <v>230889_KAR1_CSV File 1m Bins</v>
      </c>
      <c r="D2400">
        <v>230889</v>
      </c>
      <c r="E2400" t="s">
        <v>2163</v>
      </c>
      <c r="F2400" t="str">
        <f>HYPERLINK("https://drillhole.pir.sa.gov.au/Details.aspx?DRILLHOLE_NO=230889","Geol Survey Link")</f>
        <v>Geol Survey Link</v>
      </c>
      <c r="I2400">
        <v>-33.776200000000003</v>
      </c>
      <c r="J2400">
        <v>136.256</v>
      </c>
      <c r="K2400" t="str">
        <f>HYPERLINK("https://sarigdata.pir.sa.gov.au/nvcl/NVCLDataServices/mosaic.html?datasetid=0b1e96f5-ee3c-4e6f-ad9b-6e8c1c90753","230889_KAR1_Core Image")</f>
        <v>230889_KAR1_Core Image</v>
      </c>
    </row>
    <row r="2401" spans="1:11" x14ac:dyDescent="0.25">
      <c r="A2401" t="str">
        <f>HYPERLINK("http://www.corstruth.com.au/SA/231063_PH-DD05MS003_cs.png","231063_PH-DD05MS003_A4")</f>
        <v>231063_PH-DD05MS003_A4</v>
      </c>
      <c r="D2401">
        <v>231063</v>
      </c>
      <c r="E2401" t="s">
        <v>2163</v>
      </c>
      <c r="F2401" t="str">
        <f>HYPERLINK("https://drillhole.pir.sa.gov.au/Details.aspx?DRILLHOLE_NO=231063","Geol Survey Link")</f>
        <v>Geol Survey Link</v>
      </c>
      <c r="I2401">
        <v>-30.247499999999999</v>
      </c>
      <c r="J2401">
        <v>137.077</v>
      </c>
      <c r="K2401" t="str">
        <f>HYPERLINK("https://sarigdata.pir.sa.gov.au/nvcl/NVCLDataServices/mosaic.html?datasetid=cd1f9065-77ea-4f55-bba1-780e9a31505","231063_PH-DD05MS003_Core Image")</f>
        <v>231063_PH-DD05MS003_Core Image</v>
      </c>
    </row>
    <row r="2402" spans="1:11" x14ac:dyDescent="0.25">
      <c r="A2402" t="str">
        <f>HYPERLINK("http://www.corstruth.com.au/SA/231063_PHDD05MS003_cs.png","231063_PHDD05MS003_A4")</f>
        <v>231063_PHDD05MS003_A4</v>
      </c>
      <c r="B2402" t="str">
        <f>HYPERLINK("http://www.corstruth.com.au/SA/PNG2/231063_PHDD05MS003_cs.png","231063_PHDD05MS003_0.25m Bins")</f>
        <v>231063_PHDD05MS003_0.25m Bins</v>
      </c>
      <c r="C2402" t="str">
        <f>HYPERLINK("http://www.corstruth.com.au/SA/CSV/231063_PHDD05MS003.csv","231063_PHDD05MS003_CSV File 1m Bins")</f>
        <v>231063_PHDD05MS003_CSV File 1m Bins</v>
      </c>
      <c r="D2402">
        <v>231063</v>
      </c>
      <c r="E2402" t="s">
        <v>2163</v>
      </c>
      <c r="F2402" t="str">
        <f>HYPERLINK("https://drillhole.pir.sa.gov.au/Details.aspx?DRILLHOLE_NO=231063","Geol Survey Link")</f>
        <v>Geol Survey Link</v>
      </c>
      <c r="I2402">
        <v>-30.247499999999999</v>
      </c>
      <c r="J2402">
        <v>137.077</v>
      </c>
      <c r="K2402" t="str">
        <f>HYPERLINK("https://sarigdata.pir.sa.gov.au/nvcl/NVCLDataServices/mosaic.html?datasetid=cd1f9065-77ea-4f55-bba1-780e9a31505","231063_PHDD05MS003_Core Image")</f>
        <v>231063_PHDD05MS003_Core Image</v>
      </c>
    </row>
    <row r="2403" spans="1:11" x14ac:dyDescent="0.25">
      <c r="A2403" t="str">
        <f>HYPERLINK("http://www.corstruth.com.au/SA/231064_PHDD05MS004_cs.png","231064_PHDD05MS004_A4")</f>
        <v>231064_PHDD05MS004_A4</v>
      </c>
      <c r="D2403">
        <v>231064</v>
      </c>
      <c r="E2403" t="s">
        <v>2163</v>
      </c>
      <c r="F2403" t="str">
        <f>HYPERLINK("https://drillhole.pir.sa.gov.au/Details.aspx?DRILLHOLE_NO=231064","Geol Survey Link")</f>
        <v>Geol Survey Link</v>
      </c>
      <c r="I2403">
        <v>-30.268000000000001</v>
      </c>
      <c r="J2403">
        <v>137.07900000000001</v>
      </c>
      <c r="K2403" t="str">
        <f>HYPERLINK("https://sarigdata.pir.sa.gov.au/nvcl/NVCLDataServices/mosaic.html?datasetid=f9406057-eb74-4f0c-a6b3-6c4d7ee477a","231064_PHDD05MS004_Core Image")</f>
        <v>231064_PHDD05MS004_Core Image</v>
      </c>
    </row>
    <row r="2404" spans="1:11" x14ac:dyDescent="0.25">
      <c r="A2404" t="str">
        <f>HYPERLINK("http://www.corstruth.com.au/SA/231341_CHRCD01_cs.png","231341_CHRCD01_A4")</f>
        <v>231341_CHRCD01_A4</v>
      </c>
      <c r="D2404">
        <v>231341</v>
      </c>
      <c r="E2404" t="s">
        <v>2163</v>
      </c>
      <c r="F2404" t="str">
        <f>HYPERLINK("https://drillhole.pir.sa.gov.au/Details.aspx?DRILLHOLE_NO=231341","Geol Survey Link")</f>
        <v>Geol Survey Link</v>
      </c>
      <c r="I2404">
        <v>-31.197800000000001</v>
      </c>
      <c r="J2404">
        <v>136.565</v>
      </c>
      <c r="K2404" t="str">
        <f>HYPERLINK("https://sarigdata.pir.sa.gov.au/nvcl/NVCLDataServices/mosaic.html?datasetid=65b133c7-a1dd-40cb-a37f-0ba2deb066b","231341_CHRCD01_Core Image")</f>
        <v>231341_CHRCD01_Core Image</v>
      </c>
    </row>
    <row r="2405" spans="1:11" x14ac:dyDescent="0.25">
      <c r="A2405" t="str">
        <f>HYPERLINK("http://www.corstruth.com.au/SA/231342_RobinsRise_RR-06-01_cs.png","231342_RobinsRise_RR-06-01_A4")</f>
        <v>231342_RobinsRise_RR-06-01_A4</v>
      </c>
      <c r="B2405" t="str">
        <f>HYPERLINK("http://www.corstruth.com.au/SA/PNG2/231342_RobinsRise_RR-06-01_cs.png","231342_RobinsRise_RR-06-01_0.25m Bins")</f>
        <v>231342_RobinsRise_RR-06-01_0.25m Bins</v>
      </c>
      <c r="C2405" t="str">
        <f>HYPERLINK("http://www.corstruth.com.au/SA/CSV/231342_RobinsRise_RR-06-01.csv","231342_RobinsRise_RR-06-01_CSV File 1m Bins")</f>
        <v>231342_RobinsRise_RR-06-01_CSV File 1m Bins</v>
      </c>
      <c r="D2405">
        <v>231342</v>
      </c>
      <c r="E2405" t="s">
        <v>2163</v>
      </c>
      <c r="F2405" t="str">
        <f>HYPERLINK("https://drillhole.pir.sa.gov.au/Details.aspx?DRILLHOLE_NO=231342","Geol Survey Link")</f>
        <v>Geol Survey Link</v>
      </c>
      <c r="I2405">
        <v>-29.353300000000001</v>
      </c>
      <c r="J2405">
        <v>134.55699999999999</v>
      </c>
      <c r="K2405" t="str">
        <f>HYPERLINK("https://sarigdata.pir.sa.gov.au/nvcl/NVCLDataServices/mosaic.html?datasetid=fa14ecef-c782-4cf9-974d-e19ace8950e","231342_RobinsRise_RR-06-01_Core Image")</f>
        <v>231342_RobinsRise_RR-06-01_Core Image</v>
      </c>
    </row>
    <row r="2406" spans="1:11" x14ac:dyDescent="0.25">
      <c r="A2406" t="str">
        <f>HYPERLINK("http://www.corstruth.com.au/SA/231343_RobinsRise_RR-06-02_cs.png","231343_RobinsRise_RR-06-02_A4")</f>
        <v>231343_RobinsRise_RR-06-02_A4</v>
      </c>
      <c r="B2406" t="str">
        <f>HYPERLINK("http://www.corstruth.com.au/SA/PNG2/231343_RobinsRise_RR-06-02_cs.png","231343_RobinsRise_RR-06-02_0.25m Bins")</f>
        <v>231343_RobinsRise_RR-06-02_0.25m Bins</v>
      </c>
      <c r="C2406" t="str">
        <f>HYPERLINK("http://www.corstruth.com.au/SA/CSV/231343_RobinsRise_RR-06-02.csv","231343_RobinsRise_RR-06-02_CSV File 1m Bins")</f>
        <v>231343_RobinsRise_RR-06-02_CSV File 1m Bins</v>
      </c>
      <c r="D2406">
        <v>231343</v>
      </c>
      <c r="E2406" t="s">
        <v>2163</v>
      </c>
      <c r="F2406" t="str">
        <f>HYPERLINK("https://drillhole.pir.sa.gov.au/Details.aspx?DRILLHOLE_NO=231343","Geol Survey Link")</f>
        <v>Geol Survey Link</v>
      </c>
      <c r="I2406">
        <v>-29.342400000000001</v>
      </c>
      <c r="J2406">
        <v>134.55099999999999</v>
      </c>
      <c r="K2406" t="str">
        <f>HYPERLINK("https://sarigdata.pir.sa.gov.au/nvcl/NVCLDataServices/mosaic.html?datasetid=d1980ca0-b135-46d9-913e-ac4f1bd23b5","231343_RobinsRise_RR-06-02_Core Image")</f>
        <v>231343_RobinsRise_RR-06-02_Core Image</v>
      </c>
    </row>
    <row r="2407" spans="1:11" x14ac:dyDescent="0.25">
      <c r="A2407" t="str">
        <f>HYPERLINK("http://www.corstruth.com.au/SA/231344_RR_06_03_cs.png","231344_RR_06_03_A4")</f>
        <v>231344_RR_06_03_A4</v>
      </c>
      <c r="B2407" t="str">
        <f>HYPERLINK("http://www.corstruth.com.au/SA/PNG2/231344_RR_06_03_cs.png","231344_RR_06_03_0.25m Bins")</f>
        <v>231344_RR_06_03_0.25m Bins</v>
      </c>
      <c r="C2407" t="str">
        <f>HYPERLINK("http://www.corstruth.com.au/SA/CSV/231344_RR_06_03.csv","231344_RR_06_03_CSV File 1m Bins")</f>
        <v>231344_RR_06_03_CSV File 1m Bins</v>
      </c>
      <c r="D2407">
        <v>231344</v>
      </c>
      <c r="E2407" t="s">
        <v>2163</v>
      </c>
      <c r="F2407" t="str">
        <f>HYPERLINK("https://drillhole.pir.sa.gov.au/Details.aspx?DRILLHOLE_NO=231344","Geol Survey Link")</f>
        <v>Geol Survey Link</v>
      </c>
      <c r="I2407">
        <v>-29.349499999999999</v>
      </c>
      <c r="J2407">
        <v>134.512</v>
      </c>
      <c r="K2407" t="str">
        <f>HYPERLINK("https://sarigdata.pir.sa.gov.au/nvcl/NVCLDataServices/mosaic.html?datasetid=79209f30-c05b-4713-8afe-c4e356e08f5","231344_RR_06_03_Core Image")</f>
        <v>231344_RR_06_03_Core Image</v>
      </c>
    </row>
    <row r="2408" spans="1:11" x14ac:dyDescent="0.25">
      <c r="A2408" t="str">
        <f>HYPERLINK("http://www.corstruth.com.au/SA/231345_RR_06_04_cs.png","231345_RR_06_04_A4")</f>
        <v>231345_RR_06_04_A4</v>
      </c>
      <c r="B2408" t="str">
        <f>HYPERLINK("http://www.corstruth.com.au/SA/PNG2/231345_RR_06_04_cs.png","231345_RR_06_04_0.25m Bins")</f>
        <v>231345_RR_06_04_0.25m Bins</v>
      </c>
      <c r="C2408" t="str">
        <f>HYPERLINK("http://www.corstruth.com.au/SA/CSV/231345_RR_06_04.csv","231345_RR_06_04_CSV File 1m Bins")</f>
        <v>231345_RR_06_04_CSV File 1m Bins</v>
      </c>
      <c r="D2408">
        <v>231345</v>
      </c>
      <c r="E2408" t="s">
        <v>2163</v>
      </c>
      <c r="F2408" t="str">
        <f>HYPERLINK("https://drillhole.pir.sa.gov.au/Details.aspx?DRILLHOLE_NO=231345","Geol Survey Link")</f>
        <v>Geol Survey Link</v>
      </c>
      <c r="I2408">
        <v>-29.3232</v>
      </c>
      <c r="J2408">
        <v>134.697</v>
      </c>
      <c r="K2408" t="str">
        <f>HYPERLINK("https://sarigdata.pir.sa.gov.au/nvcl/NVCLDataServices/mosaic.html?datasetid=94187ccf-75fa-4c1e-9f2c-fd84ca1d83f","231345_RR_06_04_Core Image")</f>
        <v>231345_RR_06_04_Core Image</v>
      </c>
    </row>
    <row r="2409" spans="1:11" x14ac:dyDescent="0.25">
      <c r="A2409" t="str">
        <f>HYPERLINK("http://www.corstruth.com.au/SA/231346_RR_06_05_cs.png","231346_RR_06_05_A4")</f>
        <v>231346_RR_06_05_A4</v>
      </c>
      <c r="B2409" t="str">
        <f>HYPERLINK("http://www.corstruth.com.au/SA/PNG2/231346_RR_06_05_cs.png","231346_RR_06_05_0.25m Bins")</f>
        <v>231346_RR_06_05_0.25m Bins</v>
      </c>
      <c r="C2409" t="str">
        <f>HYPERLINK("http://www.corstruth.com.au/SA/CSV/231346_RR_06_05.csv","231346_RR_06_05_CSV File 1m Bins")</f>
        <v>231346_RR_06_05_CSV File 1m Bins</v>
      </c>
      <c r="D2409">
        <v>231346</v>
      </c>
      <c r="E2409" t="s">
        <v>2163</v>
      </c>
      <c r="F2409" t="str">
        <f>HYPERLINK("https://drillhole.pir.sa.gov.au/Details.aspx?DRILLHOLE_NO=231346","Geol Survey Link")</f>
        <v>Geol Survey Link</v>
      </c>
      <c r="I2409">
        <v>-29.310300000000002</v>
      </c>
      <c r="J2409">
        <v>134.13200000000001</v>
      </c>
      <c r="K2409" t="str">
        <f>HYPERLINK("https://sarigdata.pir.sa.gov.au/nvcl/NVCLDataServices/mosaic.html?datasetid=daada525-18eb-4b77-9b69-6fed5cbe18a","231346_RR_06_05_Core Image")</f>
        <v>231346_RR_06_05_Core Image</v>
      </c>
    </row>
    <row r="2410" spans="1:11" x14ac:dyDescent="0.25">
      <c r="A2410" t="str">
        <f>HYPERLINK("http://www.corstruth.com.au/SA/23196_TICKERADH1_cs.png","23196_TICKERADH1_A4")</f>
        <v>23196_TICKERADH1_A4</v>
      </c>
      <c r="D2410">
        <v>23196</v>
      </c>
      <c r="E2410" t="s">
        <v>2163</v>
      </c>
      <c r="F2410" t="str">
        <f>HYPERLINK("https://drillhole.pir.sa.gov.au/Details.aspx?DRILLHOLE_NO=23196","Geol Survey Link")</f>
        <v>Geol Survey Link</v>
      </c>
      <c r="I2410">
        <v>-33.707900000000002</v>
      </c>
      <c r="J2410">
        <v>137.79499999999999</v>
      </c>
    </row>
    <row r="2411" spans="1:11" x14ac:dyDescent="0.25">
      <c r="A2411" t="str">
        <f>HYPERLINK("http://www.corstruth.com.au/SA/23197_TICKERADH2_cs.png","23197_TICKERADH2_A4")</f>
        <v>23197_TICKERADH2_A4</v>
      </c>
      <c r="D2411">
        <v>23197</v>
      </c>
      <c r="E2411" t="s">
        <v>2163</v>
      </c>
      <c r="F2411" t="str">
        <f>HYPERLINK("https://drillhole.pir.sa.gov.au/Details.aspx?DRILLHOLE_NO=23197","Geol Survey Link")</f>
        <v>Geol Survey Link</v>
      </c>
      <c r="I2411">
        <v>-33.709299999999999</v>
      </c>
      <c r="J2411">
        <v>137.858</v>
      </c>
    </row>
    <row r="2412" spans="1:11" x14ac:dyDescent="0.25">
      <c r="A2412" t="str">
        <f>HYPERLINK("http://www.corstruth.com.au/SA/232277_PH-DD04TI007_cs.png","232277_PH-DD04TI007_A4")</f>
        <v>232277_PH-DD04TI007_A4</v>
      </c>
      <c r="D2412">
        <v>232277</v>
      </c>
      <c r="E2412" t="s">
        <v>2163</v>
      </c>
      <c r="F2412" t="str">
        <f>HYPERLINK("https://drillhole.pir.sa.gov.au/Details.aspx?DRILLHOLE_NO=232277","Geol Survey Link")</f>
        <v>Geol Survey Link</v>
      </c>
      <c r="I2412">
        <v>-30.154199999999999</v>
      </c>
      <c r="J2412">
        <v>136.84399999999999</v>
      </c>
      <c r="K2412" t="str">
        <f>HYPERLINK("https://sarigdata.pir.sa.gov.au/nvcl/NVCLDataServices/mosaic.html?datasetid=15d4f402-b5ed-4230-96db-37b986cc39f","232277_PH-DD04TI007_Core Image")</f>
        <v>232277_PH-DD04TI007_Core Image</v>
      </c>
    </row>
    <row r="2413" spans="1:11" x14ac:dyDescent="0.25">
      <c r="A2413" t="str">
        <f>HYPERLINK("http://www.corstruth.com.au/SA/232321_KD5_cs.png","232321_KD5_A4")</f>
        <v>232321_KD5_A4</v>
      </c>
      <c r="B2413" t="str">
        <f>HYPERLINK("http://www.corstruth.com.au/SA/PNG2/232321_KD5_cs.png","232321_KD5_0.25m Bins")</f>
        <v>232321_KD5_0.25m Bins</v>
      </c>
      <c r="C2413" t="str">
        <f>HYPERLINK("http://www.corstruth.com.au/SA/CSV/232321_KD5.csv","232321_KD5_CSV File 1m Bins")</f>
        <v>232321_KD5_CSV File 1m Bins</v>
      </c>
      <c r="D2413">
        <v>232321</v>
      </c>
      <c r="E2413" t="s">
        <v>2163</v>
      </c>
      <c r="F2413" t="str">
        <f>HYPERLINK("https://drillhole.pir.sa.gov.au/Details.aspx?DRILLHOLE_NO=232321","Geol Survey Link")</f>
        <v>Geol Survey Link</v>
      </c>
      <c r="I2413">
        <v>-34.347200000000001</v>
      </c>
      <c r="J2413">
        <v>138.916</v>
      </c>
      <c r="K2413" t="str">
        <f>HYPERLINK("https://sarigdata.pir.sa.gov.au/nvcl/NVCLDataServices/mosaic.html?datasetid=413aad9a-9bd8-4994-81cc-40a6cb20ede","232321_KD5_Core Image")</f>
        <v>232321_KD5_Core Image</v>
      </c>
    </row>
    <row r="2414" spans="1:11" x14ac:dyDescent="0.25">
      <c r="A2414" t="str">
        <f>HYPERLINK("http://www.corstruth.com.au/SA/232335_MC07_RD01_cs.png","232335_MC07 RD01_A4")</f>
        <v>232335_MC07 RD01_A4</v>
      </c>
      <c r="D2414">
        <v>232335</v>
      </c>
      <c r="E2414" t="s">
        <v>2163</v>
      </c>
      <c r="F2414" t="str">
        <f>HYPERLINK("https://drillhole.pir.sa.gov.au/Details.aspx?DRILLHOLE_NO=232335","Geol Survey Link")</f>
        <v>Geol Survey Link</v>
      </c>
      <c r="I2414">
        <v>-32.753999999999998</v>
      </c>
      <c r="J2414">
        <v>137.535</v>
      </c>
      <c r="K2414" t="str">
        <f>HYPERLINK("https://sarigdata.pir.sa.gov.au/nvcl/NVCLDataServices/mosaic.html?datasetid=b93a6fe3-ea50-4ce1-9b34-bf3f744e903","232335_MC07 RD01_Core Image")</f>
        <v>232335_MC07 RD01_Core Image</v>
      </c>
    </row>
    <row r="2415" spans="1:11" x14ac:dyDescent="0.25">
      <c r="A2415" t="str">
        <f>HYPERLINK("http://www.corstruth.com.au/SA/232336_MC07_RD03_cs.png","232336_MC07 RD03_A4")</f>
        <v>232336_MC07 RD03_A4</v>
      </c>
      <c r="D2415">
        <v>232336</v>
      </c>
      <c r="E2415" t="s">
        <v>2163</v>
      </c>
      <c r="F2415" t="str">
        <f>HYPERLINK("https://drillhole.pir.sa.gov.au/Details.aspx?DRILLHOLE_NO=232336","Geol Survey Link")</f>
        <v>Geol Survey Link</v>
      </c>
      <c r="I2415">
        <v>-32.753999999999998</v>
      </c>
      <c r="J2415">
        <v>137.53200000000001</v>
      </c>
      <c r="K2415" t="str">
        <f>HYPERLINK("https://sarigdata.pir.sa.gov.au/nvcl/NVCLDataServices/mosaic.html?datasetid=6e3b760a-d607-4f2e-bf2c-098a713b42c","232336_MC07 RD03_Core Image")</f>
        <v>232336_MC07 RD03_Core Image</v>
      </c>
    </row>
    <row r="2416" spans="1:11" x14ac:dyDescent="0.25">
      <c r="A2416" t="str">
        <f>HYPERLINK("http://www.corstruth.com.au/SA/232346_PCDDH_1_cs.png","232346_PCDDH_1_A4")</f>
        <v>232346_PCDDH_1_A4</v>
      </c>
      <c r="B2416" t="str">
        <f>HYPERLINK("http://www.corstruth.com.au/SA/PNG2/232346_PCDDH_1_cs.png","232346_PCDDH_1_0.25m Bins")</f>
        <v>232346_PCDDH_1_0.25m Bins</v>
      </c>
      <c r="C2416" t="str">
        <f>HYPERLINK("http://www.corstruth.com.au/SA/CSV/232346_PCDDH_1.csv","232346_PCDDH_1_CSV File 1m Bins")</f>
        <v>232346_PCDDH_1_CSV File 1m Bins</v>
      </c>
      <c r="D2416">
        <v>232346</v>
      </c>
      <c r="E2416" t="s">
        <v>2163</v>
      </c>
      <c r="F2416" t="str">
        <f>HYPERLINK("https://drillhole.pir.sa.gov.au/Details.aspx?DRILLHOLE_NO=232346","Geol Survey Link")</f>
        <v>Geol Survey Link</v>
      </c>
      <c r="I2416">
        <v>-31.378399999999999</v>
      </c>
      <c r="J2416">
        <v>137.28899999999999</v>
      </c>
      <c r="K2416" t="str">
        <f>HYPERLINK("https://sarigdata.pir.sa.gov.au/nvcl/NVCLDataServices/mosaic.html?datasetid=966bbc1a-ca38-42d2-93ca-11260a831aa","232346_PCDDH_1_Core Image")</f>
        <v>232346_PCDDH_1_Core Image</v>
      </c>
    </row>
    <row r="2417" spans="1:11" x14ac:dyDescent="0.25">
      <c r="A2417" t="str">
        <f>HYPERLINK("http://www.corstruth.com.au/SA/232640_PH-DD05MS002_cs.png","232640_PH-DD05MS002_A4")</f>
        <v>232640_PH-DD05MS002_A4</v>
      </c>
      <c r="D2417">
        <v>232640</v>
      </c>
      <c r="E2417" t="s">
        <v>2163</v>
      </c>
      <c r="F2417" t="str">
        <f>HYPERLINK("https://drillhole.pir.sa.gov.au/Details.aspx?DRILLHOLE_NO=232640","Geol Survey Link")</f>
        <v>Geol Survey Link</v>
      </c>
      <c r="I2417">
        <v>-30.277699999999999</v>
      </c>
      <c r="J2417">
        <v>137.06</v>
      </c>
      <c r="K2417" t="str">
        <f>HYPERLINK("https://sarigdata.pir.sa.gov.au/nvcl/NVCLDataServices/mosaic.html?datasetid=5d24a60f-a524-4acc-bddf-8fe1347c201","232640_PH-DD05MS002_Core Image")</f>
        <v>232640_PH-DD05MS002_Core Image</v>
      </c>
    </row>
    <row r="2418" spans="1:11" x14ac:dyDescent="0.25">
      <c r="A2418" t="str">
        <f>HYPERLINK("http://www.corstruth.com.au/SA/23265_Nth_KADINA_DD1_cs.png","23265_Nth_KADINA_DD1_A4")</f>
        <v>23265_Nth_KADINA_DD1_A4</v>
      </c>
      <c r="D2418">
        <v>23265</v>
      </c>
      <c r="E2418" t="s">
        <v>2163</v>
      </c>
      <c r="F2418" t="str">
        <f>HYPERLINK("https://drillhole.pir.sa.gov.au/Details.aspx?DRILLHOLE_NO=23265","Geol Survey Link")</f>
        <v>Geol Survey Link</v>
      </c>
      <c r="I2418">
        <v>-33.885899999999999</v>
      </c>
      <c r="J2418">
        <v>137.679</v>
      </c>
    </row>
    <row r="2419" spans="1:11" x14ac:dyDescent="0.25">
      <c r="A2419" t="str">
        <f>HYPERLINK("http://www.corstruth.com.au/SA/23386_KurillaDDH5_cs.png","23386_KurillaDDH5_A4")</f>
        <v>23386_KurillaDDH5_A4</v>
      </c>
      <c r="B2419" t="str">
        <f>HYPERLINK("http://www.corstruth.com.au/SA/PNG2/23386_KurillaDDH5_cs.png","23386_KurillaDDH5_0.25m Bins")</f>
        <v>23386_KurillaDDH5_0.25m Bins</v>
      </c>
      <c r="C2419" t="str">
        <f>HYPERLINK("http://www.corstruth.com.au/SA/CSV/23386_KurillaDDH5.csv","23386_KurillaDDH5_CSV File 1m Bins")</f>
        <v>23386_KurillaDDH5_CSV File 1m Bins</v>
      </c>
      <c r="D2419">
        <v>23386</v>
      </c>
      <c r="E2419" t="s">
        <v>2163</v>
      </c>
      <c r="F2419" t="str">
        <f>HYPERLINK("https://drillhole.pir.sa.gov.au/Details.aspx?DRILLHOLE_NO=23386","Geol Survey Link")</f>
        <v>Geol Survey Link</v>
      </c>
      <c r="I2419">
        <v>-33.975000000000001</v>
      </c>
      <c r="J2419">
        <v>137.68600000000001</v>
      </c>
      <c r="K2419" t="str">
        <f>HYPERLINK("https://sarigdata.pir.sa.gov.au/nvcl/NVCLDataServices/mosaic.html?datasetid=d03d3e90-4b78-4352-9bd2-b30938b0b00","23386_KurillaDDH5_Core Image")</f>
        <v>23386_KurillaDDH5_Core Image</v>
      </c>
    </row>
    <row r="2420" spans="1:11" x14ac:dyDescent="0.25">
      <c r="A2420" t="str">
        <f>HYPERLINK("http://www.corstruth.com.au/SA/23389_ButeDDH6_cs.png","23389_ButeDDH6_A4")</f>
        <v>23389_ButeDDH6_A4</v>
      </c>
      <c r="B2420" t="str">
        <f>HYPERLINK("http://www.corstruth.com.au/SA/PNG2/23389_ButeDDH6_cs.png","23389_ButeDDH6_0.25m Bins")</f>
        <v>23389_ButeDDH6_0.25m Bins</v>
      </c>
      <c r="C2420" t="str">
        <f>HYPERLINK("http://www.corstruth.com.au/SA/CSV/23389_ButeDDH6.csv","23389_ButeDDH6_CSV File 1m Bins")</f>
        <v>23389_ButeDDH6_CSV File 1m Bins</v>
      </c>
      <c r="D2420">
        <v>23389</v>
      </c>
      <c r="E2420" t="s">
        <v>2163</v>
      </c>
      <c r="F2420" t="str">
        <f>HYPERLINK("https://drillhole.pir.sa.gov.au/Details.aspx?DRILLHOLE_NO=23389","Geol Survey Link")</f>
        <v>Geol Survey Link</v>
      </c>
      <c r="I2420">
        <v>-33.933799999999998</v>
      </c>
      <c r="J2420">
        <v>137.94499999999999</v>
      </c>
      <c r="K2420" t="str">
        <f>HYPERLINK("https://sarigdata.pir.sa.gov.au/nvcl/NVCLDataServices/mosaic.html?datasetid=57408052-f0dc-4dfa-b4d6-204d1408329","23389_ButeDDH6_Core Image")</f>
        <v>23389_ButeDDH6_Core Image</v>
      </c>
    </row>
    <row r="2421" spans="1:11" x14ac:dyDescent="0.25">
      <c r="A2421" t="str">
        <f>HYPERLINK("http://www.corstruth.com.au/SA/23390_Bute8_cs.png","23390_Bute8_A4")</f>
        <v>23390_Bute8_A4</v>
      </c>
      <c r="B2421" t="str">
        <f>HYPERLINK("http://www.corstruth.com.au/SA/PNG2/23390_Bute8_cs.png","23390_Bute8_0.25m Bins")</f>
        <v>23390_Bute8_0.25m Bins</v>
      </c>
      <c r="C2421" t="str">
        <f>HYPERLINK("http://www.corstruth.com.au/SA/CSV/23390_Bute8.csv","23390_Bute8_CSV File 1m Bins")</f>
        <v>23390_Bute8_CSV File 1m Bins</v>
      </c>
      <c r="D2421">
        <v>23390</v>
      </c>
      <c r="E2421" t="s">
        <v>2163</v>
      </c>
      <c r="F2421" t="str">
        <f>HYPERLINK("https://drillhole.pir.sa.gov.au/Details.aspx?DRILLHOLE_NO=23390","Geol Survey Link")</f>
        <v>Geol Survey Link</v>
      </c>
      <c r="I2421">
        <v>-33.936900000000001</v>
      </c>
      <c r="J2421">
        <v>137.98500000000001</v>
      </c>
      <c r="K2421" t="str">
        <f>HYPERLINK("https://sarigdata.pir.sa.gov.au/nvcl/NVCLDataServices/mosaic.html?datasetid=f3766d19-39b0-41fa-a43f-93827d8fc7e","23390_Bute8_Core Image")</f>
        <v>23390_Bute8_Core Image</v>
      </c>
    </row>
    <row r="2422" spans="1:11" x14ac:dyDescent="0.25">
      <c r="A2422" t="str">
        <f>HYPERLINK("http://www.corstruth.com.au/SA/23391_Bute9_cs.png","23391_Bute9_A4")</f>
        <v>23391_Bute9_A4</v>
      </c>
      <c r="B2422" t="str">
        <f>HYPERLINK("http://www.corstruth.com.au/SA/PNG2/23391_Bute9_cs.png","23391_Bute9_0.25m Bins")</f>
        <v>23391_Bute9_0.25m Bins</v>
      </c>
      <c r="C2422" t="str">
        <f>HYPERLINK("http://www.corstruth.com.au/SA/CSV/23391_Bute9.csv","23391_Bute9_CSV File 1m Bins")</f>
        <v>23391_Bute9_CSV File 1m Bins</v>
      </c>
      <c r="D2422">
        <v>23391</v>
      </c>
      <c r="E2422" t="s">
        <v>2163</v>
      </c>
      <c r="F2422" t="str">
        <f>HYPERLINK("https://drillhole.pir.sa.gov.au/Details.aspx?DRILLHOLE_NO=23391","Geol Survey Link")</f>
        <v>Geol Survey Link</v>
      </c>
      <c r="I2422">
        <v>-33.936399999999999</v>
      </c>
      <c r="J2422">
        <v>137.97999999999999</v>
      </c>
      <c r="K2422" t="str">
        <f>HYPERLINK("https://sarigdata.pir.sa.gov.au/nvcl/NVCLDataServices/mosaic.html?datasetid=2c9e74f9-d38c-4290-b09c-ce8c6797307","23391_Bute9_Core Image")</f>
        <v>23391_Bute9_Core Image</v>
      </c>
    </row>
    <row r="2423" spans="1:11" x14ac:dyDescent="0.25">
      <c r="A2423" t="str">
        <f>HYPERLINK("http://www.corstruth.com.au/SA/23392_Bute10_cs.png","23392_Bute10_A4")</f>
        <v>23392_Bute10_A4</v>
      </c>
      <c r="B2423" t="str">
        <f>HYPERLINK("http://www.corstruth.com.au/SA/PNG2/23392_Bute10_cs.png","23392_Bute10_0.25m Bins")</f>
        <v>23392_Bute10_0.25m Bins</v>
      </c>
      <c r="C2423" t="str">
        <f>HYPERLINK("http://www.corstruth.com.au/SA/CSV/23392_Bute10.csv","23392_Bute10_CSV File 1m Bins")</f>
        <v>23392_Bute10_CSV File 1m Bins</v>
      </c>
      <c r="D2423">
        <v>23392</v>
      </c>
      <c r="E2423" t="s">
        <v>2163</v>
      </c>
      <c r="F2423" t="str">
        <f>HYPERLINK("https://drillhole.pir.sa.gov.au/Details.aspx?DRILLHOLE_NO=23392","Geol Survey Link")</f>
        <v>Geol Survey Link</v>
      </c>
      <c r="I2423">
        <v>-33.944499999999998</v>
      </c>
      <c r="J2423">
        <v>137.96799999999999</v>
      </c>
      <c r="K2423" t="str">
        <f>HYPERLINK("https://sarigdata.pir.sa.gov.au/nvcl/NVCLDataServices/mosaic.html?datasetid=891ae089-4d10-40d2-a794-aff83e42e56","23392_Bute10_Core Image")</f>
        <v>23392_Bute10_Core Image</v>
      </c>
    </row>
    <row r="2424" spans="1:11" x14ac:dyDescent="0.25">
      <c r="A2424" t="str">
        <f>HYPERLINK("http://www.corstruth.com.au/SA/234075_07SH13_cs.png","234075_07SH13_A4")</f>
        <v>234075_07SH13_A4</v>
      </c>
      <c r="D2424">
        <v>234075</v>
      </c>
      <c r="E2424" t="s">
        <v>2163</v>
      </c>
      <c r="F2424" t="str">
        <f>HYPERLINK("https://drillhole.pir.sa.gov.au/Details.aspx?DRILLHOLE_NO=234075","Geol Survey Link")</f>
        <v>Geol Survey Link</v>
      </c>
      <c r="I2424">
        <v>-29.9908</v>
      </c>
      <c r="J2424">
        <v>135.68600000000001</v>
      </c>
      <c r="K2424" t="str">
        <f>HYPERLINK("https://sarigdata.pir.sa.gov.au/nvcl/NVCLDataServices/mosaic.html?datasetid=f8d07cf8-ced3-44de-8b12-a92445056c0","234075_07SH13_Core Image")</f>
        <v>234075_07SH13_Core Image</v>
      </c>
    </row>
    <row r="2425" spans="1:11" x14ac:dyDescent="0.25">
      <c r="A2425" t="str">
        <f>HYPERLINK("http://www.corstruth.com.au/SA/234076_07PD01_cs.png","234076_07PD01_A4")</f>
        <v>234076_07PD01_A4</v>
      </c>
      <c r="B2425" t="str">
        <f>HYPERLINK("http://www.corstruth.com.au/SA/PNG2/234076_07PD01_cs.png","234076_07PD01_0.25m Bins")</f>
        <v>234076_07PD01_0.25m Bins</v>
      </c>
      <c r="C2425" t="str">
        <f>HYPERLINK("http://www.corstruth.com.au/SA/CSV/234076_07PD01.csv","234076_07PD01_CSV File 1m Bins")</f>
        <v>234076_07PD01_CSV File 1m Bins</v>
      </c>
      <c r="D2425">
        <v>234076</v>
      </c>
      <c r="E2425" t="s">
        <v>2163</v>
      </c>
      <c r="F2425" t="str">
        <f>HYPERLINK("https://drillhole.pir.sa.gov.au/Details.aspx?DRILLHOLE_NO=234076","Geol Survey Link")</f>
        <v>Geol Survey Link</v>
      </c>
      <c r="I2425">
        <v>-30.141100000000002</v>
      </c>
      <c r="J2425">
        <v>136.27000000000001</v>
      </c>
      <c r="K2425" t="str">
        <f>HYPERLINK("https://sarigdata.pir.sa.gov.au/nvcl/NVCLDataServices/mosaic.html?datasetid=67608011-9b16-4eb5-bafa-d8062a78942","234076_07PD01_Core Image")</f>
        <v>234076_07PD01_Core Image</v>
      </c>
    </row>
    <row r="2426" spans="1:11" x14ac:dyDescent="0.25">
      <c r="A2426" t="str">
        <f>HYPERLINK("http://www.corstruth.com.au/SA/234096_DD07CH04_cs.png","234096_DD07CH04_A4")</f>
        <v>234096_DD07CH04_A4</v>
      </c>
      <c r="D2426">
        <v>234096</v>
      </c>
      <c r="E2426" t="s">
        <v>2163</v>
      </c>
      <c r="F2426" t="str">
        <f>HYPERLINK("https://drillhole.pir.sa.gov.au/Details.aspx?DRILLHOLE_NO=234096","Geol Survey Link")</f>
        <v>Geol Survey Link</v>
      </c>
      <c r="I2426">
        <v>-30.122699999999998</v>
      </c>
      <c r="J2426">
        <v>137.029</v>
      </c>
      <c r="K2426" t="str">
        <f>HYPERLINK("https://sarigdata.pir.sa.gov.au/nvcl/NVCLDataServices/mosaic.html?datasetid=8a852b80-0dca-4bca-9b72-84c8bbe60bd","234096_DD07CH04_Core Image")</f>
        <v>234096_DD07CH04_Core Image</v>
      </c>
    </row>
    <row r="2427" spans="1:11" x14ac:dyDescent="0.25">
      <c r="A2427" t="str">
        <f>HYPERLINK("http://www.corstruth.com.au/SA/234118_DD07HAR001_cs.png","234118_DD07HAR001_A4")</f>
        <v>234118_DD07HAR001_A4</v>
      </c>
      <c r="B2427" t="str">
        <f>HYPERLINK("http://www.corstruth.com.au/SA/PNG2/234118_DD07HAR001_cs.png","234118_DD07HAR001_0.25m Bins")</f>
        <v>234118_DD07HAR001_0.25m Bins</v>
      </c>
      <c r="C2427" t="str">
        <f>HYPERLINK("http://www.corstruth.com.au/SA/CSV/234118_DD07HAR001.csv","234118_DD07HAR001_CSV File 1m Bins")</f>
        <v>234118_DD07HAR001_CSV File 1m Bins</v>
      </c>
      <c r="D2427">
        <v>234118</v>
      </c>
      <c r="E2427" t="s">
        <v>2163</v>
      </c>
      <c r="F2427" t="str">
        <f>HYPERLINK("https://drillhole.pir.sa.gov.au/Details.aspx?DRILLHOLE_NO=234118","Geol Survey Link")</f>
        <v>Geol Survey Link</v>
      </c>
      <c r="I2427">
        <v>-26.8965</v>
      </c>
      <c r="J2427">
        <v>129.71299999999999</v>
      </c>
      <c r="K2427" t="str">
        <f>HYPERLINK("https://sarigdata.pir.sa.gov.au/nvcl/NVCLDataServices/mosaic.html?datasetid=eb7b601e-2904-42bd-8ca5-baf91e7d9f0","234118_DD07HAR001_Core Image")</f>
        <v>234118_DD07HAR001_Core Image</v>
      </c>
    </row>
    <row r="2428" spans="1:11" x14ac:dyDescent="0.25">
      <c r="A2428" t="str">
        <f>HYPERLINK("http://www.corstruth.com.au/SA/234167_DMDD001_cs.png","234167_DMDD001_A4")</f>
        <v>234167_DMDD001_A4</v>
      </c>
      <c r="B2428" t="str">
        <f>HYPERLINK("http://www.corstruth.com.au/SA/PNG2/234167_DMDD001_cs.png","234167_DMDD001_0.25m Bins")</f>
        <v>234167_DMDD001_0.25m Bins</v>
      </c>
      <c r="C2428" t="str">
        <f>HYPERLINK("http://www.corstruth.com.au/SA/CSV/234167_DMDD001.csv","234167_DMDD001_CSV File 1m Bins")</f>
        <v>234167_DMDD001_CSV File 1m Bins</v>
      </c>
      <c r="D2428">
        <v>234167</v>
      </c>
      <c r="E2428" t="s">
        <v>2163</v>
      </c>
      <c r="F2428" t="str">
        <f>HYPERLINK("https://drillhole.pir.sa.gov.au/Details.aspx?DRILLHOLE_NO=234167","Geol Survey Link")</f>
        <v>Geol Survey Link</v>
      </c>
      <c r="I2428">
        <v>-30.411000000000001</v>
      </c>
      <c r="J2428">
        <v>133.62200000000001</v>
      </c>
      <c r="K2428" t="str">
        <f>HYPERLINK("https://sarigdata.pir.sa.gov.au/nvcl/NVCLDataServices/mosaic.html?datasetid=de925960-d688-40ec-b56e-4b5376f5bb4","234167_DMDD001_Core Image")</f>
        <v>234167_DMDD001_Core Image</v>
      </c>
    </row>
    <row r="2429" spans="1:11" x14ac:dyDescent="0.25">
      <c r="A2429" t="str">
        <f>HYPERLINK("http://www.corstruth.com.au/SA/234168_DMDD002_cs.png","234168_DMDD002_A4")</f>
        <v>234168_DMDD002_A4</v>
      </c>
      <c r="B2429" t="str">
        <f>HYPERLINK("http://www.corstruth.com.au/SA/PNG2/234168_DMDD002_cs.png","234168_DMDD002_0.25m Bins")</f>
        <v>234168_DMDD002_0.25m Bins</v>
      </c>
      <c r="C2429" t="str">
        <f>HYPERLINK("http://www.corstruth.com.au/SA/CSV/234168_DMDD002.csv","234168_DMDD002_CSV File 1m Bins")</f>
        <v>234168_DMDD002_CSV File 1m Bins</v>
      </c>
      <c r="D2429">
        <v>234168</v>
      </c>
      <c r="E2429" t="s">
        <v>2163</v>
      </c>
      <c r="F2429" t="str">
        <f>HYPERLINK("https://drillhole.pir.sa.gov.au/Details.aspx?DRILLHOLE_NO=234168","Geol Survey Link")</f>
        <v>Geol Survey Link</v>
      </c>
      <c r="I2429">
        <v>-30.411100000000001</v>
      </c>
      <c r="J2429">
        <v>133.624</v>
      </c>
      <c r="K2429" t="str">
        <f>HYPERLINK("https://sarigdata.pir.sa.gov.au/nvcl/NVCLDataServices/mosaic.html?datasetid=550252d0-2d7a-4735-8821-e4962bc3aee","234168_DMDD002_Core Image")</f>
        <v>234168_DMDD002_Core Image</v>
      </c>
    </row>
    <row r="2430" spans="1:11" x14ac:dyDescent="0.25">
      <c r="A2430" t="str">
        <f>HYPERLINK("http://www.corstruth.com.au/SA/234169_DMDD003_cs.png","234169_DMDD003_A4")</f>
        <v>234169_DMDD003_A4</v>
      </c>
      <c r="B2430" t="str">
        <f>HYPERLINK("http://www.corstruth.com.au/SA/PNG2/234169_DMDD003_cs.png","234169_DMDD003_0.25m Bins")</f>
        <v>234169_DMDD003_0.25m Bins</v>
      </c>
      <c r="C2430" t="str">
        <f>HYPERLINK("http://www.corstruth.com.au/SA/CSV/234169_DMDD003.csv","234169_DMDD003_CSV File 1m Bins")</f>
        <v>234169_DMDD003_CSV File 1m Bins</v>
      </c>
      <c r="D2430">
        <v>234169</v>
      </c>
      <c r="E2430" t="s">
        <v>2163</v>
      </c>
      <c r="F2430" t="str">
        <f>HYPERLINK("https://drillhole.pir.sa.gov.au/Details.aspx?DRILLHOLE_NO=234169","Geol Survey Link")</f>
        <v>Geol Survey Link</v>
      </c>
      <c r="I2430">
        <v>-30.409400000000002</v>
      </c>
      <c r="J2430">
        <v>133.63200000000001</v>
      </c>
      <c r="K2430" t="str">
        <f>HYPERLINK("https://sarigdata.pir.sa.gov.au/nvcl/NVCLDataServices/mosaic.html?datasetid=ccf034ee-5031-46ed-8f21-763bad5f631","234169_DMDD003_Core Image")</f>
        <v>234169_DMDD003_Core Image</v>
      </c>
    </row>
    <row r="2431" spans="1:11" x14ac:dyDescent="0.25">
      <c r="A2431" t="str">
        <f>HYPERLINK("http://www.corstruth.com.au/SA/234697_MDD_001_cs.png","234697_MDD_001_A4")</f>
        <v>234697_MDD_001_A4</v>
      </c>
      <c r="D2431">
        <v>234697</v>
      </c>
      <c r="E2431" t="s">
        <v>2163</v>
      </c>
      <c r="F2431" t="str">
        <f>HYPERLINK("https://drillhole.pir.sa.gov.au/Details.aspx?DRILLHOLE_NO=234697","Geol Survey Link")</f>
        <v>Geol Survey Link</v>
      </c>
      <c r="I2431">
        <v>-33.311399999999999</v>
      </c>
      <c r="J2431">
        <v>137.25299999999999</v>
      </c>
      <c r="K2431" t="str">
        <f>HYPERLINK("https://sarigdata.pir.sa.gov.au/nvcl/NVCLDataServices/mosaic.html?datasetid=31cb5f13-8a99-414a-9fce-d67c6d01aa0","234697_MDD_001_Core Image")</f>
        <v>234697_MDD_001_Core Image</v>
      </c>
    </row>
    <row r="2432" spans="1:11" x14ac:dyDescent="0.25">
      <c r="A2432" t="str">
        <f>HYPERLINK("http://www.corstruth.com.au/SA/234698_MDD002_cs.png","234698_MDD002_A4")</f>
        <v>234698_MDD002_A4</v>
      </c>
      <c r="B2432" t="str">
        <f>HYPERLINK("http://www.corstruth.com.au/SA/PNG2/234698_MDD002_cs.png","234698_MDD002_0.25m Bins")</f>
        <v>234698_MDD002_0.25m Bins</v>
      </c>
      <c r="C2432" t="str">
        <f>HYPERLINK("http://www.corstruth.com.au/SA/CSV/234698_MDD002.csv","234698_MDD002_CSV File 1m Bins")</f>
        <v>234698_MDD002_CSV File 1m Bins</v>
      </c>
      <c r="D2432">
        <v>234698</v>
      </c>
      <c r="E2432" t="s">
        <v>2163</v>
      </c>
      <c r="F2432" t="str">
        <f>HYPERLINK("https://drillhole.pir.sa.gov.au/Details.aspx?DRILLHOLE_NO=234698","Geol Survey Link")</f>
        <v>Geol Survey Link</v>
      </c>
      <c r="I2432">
        <v>-33.310400000000001</v>
      </c>
      <c r="J2432">
        <v>137.27699999999999</v>
      </c>
      <c r="K2432" t="str">
        <f>HYPERLINK("https://sarigdata.pir.sa.gov.au/nvcl/NVCLDataServices/mosaic.html?datasetid=7a941453-cf37-414f-939c-b3cd9a2d4a7","234698_MDD002_Core Image")</f>
        <v>234698_MDD002_Core Image</v>
      </c>
    </row>
    <row r="2433" spans="1:11" x14ac:dyDescent="0.25">
      <c r="A2433" t="str">
        <f>HYPERLINK("http://www.corstruth.com.au/SA/234699_MDD003_cs.png","234699_MDD003_A4")</f>
        <v>234699_MDD003_A4</v>
      </c>
      <c r="B2433" t="str">
        <f>HYPERLINK("http://www.corstruth.com.au/SA/PNG2/234699_MDD003_cs.png","234699_MDD003_0.25m Bins")</f>
        <v>234699_MDD003_0.25m Bins</v>
      </c>
      <c r="C2433" t="str">
        <f>HYPERLINK("http://www.corstruth.com.au/SA/CSV/234699_MDD003.csv","234699_MDD003_CSV File 1m Bins")</f>
        <v>234699_MDD003_CSV File 1m Bins</v>
      </c>
      <c r="D2433">
        <v>234699</v>
      </c>
      <c r="E2433" t="s">
        <v>2163</v>
      </c>
      <c r="F2433" t="str">
        <f>HYPERLINK("https://drillhole.pir.sa.gov.au/Details.aspx?DRILLHOLE_NO=234699","Geol Survey Link")</f>
        <v>Geol Survey Link</v>
      </c>
      <c r="I2433">
        <v>-33.288400000000003</v>
      </c>
      <c r="J2433">
        <v>137.29300000000001</v>
      </c>
      <c r="K2433" t="str">
        <f>HYPERLINK("https://sarigdata.pir.sa.gov.au/nvcl/NVCLDataServices/mosaic.html?datasetid=482cdcc8-718c-4840-8d36-ea2740897d1","234699_MDD003_Core Image")</f>
        <v>234699_MDD003_Core Image</v>
      </c>
    </row>
    <row r="2434" spans="1:11" x14ac:dyDescent="0.25">
      <c r="A2434" t="str">
        <f>HYPERLINK("http://www.corstruth.com.au/SA/234700_MDD_004_cs.png","234700_MDD_004_A4")</f>
        <v>234700_MDD_004_A4</v>
      </c>
      <c r="D2434">
        <v>234700</v>
      </c>
      <c r="E2434" t="s">
        <v>2163</v>
      </c>
      <c r="F2434" t="str">
        <f>HYPERLINK("https://drillhole.pir.sa.gov.au/Details.aspx?DRILLHOLE_NO=234700","Geol Survey Link")</f>
        <v>Geol Survey Link</v>
      </c>
      <c r="I2434">
        <v>-33.289299999999997</v>
      </c>
      <c r="J2434">
        <v>137.29300000000001</v>
      </c>
      <c r="K2434" t="str">
        <f>HYPERLINK("https://sarigdata.pir.sa.gov.au/nvcl/NVCLDataServices/mosaic.html?datasetid=904cb4e3-f229-4bb0-bbd2-0c4d3ccc66f","234700_MDD_004_Core Image")</f>
        <v>234700_MDD_004_Core Image</v>
      </c>
    </row>
    <row r="2435" spans="1:11" x14ac:dyDescent="0.25">
      <c r="A2435" t="str">
        <f>HYPERLINK("http://www.corstruth.com.au/SA/234701_MDD005_cs.png","234701_MDD005_A4")</f>
        <v>234701_MDD005_A4</v>
      </c>
      <c r="B2435" t="str">
        <f>HYPERLINK("http://www.corstruth.com.au/SA/PNG2/234701_MDD005_cs.png","234701_MDD005_0.25m Bins")</f>
        <v>234701_MDD005_0.25m Bins</v>
      </c>
      <c r="C2435" t="str">
        <f>HYPERLINK("http://www.corstruth.com.au/SA/CSV/234701_MDD005.csv","234701_MDD005_CSV File 1m Bins")</f>
        <v>234701_MDD005_CSV File 1m Bins</v>
      </c>
      <c r="D2435">
        <v>234701</v>
      </c>
      <c r="E2435" t="s">
        <v>2163</v>
      </c>
      <c r="F2435" t="str">
        <f>HYPERLINK("https://drillhole.pir.sa.gov.au/Details.aspx?DRILLHOLE_NO=234701","Geol Survey Link")</f>
        <v>Geol Survey Link</v>
      </c>
      <c r="I2435">
        <v>-33.290799999999997</v>
      </c>
      <c r="J2435">
        <v>137.29300000000001</v>
      </c>
      <c r="K2435" t="str">
        <f>HYPERLINK("https://sarigdata.pir.sa.gov.au/nvcl/NVCLDataServices/mosaic.html?datasetid=53db79e4-3282-41fb-a671-a570ea1f7d5","234701_MDD005_Core Image")</f>
        <v>234701_MDD005_Core Image</v>
      </c>
    </row>
    <row r="2436" spans="1:11" x14ac:dyDescent="0.25">
      <c r="A2436" t="str">
        <f>HYPERLINK("http://www.corstruth.com.au/SA/235593_DCDH0401_cs.png","235593_DCDH0401_A4")</f>
        <v>235593_DCDH0401_A4</v>
      </c>
      <c r="D2436">
        <v>235593</v>
      </c>
      <c r="E2436" t="s">
        <v>2163</v>
      </c>
      <c r="F2436" t="str">
        <f>HYPERLINK("https://drillhole.pir.sa.gov.au/Details.aspx?DRILLHOLE_NO=235593","Geol Survey Link")</f>
        <v>Geol Survey Link</v>
      </c>
      <c r="I2436">
        <v>-28.6693</v>
      </c>
      <c r="J2436">
        <v>136.46600000000001</v>
      </c>
    </row>
    <row r="2437" spans="1:11" x14ac:dyDescent="0.25">
      <c r="A2437" t="str">
        <f>HYPERLINK("http://www.corstruth.com.au/SA/235860_HL0002_cs.png","235860_HL0002_A4")</f>
        <v>235860_HL0002_A4</v>
      </c>
      <c r="D2437">
        <v>235860</v>
      </c>
      <c r="E2437" t="s">
        <v>2163</v>
      </c>
      <c r="F2437" t="str">
        <f>HYPERLINK("https://drillhole.pir.sa.gov.au/Details.aspx?DRILLHOLE_NO=235860","Geol Survey Link")</f>
        <v>Geol Survey Link</v>
      </c>
      <c r="I2437">
        <v>-31.4115</v>
      </c>
      <c r="J2437">
        <v>137.41</v>
      </c>
      <c r="K2437" t="str">
        <f>HYPERLINK("https://sarigdata.pir.sa.gov.au/nvcl/NVCLDataServices/mosaic.html?datasetid=3b6271bb-b0dd-4b65-9058-786b53d3bc4","235860_HL0002_Core Image")</f>
        <v>235860_HL0002_Core Image</v>
      </c>
    </row>
    <row r="2438" spans="1:11" x14ac:dyDescent="0.25">
      <c r="A2438" t="str">
        <f>HYPERLINK("http://www.corstruth.com.au/SA/23633_DooraDDH114_cs.png","23633_DooraDDH114_A4")</f>
        <v>23633_DooraDDH114_A4</v>
      </c>
      <c r="B2438" t="str">
        <f>HYPERLINK("http://www.corstruth.com.au/SA/PNG2/23633_DooraDDH114_cs.png","23633_DooraDDH114_0.25m Bins")</f>
        <v>23633_DooraDDH114_0.25m Bins</v>
      </c>
      <c r="C2438" t="str">
        <f>HYPERLINK("http://www.corstruth.com.au/SA/CSV/23633_DooraDDH114.csv","23633_DooraDDH114_CSV File 1m Bins")</f>
        <v>23633_DooraDDH114_CSV File 1m Bins</v>
      </c>
      <c r="D2438">
        <v>23633</v>
      </c>
      <c r="E2438" t="s">
        <v>2163</v>
      </c>
      <c r="F2438" t="str">
        <f>HYPERLINK("https://drillhole.pir.sa.gov.au/Details.aspx?DRILLHOLE_NO=23633","Geol Survey Link")</f>
        <v>Geol Survey Link</v>
      </c>
      <c r="I2438">
        <v>-33.977499999999999</v>
      </c>
      <c r="J2438">
        <v>137.66900000000001</v>
      </c>
      <c r="K2438" t="str">
        <f>HYPERLINK("https://sarigdata.pir.sa.gov.au/nvcl/NVCLDataServices/mosaic.html?datasetid=783fab7f-d226-4345-b4fb-aaf52c1b5c3","23633_DooraDDH114_Core Image")</f>
        <v>23633_DooraDDH114_Core Image</v>
      </c>
    </row>
    <row r="2439" spans="1:11" x14ac:dyDescent="0.25">
      <c r="A2439" t="str">
        <f>HYPERLINK("http://www.corstruth.com.au/SA/237056_DD07HAR003_cs.png","237056_DD07HAR003_A4")</f>
        <v>237056_DD07HAR003_A4</v>
      </c>
      <c r="B2439" t="str">
        <f>HYPERLINK("http://www.corstruth.com.au/SA/PNG2/237056_DD07HAR003_cs.png","237056_DD07HAR003_0.25m Bins")</f>
        <v>237056_DD07HAR003_0.25m Bins</v>
      </c>
      <c r="C2439" t="str">
        <f>HYPERLINK("http://www.corstruth.com.au/SA/CSV/237056_DD07HAR003.csv","237056_DD07HAR003_CSV File 1m Bins")</f>
        <v>237056_DD07HAR003_CSV File 1m Bins</v>
      </c>
      <c r="D2439">
        <v>237056</v>
      </c>
      <c r="E2439" t="s">
        <v>2163</v>
      </c>
      <c r="F2439" t="str">
        <f>HYPERLINK("https://drillhole.pir.sa.gov.au/Details.aspx?DRILLHOLE_NO=237056","Geol Survey Link")</f>
        <v>Geol Survey Link</v>
      </c>
      <c r="I2439">
        <v>-26.8965</v>
      </c>
      <c r="J2439">
        <v>129.71</v>
      </c>
      <c r="K2439" t="str">
        <f>HYPERLINK("https://sarigdata.pir.sa.gov.au/nvcl/NVCLDataServices/mosaic.html?datasetid=eaeec5a1-f525-4d21-814c-5639ac99f62","237056_DD07HAR003_Core Image")</f>
        <v>237056_DD07HAR003_Core Image</v>
      </c>
    </row>
    <row r="2440" spans="1:11" x14ac:dyDescent="0.25">
      <c r="A2440" t="str">
        <f>HYPERLINK("http://www.corstruth.com.au/SA/237074_MRK003_cs.png","237074_MRK003_A4")</f>
        <v>237074_MRK003_A4</v>
      </c>
      <c r="B2440" t="str">
        <f>HYPERLINK("http://www.corstruth.com.au/SA/PNG2/237074_MRK003_cs.png","237074_MRK003_0.25m Bins")</f>
        <v>237074_MRK003_0.25m Bins</v>
      </c>
      <c r="C2440" t="str">
        <f>HYPERLINK("http://www.corstruth.com.au/SA/CSV/237074_MRK003.csv","237074_MRK003_CSV File 1m Bins")</f>
        <v>237074_MRK003_CSV File 1m Bins</v>
      </c>
      <c r="D2440">
        <v>237074</v>
      </c>
      <c r="E2440" t="s">
        <v>2163</v>
      </c>
      <c r="F2440" t="str">
        <f>HYPERLINK("https://drillhole.pir.sa.gov.au/Details.aspx?DRILLHOLE_NO=237074","Geol Survey Link")</f>
        <v>Geol Survey Link</v>
      </c>
      <c r="I2440">
        <v>-29.857399999999998</v>
      </c>
      <c r="J2440">
        <v>135.155</v>
      </c>
      <c r="K2440" t="str">
        <f>HYPERLINK("https://sarigdata.pir.sa.gov.au/nvcl/NVCLDataServices/mosaic.html?datasetid=54ff4dad-1234-497c-b236-738e9c817c6","237074_MRK003_Core Image")</f>
        <v>237074_MRK003_Core Image</v>
      </c>
    </row>
    <row r="2441" spans="1:11" x14ac:dyDescent="0.25">
      <c r="A2441" t="str">
        <f>HYPERLINK("http://www.corstruth.com.au/SA/237075_MRK004_cs.png","237075_MRK004_A4")</f>
        <v>237075_MRK004_A4</v>
      </c>
      <c r="B2441" t="str">
        <f>HYPERLINK("http://www.corstruth.com.au/SA/PNG2/237075_MRK004_cs.png","237075_MRK004_0.25m Bins")</f>
        <v>237075_MRK004_0.25m Bins</v>
      </c>
      <c r="C2441" t="str">
        <f>HYPERLINK("http://www.corstruth.com.au/SA/CSV/237075_MRK004.csv","237075_MRK004_CSV File 1m Bins")</f>
        <v>237075_MRK004_CSV File 1m Bins</v>
      </c>
      <c r="D2441">
        <v>237075</v>
      </c>
      <c r="E2441" t="s">
        <v>2163</v>
      </c>
      <c r="F2441" t="str">
        <f>HYPERLINK("https://drillhole.pir.sa.gov.au/Details.aspx?DRILLHOLE_NO=237075","Geol Survey Link")</f>
        <v>Geol Survey Link</v>
      </c>
      <c r="I2441">
        <v>-29.8339</v>
      </c>
      <c r="J2441">
        <v>135.179</v>
      </c>
      <c r="K2441" t="str">
        <f>HYPERLINK("https://sarigdata.pir.sa.gov.au/nvcl/NVCLDataServices/mosaic.html?datasetid=5655547b-2fb1-4f7e-97e5-c78f215c85e","237075_MRK004_Core Image")</f>
        <v>237075_MRK004_Core Image</v>
      </c>
    </row>
    <row r="2442" spans="1:11" x14ac:dyDescent="0.25">
      <c r="A2442" t="str">
        <f>HYPERLINK("http://www.corstruth.com.au/SA/237076_MRK005_cs.png","237076_MRK005_A4")</f>
        <v>237076_MRK005_A4</v>
      </c>
      <c r="B2442" t="str">
        <f>HYPERLINK("http://www.corstruth.com.au/SA/PNG2/237076_MRK005_cs.png","237076_MRK005_0.25m Bins")</f>
        <v>237076_MRK005_0.25m Bins</v>
      </c>
      <c r="C2442" t="str">
        <f>HYPERLINK("http://www.corstruth.com.au/SA/CSV/237076_MRK005.csv","237076_MRK005_CSV File 1m Bins")</f>
        <v>237076_MRK005_CSV File 1m Bins</v>
      </c>
      <c r="D2442">
        <v>237076</v>
      </c>
      <c r="E2442" t="s">
        <v>2163</v>
      </c>
      <c r="F2442" t="str">
        <f>HYPERLINK("https://drillhole.pir.sa.gov.au/Details.aspx?DRILLHOLE_NO=237076","Geol Survey Link")</f>
        <v>Geol Survey Link</v>
      </c>
      <c r="I2442">
        <v>-29.831199999999999</v>
      </c>
      <c r="J2442">
        <v>135.191</v>
      </c>
      <c r="K2442" t="str">
        <f>HYPERLINK("https://sarigdata.pir.sa.gov.au/nvcl/NVCLDataServices/mosaic.html?datasetid=bbfa2d9c-970e-446a-9573-a1d5dc869e3","237076_MRK005_Core Image")</f>
        <v>237076_MRK005_Core Image</v>
      </c>
    </row>
    <row r="2443" spans="1:11" x14ac:dyDescent="0.25">
      <c r="A2443" t="str">
        <f>HYPERLINK("http://www.corstruth.com.au/SA/237077_MRK006_cs.png","237077_MRK006_A4")</f>
        <v>237077_MRK006_A4</v>
      </c>
      <c r="B2443" t="str">
        <f>HYPERLINK("http://www.corstruth.com.au/SA/PNG2/237077_MRK006_cs.png","237077_MRK006_0.25m Bins")</f>
        <v>237077_MRK006_0.25m Bins</v>
      </c>
      <c r="C2443" t="str">
        <f>HYPERLINK("http://www.corstruth.com.au/SA/CSV/237077_MRK006.csv","237077_MRK006_CSV File 1m Bins")</f>
        <v>237077_MRK006_CSV File 1m Bins</v>
      </c>
      <c r="D2443">
        <v>237077</v>
      </c>
      <c r="E2443" t="s">
        <v>2163</v>
      </c>
      <c r="F2443" t="str">
        <f>HYPERLINK("https://drillhole.pir.sa.gov.au/Details.aspx?DRILLHOLE_NO=237077","Geol Survey Link")</f>
        <v>Geol Survey Link</v>
      </c>
      <c r="I2443">
        <v>-29.847999999999999</v>
      </c>
      <c r="J2443">
        <v>135.25700000000001</v>
      </c>
      <c r="K2443" t="str">
        <f>HYPERLINK("https://sarigdata.pir.sa.gov.au/nvcl/NVCLDataServices/mosaic.html?datasetid=35995637-ed0b-4bc5-8643-b988b07f35c","237077_MRK006_Core Image")</f>
        <v>237077_MRK006_Core Image</v>
      </c>
    </row>
    <row r="2444" spans="1:11" x14ac:dyDescent="0.25">
      <c r="A2444" t="str">
        <f>HYPERLINK("http://www.corstruth.com.au/SA/23709_ALFORD_DDH224_cs.png","23709_ALFORD_DDH224_A4")</f>
        <v>23709_ALFORD_DDH224_A4</v>
      </c>
      <c r="D2444">
        <v>23709</v>
      </c>
      <c r="E2444" t="s">
        <v>2163</v>
      </c>
      <c r="F2444" t="str">
        <f>HYPERLINK("https://drillhole.pir.sa.gov.au/Details.aspx?DRILLHOLE_NO=23709","Geol Survey Link")</f>
        <v>Geol Survey Link</v>
      </c>
      <c r="I2444">
        <v>-33.874600000000001</v>
      </c>
      <c r="J2444">
        <v>137.73500000000001</v>
      </c>
    </row>
    <row r="2445" spans="1:11" x14ac:dyDescent="0.25">
      <c r="A2445" t="str">
        <f>HYPERLINK("http://www.corstruth.com.au/SA/237136_BWM01A_cs.png","237136_BWM01A_A4")</f>
        <v>237136_BWM01A_A4</v>
      </c>
      <c r="B2445" t="str">
        <f>HYPERLINK("http://www.corstruth.com.au/SA/PNG2/237136_BWM01A_cs.png","237136_BWM01A_0.25m Bins")</f>
        <v>237136_BWM01A_0.25m Bins</v>
      </c>
      <c r="C2445" t="str">
        <f>HYPERLINK("http://www.corstruth.com.au/SA/CSV/237136_BWM01A.csv","237136_BWM01A_CSV File 1m Bins")</f>
        <v>237136_BWM01A_CSV File 1m Bins</v>
      </c>
      <c r="D2445">
        <v>237136</v>
      </c>
      <c r="E2445" t="s">
        <v>2163</v>
      </c>
      <c r="F2445" t="str">
        <f>HYPERLINK("https://drillhole.pir.sa.gov.au/Details.aspx?DRILLHOLE_NO=237136","Geol Survey Link")</f>
        <v>Geol Survey Link</v>
      </c>
      <c r="I2445">
        <v>-28.431799999999999</v>
      </c>
      <c r="J2445">
        <v>135.04</v>
      </c>
      <c r="K2445" t="str">
        <f>HYPERLINK("https://sarigdata.pir.sa.gov.au/nvcl/NVCLDataServices/mosaic.html?datasetid=56a9cf65-5b05-43b1-b124-6630d68dcac","237136_BWM01A_Core Image")</f>
        <v>237136_BWM01A_Core Image</v>
      </c>
    </row>
    <row r="2446" spans="1:11" x14ac:dyDescent="0.25">
      <c r="A2446" t="str">
        <f>HYPERLINK("http://www.corstruth.com.au/SA/237529_08PD04C_cs.png","237529_08PD04C_A4")</f>
        <v>237529_08PD04C_A4</v>
      </c>
      <c r="B2446" t="str">
        <f>HYPERLINK("http://www.corstruth.com.au/SA/PNG2/237529_08PD04C_cs.png","237529_08PD04C_0.25m Bins")</f>
        <v>237529_08PD04C_0.25m Bins</v>
      </c>
      <c r="C2446" t="str">
        <f>HYPERLINK("http://www.corstruth.com.au/SA/CSV/237529_08PD04C.csv","237529_08PD04C_CSV File 1m Bins")</f>
        <v>237529_08PD04C_CSV File 1m Bins</v>
      </c>
      <c r="D2446">
        <v>237529</v>
      </c>
      <c r="E2446" t="s">
        <v>2163</v>
      </c>
      <c r="F2446" t="str">
        <f>HYPERLINK("https://drillhole.pir.sa.gov.au/Details.aspx?DRILLHOLE_NO=237529","Geol Survey Link")</f>
        <v>Geol Survey Link</v>
      </c>
      <c r="I2446">
        <v>-30.112300000000001</v>
      </c>
      <c r="J2446">
        <v>136.33500000000001</v>
      </c>
      <c r="K2446" t="str">
        <f>HYPERLINK("https://sarigdata.pir.sa.gov.au/nvcl/NVCLDataServices/mosaic.html?datasetid=6bf063b5-4a5b-4134-b101-93452df3c48","237529_08PD04C_Core Image")</f>
        <v>237529_08PD04C_Core Image</v>
      </c>
    </row>
    <row r="2447" spans="1:11" x14ac:dyDescent="0.25">
      <c r="A2447" t="str">
        <f>HYPERLINK("http://www.corstruth.com.au/SA/238000_K1_cs.png","238000_K1_A4")</f>
        <v>238000_K1_A4</v>
      </c>
      <c r="B2447" t="str">
        <f>HYPERLINK("http://www.corstruth.com.au/SA/PNG2/238000_K1_cs.png","238000_K1_0.25m Bins")</f>
        <v>238000_K1_0.25m Bins</v>
      </c>
      <c r="C2447" t="str">
        <f>HYPERLINK("http://www.corstruth.com.au/SA/CSV/238000_K1.csv","238000_K1_CSV File 1m Bins")</f>
        <v>238000_K1_CSV File 1m Bins</v>
      </c>
      <c r="D2447">
        <v>238000</v>
      </c>
      <c r="E2447" t="s">
        <v>2163</v>
      </c>
      <c r="F2447" t="str">
        <f>HYPERLINK("https://drillhole.pir.sa.gov.au/Details.aspx?DRILLHOLE_NO=238000","Geol Survey Link")</f>
        <v>Geol Survey Link</v>
      </c>
      <c r="I2447">
        <v>-34.347099999999998</v>
      </c>
      <c r="J2447">
        <v>138.91800000000001</v>
      </c>
      <c r="K2447" t="str">
        <f>HYPERLINK("https://sarigdata.pir.sa.gov.au/nvcl/NVCLDataServices/mosaic.html?datasetid=4c57624b-1dcf-4e11-9355-78e84249897","238000_K1_Core Image")</f>
        <v>238000_K1_Core Image</v>
      </c>
    </row>
    <row r="2448" spans="1:11" x14ac:dyDescent="0.25">
      <c r="A2448" t="str">
        <f>HYPERLINK("http://www.corstruth.com.au/SA/238001_K3_cs.png","238001_K3_A4")</f>
        <v>238001_K3_A4</v>
      </c>
      <c r="B2448" t="str">
        <f>HYPERLINK("http://www.corstruth.com.au/SA/PNG2/238001_K3_cs.png","238001_K3_0.25m Bins")</f>
        <v>238001_K3_0.25m Bins</v>
      </c>
      <c r="C2448" t="str">
        <f>HYPERLINK("http://www.corstruth.com.au/SA/CSV/238001_K3.csv","238001_K3_CSV File 1m Bins")</f>
        <v>238001_K3_CSV File 1m Bins</v>
      </c>
      <c r="D2448">
        <v>238001</v>
      </c>
      <c r="E2448" t="s">
        <v>2163</v>
      </c>
      <c r="F2448" t="str">
        <f>HYPERLINK("https://drillhole.pir.sa.gov.au/Details.aspx?DRILLHOLE_NO=238001","Geol Survey Link")</f>
        <v>Geol Survey Link</v>
      </c>
      <c r="I2448">
        <v>-34.347000000000001</v>
      </c>
      <c r="J2448">
        <v>138.91900000000001</v>
      </c>
      <c r="K2448" t="str">
        <f>HYPERLINK("https://sarigdata.pir.sa.gov.au/nvcl/NVCLDataServices/mosaic.html?datasetid=d2d8f90e-8e3c-461a-a454-13f6bc26a45","238001_K3_Core Image")</f>
        <v>238001_K3_Core Image</v>
      </c>
    </row>
    <row r="2449" spans="1:11" x14ac:dyDescent="0.25">
      <c r="A2449" t="str">
        <f>HYPERLINK("http://www.corstruth.com.au/SA/238004_K7_cs.png","238004_K7_A4")</f>
        <v>238004_K7_A4</v>
      </c>
      <c r="B2449" t="str">
        <f>HYPERLINK("http://www.corstruth.com.au/SA/PNG2/238004_K7_cs.png","238004_K7_0.25m Bins")</f>
        <v>238004_K7_0.25m Bins</v>
      </c>
      <c r="C2449" t="str">
        <f>HYPERLINK("http://www.corstruth.com.au/SA/CSV/238004_K7.csv","238004_K7_CSV File 1m Bins")</f>
        <v>238004_K7_CSV File 1m Bins</v>
      </c>
      <c r="D2449">
        <v>238004</v>
      </c>
      <c r="E2449" t="s">
        <v>2163</v>
      </c>
      <c r="F2449" t="str">
        <f>HYPERLINK("https://drillhole.pir.sa.gov.au/Details.aspx?DRILLHOLE_NO=238004","Geol Survey Link")</f>
        <v>Geol Survey Link</v>
      </c>
      <c r="I2449">
        <v>-34.3474</v>
      </c>
      <c r="J2449">
        <v>138.917</v>
      </c>
      <c r="K2449" t="str">
        <f>HYPERLINK("https://sarigdata.pir.sa.gov.au/nvcl/NVCLDataServices/mosaic.html?datasetid=9bb038de-2d45-4386-b371-161491bad9c","238004_K7_Core Image")</f>
        <v>238004_K7_Core Image</v>
      </c>
    </row>
    <row r="2450" spans="1:11" x14ac:dyDescent="0.25">
      <c r="A2450" t="str">
        <f>HYPERLINK("http://www.corstruth.com.au/SA/238005_K8_cs.png","238005_K8_A4")</f>
        <v>238005_K8_A4</v>
      </c>
      <c r="B2450" t="str">
        <f>HYPERLINK("http://www.corstruth.com.au/SA/PNG2/238005_K8_cs.png","238005_K8_0.25m Bins")</f>
        <v>238005_K8_0.25m Bins</v>
      </c>
      <c r="C2450" t="str">
        <f>HYPERLINK("http://www.corstruth.com.au/SA/CSV/238005_K8.csv","238005_K8_CSV File 1m Bins")</f>
        <v>238005_K8_CSV File 1m Bins</v>
      </c>
      <c r="D2450">
        <v>238005</v>
      </c>
      <c r="E2450" t="s">
        <v>2163</v>
      </c>
      <c r="F2450" t="str">
        <f>HYPERLINK("https://drillhole.pir.sa.gov.au/Details.aspx?DRILLHOLE_NO=238005","Geol Survey Link")</f>
        <v>Geol Survey Link</v>
      </c>
      <c r="I2450">
        <v>-34.347200000000001</v>
      </c>
      <c r="J2450">
        <v>138.91800000000001</v>
      </c>
      <c r="K2450" t="str">
        <f>HYPERLINK("https://sarigdata.pir.sa.gov.au/nvcl/NVCLDataServices/mosaic.html?datasetid=512c9c41-7ed2-44e5-a56d-6803f98866c","238005_K8_Core Image")</f>
        <v>238005_K8_Core Image</v>
      </c>
    </row>
    <row r="2451" spans="1:11" x14ac:dyDescent="0.25">
      <c r="A2451" t="str">
        <f>HYPERLINK("http://www.corstruth.com.au/SA/238006_K9_cs.png","238006_K9_A4")</f>
        <v>238006_K9_A4</v>
      </c>
      <c r="B2451" t="str">
        <f>HYPERLINK("http://www.corstruth.com.au/SA/PNG2/238006_K9_cs.png","238006_K9_0.25m Bins")</f>
        <v>238006_K9_0.25m Bins</v>
      </c>
      <c r="C2451" t="str">
        <f>HYPERLINK("http://www.corstruth.com.au/SA/CSV/238006_K9.csv","238006_K9_CSV File 1m Bins")</f>
        <v>238006_K9_CSV File 1m Bins</v>
      </c>
      <c r="D2451">
        <v>238006</v>
      </c>
      <c r="E2451" t="s">
        <v>2163</v>
      </c>
      <c r="F2451" t="str">
        <f>HYPERLINK("https://drillhole.pir.sa.gov.au/Details.aspx?DRILLHOLE_NO=238006","Geol Survey Link")</f>
        <v>Geol Survey Link</v>
      </c>
      <c r="I2451">
        <v>-34.347200000000001</v>
      </c>
      <c r="J2451">
        <v>138.91800000000001</v>
      </c>
      <c r="K2451" t="str">
        <f>HYPERLINK("https://sarigdata.pir.sa.gov.au/nvcl/NVCLDataServices/mosaic.html?datasetid=234c8879-7e53-4854-b89a-0b938cf21bc","238006_K9_Core Image")</f>
        <v>238006_K9_Core Image</v>
      </c>
    </row>
    <row r="2452" spans="1:11" x14ac:dyDescent="0.25">
      <c r="A2452" t="str">
        <f>HYPERLINK("http://www.corstruth.com.au/SA/238007_K10_cs.png","238007_K10_A4")</f>
        <v>238007_K10_A4</v>
      </c>
      <c r="B2452" t="str">
        <f>HYPERLINK("http://www.corstruth.com.au/SA/PNG2/238007_K10_cs.png","238007_K10_0.25m Bins")</f>
        <v>238007_K10_0.25m Bins</v>
      </c>
      <c r="C2452" t="str">
        <f>HYPERLINK("http://www.corstruth.com.au/SA/CSV/238007_K10.csv","238007_K10_CSV File 1m Bins")</f>
        <v>238007_K10_CSV File 1m Bins</v>
      </c>
      <c r="D2452">
        <v>238007</v>
      </c>
      <c r="E2452" t="s">
        <v>2163</v>
      </c>
      <c r="F2452" t="str">
        <f>HYPERLINK("https://drillhole.pir.sa.gov.au/Details.aspx?DRILLHOLE_NO=238007","Geol Survey Link")</f>
        <v>Geol Survey Link</v>
      </c>
      <c r="I2452">
        <v>-34.352600000000002</v>
      </c>
      <c r="J2452">
        <v>138.91900000000001</v>
      </c>
      <c r="K2452" t="str">
        <f>HYPERLINK("https://sarigdata.pir.sa.gov.au/nvcl/NVCLDataServices/mosaic.html?datasetid=a094c7b0-2bfc-48b3-ae42-455f8a56455","238007_K10_Core Image")</f>
        <v>238007_K10_Core Image</v>
      </c>
    </row>
    <row r="2453" spans="1:11" x14ac:dyDescent="0.25">
      <c r="A2453" t="str">
        <f>HYPERLINK("http://www.corstruth.com.au/SA/238008_K11_cs.png","238008_K11_A4")</f>
        <v>238008_K11_A4</v>
      </c>
      <c r="B2453" t="str">
        <f>HYPERLINK("http://www.corstruth.com.au/SA/PNG2/238008_K11_cs.png","238008_K11_0.25m Bins")</f>
        <v>238008_K11_0.25m Bins</v>
      </c>
      <c r="C2453" t="str">
        <f>HYPERLINK("http://www.corstruth.com.au/SA/CSV/238008_K11.csv","238008_K11_CSV File 1m Bins")</f>
        <v>238008_K11_CSV File 1m Bins</v>
      </c>
      <c r="D2453">
        <v>238008</v>
      </c>
      <c r="E2453" t="s">
        <v>2163</v>
      </c>
      <c r="F2453" t="str">
        <f>HYPERLINK("https://drillhole.pir.sa.gov.au/Details.aspx?DRILLHOLE_NO=238008","Geol Survey Link")</f>
        <v>Geol Survey Link</v>
      </c>
      <c r="I2453">
        <v>-34.347200000000001</v>
      </c>
      <c r="J2453">
        <v>138.91800000000001</v>
      </c>
      <c r="K2453" t="str">
        <f>HYPERLINK("https://sarigdata.pir.sa.gov.au/nvcl/NVCLDataServices/mosaic.html?datasetid=99499f58-5f86-4bcc-becc-1678c6d806b","238008_K11_Core Image")</f>
        <v>238008_K11_Core Image</v>
      </c>
    </row>
    <row r="2454" spans="1:11" x14ac:dyDescent="0.25">
      <c r="A2454" t="str">
        <f>HYPERLINK("http://www.corstruth.com.au/SA/238008_K11_Level_1-8_2016_cs.png","238008_K11_Level_1-8_2016_A4")</f>
        <v>238008_K11_Level_1-8_2016_A4</v>
      </c>
      <c r="B2454" t="str">
        <f>HYPERLINK("http://www.corstruth.com.au/SA/PNG2/238008_K11_Level_1-8_2016_cs.png","238008_K11_Level_1-8_2016_0.25m Bins")</f>
        <v>238008_K11_Level_1-8_2016_0.25m Bins</v>
      </c>
      <c r="C2454" t="str">
        <f>HYPERLINK("http://www.corstruth.com.au/SA/CSV/238008_K11_Level_1-8_2016.csv","238008_K11_Level_1-8_2016_CSV File 1m Bins")</f>
        <v>238008_K11_Level_1-8_2016_CSV File 1m Bins</v>
      </c>
      <c r="D2454">
        <v>238008</v>
      </c>
      <c r="E2454" t="s">
        <v>2163</v>
      </c>
      <c r="F2454" t="str">
        <f>HYPERLINK("https://drillhole.pir.sa.gov.au/Details.aspx?DRILLHOLE_NO=238008","Geol Survey Link")</f>
        <v>Geol Survey Link</v>
      </c>
      <c r="I2454">
        <v>-34.347200000000001</v>
      </c>
      <c r="J2454">
        <v>138.91800000000001</v>
      </c>
      <c r="K2454" t="str">
        <f>HYPERLINK("https://sarigdata.pir.sa.gov.au/nvcl/NVCLDataServices/mosaic.html?datasetid=99499f58-5f86-4bcc-becc-1678c6d806b","238008_K11_Level_1-8_2016_Core Image")</f>
        <v>238008_K11_Level_1-8_2016_Core Image</v>
      </c>
    </row>
    <row r="2455" spans="1:11" x14ac:dyDescent="0.25">
      <c r="A2455" t="str">
        <f>HYPERLINK("http://www.corstruth.com.au/SA/238009_K12_cs.png","238009_K12_A4")</f>
        <v>238009_K12_A4</v>
      </c>
      <c r="B2455" t="str">
        <f>HYPERLINK("http://www.corstruth.com.au/SA/PNG2/238009_K12_cs.png","238009_K12_0.25m Bins")</f>
        <v>238009_K12_0.25m Bins</v>
      </c>
      <c r="C2455" t="str">
        <f>HYPERLINK("http://www.corstruth.com.au/SA/CSV/238009_K12.csv","238009_K12_CSV File 1m Bins")</f>
        <v>238009_K12_CSV File 1m Bins</v>
      </c>
      <c r="D2455">
        <v>238009</v>
      </c>
      <c r="E2455" t="s">
        <v>2163</v>
      </c>
      <c r="F2455" t="str">
        <f>HYPERLINK("https://drillhole.pir.sa.gov.au/Details.aspx?DRILLHOLE_NO=238009","Geol Survey Link")</f>
        <v>Geol Survey Link</v>
      </c>
      <c r="I2455">
        <v>-34.3474</v>
      </c>
      <c r="J2455">
        <v>138.917</v>
      </c>
      <c r="K2455" t="str">
        <f>HYPERLINK("https://sarigdata.pir.sa.gov.au/nvcl/NVCLDataServices/mosaic.html?datasetid=0a5cc66c-9509-467b-b02c-ba82b98bf1e","238009_K12_Core Image")</f>
        <v>238009_K12_Core Image</v>
      </c>
    </row>
    <row r="2456" spans="1:11" x14ac:dyDescent="0.25">
      <c r="A2456" t="str">
        <f>HYPERLINK("http://www.corstruth.com.au/SA/238009_K12_Level_1-8_2016_cs.png","238009_K12_Level_1-8_2016_A4")</f>
        <v>238009_K12_Level_1-8_2016_A4</v>
      </c>
      <c r="B2456" t="str">
        <f>HYPERLINK("http://www.corstruth.com.au/SA/PNG2/238009_K12_Level_1-8_2016_cs.png","238009_K12_Level_1-8_2016_0.25m Bins")</f>
        <v>238009_K12_Level_1-8_2016_0.25m Bins</v>
      </c>
      <c r="C2456" t="str">
        <f>HYPERLINK("http://www.corstruth.com.au/SA/CSV/238009_K12_Level_1-8_2016.csv","238009_K12_Level_1-8_2016_CSV File 1m Bins")</f>
        <v>238009_K12_Level_1-8_2016_CSV File 1m Bins</v>
      </c>
      <c r="D2456">
        <v>238009</v>
      </c>
      <c r="E2456" t="s">
        <v>2163</v>
      </c>
      <c r="F2456" t="str">
        <f>HYPERLINK("https://drillhole.pir.sa.gov.au/Details.aspx?DRILLHOLE_NO=238009","Geol Survey Link")</f>
        <v>Geol Survey Link</v>
      </c>
      <c r="I2456">
        <v>-34.3474</v>
      </c>
      <c r="J2456">
        <v>138.917</v>
      </c>
      <c r="K2456" t="str">
        <f>HYPERLINK("https://sarigdata.pir.sa.gov.au/nvcl/NVCLDataServices/mosaic.html?datasetid=0a5cc66c-9509-467b-b02c-ba82b98bf1e","238009_K12_Level_1-8_2016_Core Image")</f>
        <v>238009_K12_Level_1-8_2016_Core Image</v>
      </c>
    </row>
    <row r="2457" spans="1:11" x14ac:dyDescent="0.25">
      <c r="A2457" t="str">
        <f>HYPERLINK("http://www.corstruth.com.au/SA/238010_K13_cs.png","238010_K13_A4")</f>
        <v>238010_K13_A4</v>
      </c>
      <c r="B2457" t="str">
        <f>HYPERLINK("http://www.corstruth.com.au/SA/PNG2/238010_K13_cs.png","238010_K13_0.25m Bins")</f>
        <v>238010_K13_0.25m Bins</v>
      </c>
      <c r="C2457" t="str">
        <f>HYPERLINK("http://www.corstruth.com.au/SA/CSV/238010_K13.csv","238010_K13_CSV File 1m Bins")</f>
        <v>238010_K13_CSV File 1m Bins</v>
      </c>
      <c r="D2457">
        <v>238010</v>
      </c>
      <c r="E2457" t="s">
        <v>2163</v>
      </c>
      <c r="F2457" t="str">
        <f>HYPERLINK("https://drillhole.pir.sa.gov.au/Details.aspx?DRILLHOLE_NO=238010","Geol Survey Link")</f>
        <v>Geol Survey Link</v>
      </c>
      <c r="I2457">
        <v>-34.3476</v>
      </c>
      <c r="J2457">
        <v>138.916</v>
      </c>
      <c r="K2457" t="str">
        <f>HYPERLINK("https://sarigdata.pir.sa.gov.au/nvcl/NVCLDataServices/mosaic.html?datasetid=86ab9231-5b3f-48b2-bc14-08eb6c0c17f","238010_K13_Core Image")</f>
        <v>238010_K13_Core Image</v>
      </c>
    </row>
    <row r="2458" spans="1:11" x14ac:dyDescent="0.25">
      <c r="A2458" t="str">
        <f>HYPERLINK("http://www.corstruth.com.au/SA/238011_K14_cs.png","238011_K14_A4")</f>
        <v>238011_K14_A4</v>
      </c>
      <c r="B2458" t="str">
        <f>HYPERLINK("http://www.corstruth.com.au/SA/PNG2/238011_K14_cs.png","238011_K14_0.25m Bins")</f>
        <v>238011_K14_0.25m Bins</v>
      </c>
      <c r="C2458" t="str">
        <f>HYPERLINK("http://www.corstruth.com.au/SA/CSV/238011_K14.csv","238011_K14_CSV File 1m Bins")</f>
        <v>238011_K14_CSV File 1m Bins</v>
      </c>
      <c r="D2458">
        <v>238011</v>
      </c>
      <c r="E2458" t="s">
        <v>2163</v>
      </c>
      <c r="F2458" t="str">
        <f>HYPERLINK("https://drillhole.pir.sa.gov.au/Details.aspx?DRILLHOLE_NO=238011","Geol Survey Link")</f>
        <v>Geol Survey Link</v>
      </c>
      <c r="I2458">
        <v>-34.347499999999997</v>
      </c>
      <c r="J2458">
        <v>138.917</v>
      </c>
      <c r="K2458" t="str">
        <f>HYPERLINK("https://sarigdata.pir.sa.gov.au/nvcl/NVCLDataServices/mosaic.html?datasetid=d164b571-10d6-4b8d-bea2-9bbab503962","238011_K14_Core Image")</f>
        <v>238011_K14_Core Image</v>
      </c>
    </row>
    <row r="2459" spans="1:11" x14ac:dyDescent="0.25">
      <c r="A2459" t="str">
        <f>HYPERLINK("http://www.corstruth.com.au/SA/238432_K34_cs.png","238432_K34_A4")</f>
        <v>238432_K34_A4</v>
      </c>
      <c r="B2459" t="str">
        <f>HYPERLINK("http://www.corstruth.com.au/SA/PNG2/238432_K34_cs.png","238432_K34_0.25m Bins")</f>
        <v>238432_K34_0.25m Bins</v>
      </c>
      <c r="C2459" t="str">
        <f>HYPERLINK("http://www.corstruth.com.au/SA/CSV/238432_K34.csv","238432_K34_CSV File 1m Bins")</f>
        <v>238432_K34_CSV File 1m Bins</v>
      </c>
      <c r="D2459">
        <v>238432</v>
      </c>
      <c r="E2459" t="s">
        <v>2163</v>
      </c>
      <c r="F2459" t="str">
        <f>HYPERLINK("https://drillhole.pir.sa.gov.au/Details.aspx?DRILLHOLE_NO=238432","Geol Survey Link")</f>
        <v>Geol Survey Link</v>
      </c>
      <c r="I2459">
        <v>-34.345999999999997</v>
      </c>
      <c r="J2459">
        <v>138.916</v>
      </c>
      <c r="K2459" t="str">
        <f>HYPERLINK("https://sarigdata.pir.sa.gov.au/nvcl/NVCLDataServices/mosaic.html?datasetid=8953436d-b4a9-4e42-abb8-aa0d8a4e7b1","238432_K34_Core Image")</f>
        <v>238432_K34_Core Image</v>
      </c>
    </row>
    <row r="2460" spans="1:11" x14ac:dyDescent="0.25">
      <c r="A2460" t="str">
        <f>HYPERLINK("http://www.corstruth.com.au/SA/238433_K35_cs.png","238433_K35_A4")</f>
        <v>238433_K35_A4</v>
      </c>
      <c r="B2460" t="str">
        <f>HYPERLINK("http://www.corstruth.com.au/SA/PNG2/238433_K35_cs.png","238433_K35_0.25m Bins")</f>
        <v>238433_K35_0.25m Bins</v>
      </c>
      <c r="C2460" t="str">
        <f>HYPERLINK("http://www.corstruth.com.au/SA/CSV/238433_K35.csv","238433_K35_CSV File 1m Bins")</f>
        <v>238433_K35_CSV File 1m Bins</v>
      </c>
      <c r="D2460">
        <v>238433</v>
      </c>
      <c r="E2460" t="s">
        <v>2163</v>
      </c>
      <c r="F2460" t="str">
        <f>HYPERLINK("https://drillhole.pir.sa.gov.au/Details.aspx?DRILLHOLE_NO=238433","Geol Survey Link")</f>
        <v>Geol Survey Link</v>
      </c>
      <c r="I2460">
        <v>-34.347900000000003</v>
      </c>
      <c r="J2460">
        <v>138.91499999999999</v>
      </c>
      <c r="K2460" t="str">
        <f>HYPERLINK("https://sarigdata.pir.sa.gov.au/nvcl/NVCLDataServices/mosaic.html?datasetid=ce74dfa4-d74e-413b-8ae4-3f74c396d2f","238433_K35_Core Image")</f>
        <v>238433_K35_Core Image</v>
      </c>
    </row>
    <row r="2461" spans="1:11" x14ac:dyDescent="0.25">
      <c r="A2461" t="str">
        <f>HYPERLINK("http://www.corstruth.com.au/SA/238457_K45_cs.png","238457_K45_A4")</f>
        <v>238457_K45_A4</v>
      </c>
      <c r="B2461" t="str">
        <f>HYPERLINK("http://www.corstruth.com.au/SA/PNG2/238457_K45_cs.png","238457_K45_0.25m Bins")</f>
        <v>238457_K45_0.25m Bins</v>
      </c>
      <c r="C2461" t="str">
        <f>HYPERLINK("http://www.corstruth.com.au/SA/CSV/238457_K45.csv","238457_K45_CSV File 1m Bins")</f>
        <v>238457_K45_CSV File 1m Bins</v>
      </c>
      <c r="D2461">
        <v>238457</v>
      </c>
      <c r="E2461" t="s">
        <v>2163</v>
      </c>
      <c r="F2461" t="str">
        <f>HYPERLINK("https://drillhole.pir.sa.gov.au/Details.aspx?DRILLHOLE_NO=238457","Geol Survey Link")</f>
        <v>Geol Survey Link</v>
      </c>
      <c r="I2461">
        <v>-34.3491</v>
      </c>
      <c r="J2461">
        <v>138.917</v>
      </c>
      <c r="K2461" t="str">
        <f>HYPERLINK("https://sarigdata.pir.sa.gov.au/nvcl/NVCLDataServices/mosaic.html?datasetid=abdd85b8-4030-49e5-892d-8a489d87eb6","238457_K45_Core Image")</f>
        <v>238457_K45_Core Image</v>
      </c>
    </row>
    <row r="2462" spans="1:11" x14ac:dyDescent="0.25">
      <c r="A2462" t="str">
        <f>HYPERLINK("http://www.corstruth.com.au/SA/238458_K46_cs.png","238458_K46_A4")</f>
        <v>238458_K46_A4</v>
      </c>
      <c r="B2462" t="str">
        <f>HYPERLINK("http://www.corstruth.com.au/SA/PNG2/238458_K46_cs.png","238458_K46_0.25m Bins")</f>
        <v>238458_K46_0.25m Bins</v>
      </c>
      <c r="C2462" t="str">
        <f>HYPERLINK("http://www.corstruth.com.au/SA/CSV/238458_K46.csv","238458_K46_CSV File 1m Bins")</f>
        <v>238458_K46_CSV File 1m Bins</v>
      </c>
      <c r="D2462">
        <v>238458</v>
      </c>
      <c r="E2462" t="s">
        <v>2163</v>
      </c>
      <c r="F2462" t="str">
        <f>HYPERLINK("https://drillhole.pir.sa.gov.au/Details.aspx?DRILLHOLE_NO=238458","Geol Survey Link")</f>
        <v>Geol Survey Link</v>
      </c>
      <c r="I2462">
        <v>-34.351799999999997</v>
      </c>
      <c r="J2462">
        <v>138.91800000000001</v>
      </c>
      <c r="K2462" t="str">
        <f>HYPERLINK("https://sarigdata.pir.sa.gov.au/nvcl/NVCLDataServices/mosaic.html?datasetid=a66dfadf-3d10-43b5-a8f4-d3b429697d4","238458_K46_Core Image")</f>
        <v>238458_K46_Core Image</v>
      </c>
    </row>
    <row r="2463" spans="1:11" x14ac:dyDescent="0.25">
      <c r="A2463" t="str">
        <f>HYPERLINK("http://www.corstruth.com.au/SA/238459_K47_cs.png","238459_K47_A4")</f>
        <v>238459_K47_A4</v>
      </c>
      <c r="B2463" t="str">
        <f>HYPERLINK("http://www.corstruth.com.au/SA/PNG2/238459_K47_cs.png","238459_K47_0.25m Bins")</f>
        <v>238459_K47_0.25m Bins</v>
      </c>
      <c r="C2463" t="str">
        <f>HYPERLINK("http://www.corstruth.com.au/SA/CSV/238459_K47.csv","238459_K47_CSV File 1m Bins")</f>
        <v>238459_K47_CSV File 1m Bins</v>
      </c>
      <c r="D2463">
        <v>238459</v>
      </c>
      <c r="E2463" t="s">
        <v>2163</v>
      </c>
      <c r="F2463" t="str">
        <f>HYPERLINK("https://drillhole.pir.sa.gov.au/Details.aspx?DRILLHOLE_NO=238459","Geol Survey Link")</f>
        <v>Geol Survey Link</v>
      </c>
      <c r="I2463">
        <v>-34.345100000000002</v>
      </c>
      <c r="J2463">
        <v>138.91499999999999</v>
      </c>
      <c r="K2463" t="str">
        <f>HYPERLINK("https://sarigdata.pir.sa.gov.au/nvcl/NVCLDataServices/mosaic.html?datasetid=17a1baf0-bbcc-415c-ade9-32218783f8d","238459_K47_Core Image")</f>
        <v>238459_K47_Core Image</v>
      </c>
    </row>
    <row r="2464" spans="1:11" x14ac:dyDescent="0.25">
      <c r="A2464" t="str">
        <f>HYPERLINK("http://www.corstruth.com.au/SA/238460_K48_cs.png","238460_K48_A4")</f>
        <v>238460_K48_A4</v>
      </c>
      <c r="B2464" t="str">
        <f>HYPERLINK("http://www.corstruth.com.au/SA/PNG2/238460_K48_cs.png","238460_K48_0.25m Bins")</f>
        <v>238460_K48_0.25m Bins</v>
      </c>
      <c r="C2464" t="str">
        <f>HYPERLINK("http://www.corstruth.com.au/SA/CSV/238460_K48.csv","238460_K48_CSV File 1m Bins")</f>
        <v>238460_K48_CSV File 1m Bins</v>
      </c>
      <c r="D2464">
        <v>238460</v>
      </c>
      <c r="E2464" t="s">
        <v>2163</v>
      </c>
      <c r="F2464" t="str">
        <f>HYPERLINK("https://drillhole.pir.sa.gov.au/Details.aspx?DRILLHOLE_NO=238460","Geol Survey Link")</f>
        <v>Geol Survey Link</v>
      </c>
      <c r="I2464">
        <v>-34.350200000000001</v>
      </c>
      <c r="J2464">
        <v>138.917</v>
      </c>
      <c r="K2464" t="str">
        <f>HYPERLINK("https://sarigdata.pir.sa.gov.au/nvcl/NVCLDataServices/mosaic.html?datasetid=7acbc2e3-33aa-4b97-8cbb-958248883b8","238460_K48_Core Image")</f>
        <v>238460_K48_Core Image</v>
      </c>
    </row>
    <row r="2465" spans="1:11" x14ac:dyDescent="0.25">
      <c r="A2465" t="str">
        <f>HYPERLINK("http://www.corstruth.com.au/SA/23922_PP2_cs.png","23922_PP2_A4")</f>
        <v>23922_PP2_A4</v>
      </c>
      <c r="B2465" t="str">
        <f>HYPERLINK("http://www.corstruth.com.au/SA/PNG2/23922_PP2_cs.png","23922_PP2_0.25m Bins")</f>
        <v>23922_PP2_0.25m Bins</v>
      </c>
      <c r="C2465" t="str">
        <f>HYPERLINK("http://www.corstruth.com.au/SA/CSV/23922_PP2.csv","23922_PP2_CSV File 1m Bins")</f>
        <v>23922_PP2_CSV File 1m Bins</v>
      </c>
      <c r="D2465">
        <v>23922</v>
      </c>
      <c r="E2465" t="s">
        <v>2163</v>
      </c>
      <c r="F2465" t="str">
        <f>HYPERLINK("https://drillhole.pir.sa.gov.au/Details.aspx?DRILLHOLE_NO=23922","Geol Survey Link")</f>
        <v>Geol Survey Link</v>
      </c>
      <c r="I2465">
        <v>-33.384500000000003</v>
      </c>
      <c r="J2465">
        <v>137.95400000000001</v>
      </c>
      <c r="K2465" t="str">
        <f>HYPERLINK("https://sarigdata.pir.sa.gov.au/nvcl/NVCLDataServices/mosaic.html?datasetid=18295f0d-46cf-442f-b9a2-333d2026ad9","23922_PP2_Core Image")</f>
        <v>23922_PP2_Core Image</v>
      </c>
    </row>
    <row r="2466" spans="1:11" x14ac:dyDescent="0.25">
      <c r="A2466" t="str">
        <f>HYPERLINK("http://www.corstruth.com.au/SA/23928_PP8_cs.png","23928_PP8_A4")</f>
        <v>23928_PP8_A4</v>
      </c>
      <c r="B2466" t="str">
        <f>HYPERLINK("http://www.corstruth.com.au/SA/PNG2/23928_PP8_cs.png","23928_PP8_0.25m Bins")</f>
        <v>23928_PP8_0.25m Bins</v>
      </c>
      <c r="C2466" t="str">
        <f>HYPERLINK("http://www.corstruth.com.au/SA/CSV/23928_PP8.csv","23928_PP8_CSV File 1m Bins")</f>
        <v>23928_PP8_CSV File 1m Bins</v>
      </c>
      <c r="D2466">
        <v>23928</v>
      </c>
      <c r="E2466" t="s">
        <v>2163</v>
      </c>
      <c r="F2466" t="str">
        <f>HYPERLINK("https://drillhole.pir.sa.gov.au/Details.aspx?DRILLHOLE_NO=23928","Geol Survey Link")</f>
        <v>Geol Survey Link</v>
      </c>
      <c r="I2466">
        <v>-33.3566</v>
      </c>
      <c r="J2466">
        <v>137.953</v>
      </c>
      <c r="K2466" t="str">
        <f>HYPERLINK("https://sarigdata.pir.sa.gov.au/nvcl/NVCLDataServices/mosaic.html?datasetid=d7cc1dee-4403-4b19-9693-3b2512643c2","23928_PP8_Core Image")</f>
        <v>23928_PP8_Core Image</v>
      </c>
    </row>
    <row r="2467" spans="1:11" x14ac:dyDescent="0.25">
      <c r="A2467" t="str">
        <f>HYPERLINK("http://www.corstruth.com.au/SA/23932_PP12_cs.png","23932_PP12_A4")</f>
        <v>23932_PP12_A4</v>
      </c>
      <c r="B2467" t="str">
        <f>HYPERLINK("http://www.corstruth.com.au/SA/PNG2/23932_PP12_cs.png","23932_PP12_0.25m Bins")</f>
        <v>23932_PP12_0.25m Bins</v>
      </c>
      <c r="C2467" t="str">
        <f>HYPERLINK("http://www.corstruth.com.au/SA/CSV/23932_PP12.csv","23932_PP12_CSV File 1m Bins")</f>
        <v>23932_PP12_CSV File 1m Bins</v>
      </c>
      <c r="D2467">
        <v>23932</v>
      </c>
      <c r="E2467" t="s">
        <v>2163</v>
      </c>
      <c r="F2467" t="str">
        <f>HYPERLINK("https://drillhole.pir.sa.gov.au/Details.aspx?DRILLHOLE_NO=23932","Geol Survey Link")</f>
        <v>Geol Survey Link</v>
      </c>
      <c r="I2467">
        <v>-33.463500000000003</v>
      </c>
      <c r="J2467">
        <v>137.95699999999999</v>
      </c>
      <c r="K2467" t="str">
        <f>HYPERLINK("https://sarigdata.pir.sa.gov.au/nvcl/NVCLDataServices/mosaic.html?datasetid=5b9cef3f-a999-4e52-b0ea-64265bde2ed","23932_PP12_Core Image")</f>
        <v>23932_PP12_Core Image</v>
      </c>
    </row>
    <row r="2468" spans="1:11" x14ac:dyDescent="0.25">
      <c r="A2468" t="str">
        <f>HYPERLINK("http://www.corstruth.com.au/SA/23935_PP15_cs.png","23935_PP15_A4")</f>
        <v>23935_PP15_A4</v>
      </c>
      <c r="B2468" t="str">
        <f>HYPERLINK("http://www.corstruth.com.au/SA/PNG2/23935_PP15_cs.png","23935_PP15_0.25m Bins")</f>
        <v>23935_PP15_0.25m Bins</v>
      </c>
      <c r="C2468" t="str">
        <f>HYPERLINK("http://www.corstruth.com.au/SA/CSV/23935_PP15.csv","23935_PP15_CSV File 1m Bins")</f>
        <v>23935_PP15_CSV File 1m Bins</v>
      </c>
      <c r="D2468">
        <v>23935</v>
      </c>
      <c r="E2468" t="s">
        <v>2163</v>
      </c>
      <c r="F2468" t="str">
        <f>HYPERLINK("https://drillhole.pir.sa.gov.au/Details.aspx?DRILLHOLE_NO=23935","Geol Survey Link")</f>
        <v>Geol Survey Link</v>
      </c>
      <c r="I2468">
        <v>-33.227200000000003</v>
      </c>
      <c r="J2468">
        <v>137.89599999999999</v>
      </c>
      <c r="K2468" t="str">
        <f>HYPERLINK("https://sarigdata.pir.sa.gov.au/nvcl/NVCLDataServices/mosaic.html?datasetid=ea75a26c-33d6-4860-be52-396c5a1eac1","23935_PP15_Core Image")</f>
        <v>23935_PP15_Core Image</v>
      </c>
    </row>
    <row r="2469" spans="1:11" x14ac:dyDescent="0.25">
      <c r="A2469" t="str">
        <f>HYPERLINK("http://www.corstruth.com.au/SA/239604_KD2A_cs.png","239604_KD2A_A4")</f>
        <v>239604_KD2A_A4</v>
      </c>
      <c r="B2469" t="str">
        <f>HYPERLINK("http://www.corstruth.com.au/SA/PNG2/239604_KD2A_cs.png","239604_KD2A_0.25m Bins")</f>
        <v>239604_KD2A_0.25m Bins</v>
      </c>
      <c r="C2469" t="str">
        <f>HYPERLINK("http://www.corstruth.com.au/SA/CSV/239604_KD2A.csv","239604_KD2A_CSV File 1m Bins")</f>
        <v>239604_KD2A_CSV File 1m Bins</v>
      </c>
      <c r="D2469">
        <v>239604</v>
      </c>
      <c r="E2469" t="s">
        <v>2163</v>
      </c>
      <c r="F2469" t="str">
        <f>HYPERLINK("https://drillhole.pir.sa.gov.au/Details.aspx?DRILLHOLE_NO=239604","Geol Survey Link")</f>
        <v>Geol Survey Link</v>
      </c>
      <c r="I2469">
        <v>-30.215299999999999</v>
      </c>
      <c r="J2469">
        <v>132.03100000000001</v>
      </c>
      <c r="K2469" t="str">
        <f>HYPERLINK("https://sarigdata.pir.sa.gov.au/nvcl/NVCLDataServices/mosaic.html?datasetid=635a3017-aecb-4da4-9b34-9ffa7926c25","239604_KD2A_Core Image")</f>
        <v>239604_KD2A_Core Image</v>
      </c>
    </row>
    <row r="2470" spans="1:11" x14ac:dyDescent="0.25">
      <c r="A2470" t="str">
        <f>HYPERLINK("http://www.corstruth.com.au/SA/239706_EWHDDH01_cs.png","239706_EWHDDH01_A4")</f>
        <v>239706_EWHDDH01_A4</v>
      </c>
      <c r="B2470" t="str">
        <f>HYPERLINK("http://www.corstruth.com.au/SA/PNG2/239706_EWHDDH01_cs.png","239706_EWHDDH01_0.25m Bins")</f>
        <v>239706_EWHDDH01_0.25m Bins</v>
      </c>
      <c r="C2470" t="str">
        <f>HYPERLINK("http://www.corstruth.com.au/SA/CSV/239706_EWHDDH01.csv","239706_EWHDDH01_CSV File 1m Bins")</f>
        <v>239706_EWHDDH01_CSV File 1m Bins</v>
      </c>
      <c r="D2470">
        <v>239706</v>
      </c>
      <c r="E2470" t="s">
        <v>2163</v>
      </c>
      <c r="F2470" t="str">
        <f>HYPERLINK("https://drillhole.pir.sa.gov.au/Details.aspx?DRILLHOLE_NO=239706","Geol Survey Link")</f>
        <v>Geol Survey Link</v>
      </c>
      <c r="I2470">
        <v>-27.373999999999999</v>
      </c>
      <c r="J2470">
        <v>134.083</v>
      </c>
      <c r="K2470" t="str">
        <f>HYPERLINK("https://sarigdata.pir.sa.gov.au/nvcl/NVCLDataServices/mosaic.html?datasetid=d066cadd-4ac6-4d7f-ad2f-7384b68179c","239706_EWHDDH01_Core Image")</f>
        <v>239706_EWHDDH01_Core Image</v>
      </c>
    </row>
    <row r="2471" spans="1:11" x14ac:dyDescent="0.25">
      <c r="A2471" t="str">
        <f>HYPERLINK("http://www.corstruth.com.au/SA/239707_EWHDDH02_cs.png","239707_EWHDDH02_A4")</f>
        <v>239707_EWHDDH02_A4</v>
      </c>
      <c r="D2471">
        <v>239707</v>
      </c>
      <c r="E2471" t="s">
        <v>2163</v>
      </c>
      <c r="F2471" t="str">
        <f>HYPERLINK("https://drillhole.pir.sa.gov.au/Details.aspx?DRILLHOLE_NO=239707","Geol Survey Link")</f>
        <v>Geol Survey Link</v>
      </c>
      <c r="I2471">
        <v>-27.3613</v>
      </c>
      <c r="J2471">
        <v>134.06700000000001</v>
      </c>
      <c r="K2471" t="str">
        <f>HYPERLINK("https://sarigdata.pir.sa.gov.au/nvcl/NVCLDataServices/mosaic.html?datasetid=298271a7-007c-4779-941d-7b38523c909","239707_EWHDDH02_Core Image")</f>
        <v>239707_EWHDDH02_Core Image</v>
      </c>
    </row>
    <row r="2472" spans="1:11" x14ac:dyDescent="0.25">
      <c r="A2472" t="str">
        <f>HYPERLINK("http://www.corstruth.com.au/SA/239717_BKDDH01_cs.png","239717_BKDDH01_A4")</f>
        <v>239717_BKDDH01_A4</v>
      </c>
      <c r="D2472">
        <v>239717</v>
      </c>
      <c r="E2472" t="s">
        <v>2163</v>
      </c>
      <c r="F2472" t="str">
        <f>HYPERLINK("https://drillhole.pir.sa.gov.au/Details.aspx?DRILLHOLE_NO=239717","Geol Survey Link")</f>
        <v>Geol Survey Link</v>
      </c>
      <c r="I2472">
        <v>-29.959900000000001</v>
      </c>
      <c r="J2472">
        <v>136.053</v>
      </c>
      <c r="K2472" t="str">
        <f>HYPERLINK("https://sarigdata.pir.sa.gov.au/nvcl/NVCLDataServices/mosaic.html?datasetid=b86272bb-e440-41e0-9e13-7b74e2c2c58","239717_BKDDH01_Core Image")</f>
        <v>239717_BKDDH01_Core Image</v>
      </c>
    </row>
    <row r="2473" spans="1:11" x14ac:dyDescent="0.25">
      <c r="A2473" t="str">
        <f>HYPERLINK("http://www.corstruth.com.au/SA/239718_BKDDH02_cs.png","239718_BKDDH02_A4")</f>
        <v>239718_BKDDH02_A4</v>
      </c>
      <c r="D2473">
        <v>239718</v>
      </c>
      <c r="E2473" t="s">
        <v>2163</v>
      </c>
      <c r="F2473" t="str">
        <f>HYPERLINK("https://drillhole.pir.sa.gov.au/Details.aspx?DRILLHOLE_NO=239718","Geol Survey Link")</f>
        <v>Geol Survey Link</v>
      </c>
      <c r="I2473">
        <v>-29.950700000000001</v>
      </c>
      <c r="J2473">
        <v>136.04599999999999</v>
      </c>
      <c r="K2473" t="str">
        <f>HYPERLINK("https://sarigdata.pir.sa.gov.au/nvcl/NVCLDataServices/mosaic.html?datasetid=634fc275-6c61-4b40-9b9c-4c97d6ee455","239718_BKDDH02_Core Image")</f>
        <v>239718_BKDDH02_Core Image</v>
      </c>
    </row>
    <row r="2474" spans="1:11" x14ac:dyDescent="0.25">
      <c r="A2474" t="str">
        <f>HYPERLINK("http://www.corstruth.com.au/SA/239767_KD_11_cs.png","239767_KD_11_A4")</f>
        <v>239767_KD_11_A4</v>
      </c>
      <c r="B2474" t="str">
        <f>HYPERLINK("http://www.corstruth.com.au/SA/PNG2/239767_KD_11_cs.png","239767_KD_11_0.25m Bins")</f>
        <v>239767_KD_11_0.25m Bins</v>
      </c>
      <c r="C2474" t="str">
        <f>HYPERLINK("http://www.corstruth.com.au/SA/CSV/239767_KD_11.csv","239767_KD_11_CSV File 1m Bins")</f>
        <v>239767_KD_11_CSV File 1m Bins</v>
      </c>
      <c r="D2474">
        <v>239767</v>
      </c>
      <c r="E2474" t="s">
        <v>2163</v>
      </c>
      <c r="F2474" t="str">
        <f>HYPERLINK("https://drillhole.pir.sa.gov.au/Details.aspx?DRILLHOLE_NO=239767","Geol Survey Link")</f>
        <v>Geol Survey Link</v>
      </c>
      <c r="I2474">
        <v>-32.415500000000002</v>
      </c>
      <c r="J2474">
        <v>140.251</v>
      </c>
      <c r="K2474" t="str">
        <f>HYPERLINK("https://sarigdata.pir.sa.gov.au/nvcl/NVCLDataServices/mosaic.html?datasetid=c926bdb9-8da9-4603-8226-916d949c3cf","239767_KD_11_Core Image")</f>
        <v>239767_KD_11_Core Image</v>
      </c>
    </row>
    <row r="2475" spans="1:11" x14ac:dyDescent="0.25">
      <c r="A2475" t="str">
        <f>HYPERLINK("http://www.corstruth.com.au/SA/239890_TD4_cs.png","239890_TD4_A4")</f>
        <v>239890_TD4_A4</v>
      </c>
      <c r="B2475" t="str">
        <f>HYPERLINK("http://www.corstruth.com.au/SA/PNG2/239890_TD4_cs.png","239890_TD4_0.25m Bins")</f>
        <v>239890_TD4_0.25m Bins</v>
      </c>
      <c r="C2475" t="str">
        <f>HYPERLINK("http://www.corstruth.com.au/SA/CSV/239890_TD4.csv","239890_TD4_CSV File 1m Bins")</f>
        <v>239890_TD4_CSV File 1m Bins</v>
      </c>
      <c r="D2475">
        <v>239890</v>
      </c>
      <c r="E2475" t="s">
        <v>2163</v>
      </c>
      <c r="F2475" t="str">
        <f>HYPERLINK("https://drillhole.pir.sa.gov.au/Details.aspx?DRILLHOLE_NO=239890","Geol Survey Link")</f>
        <v>Geol Survey Link</v>
      </c>
      <c r="I2475">
        <v>-30.797699999999999</v>
      </c>
      <c r="J2475">
        <v>137.614</v>
      </c>
      <c r="K2475" t="str">
        <f>HYPERLINK("https://sarigdata.pir.sa.gov.au/nvcl/NVCLDataServices/mosaic.html?datasetid=8b8f7cfe-b290-4afd-8149-f415427f93e","239890_TD4_Core Image")</f>
        <v>239890_TD4_Core Image</v>
      </c>
    </row>
    <row r="2476" spans="1:11" x14ac:dyDescent="0.25">
      <c r="A2476" t="str">
        <f>HYPERLINK("http://www.corstruth.com.au/SA/239891_TD5_cs.png","239891_TD5_A4")</f>
        <v>239891_TD5_A4</v>
      </c>
      <c r="B2476" t="str">
        <f>HYPERLINK("http://www.corstruth.com.au/SA/PNG2/239891_TD5_cs.png","239891_TD5_0.25m Bins")</f>
        <v>239891_TD5_0.25m Bins</v>
      </c>
      <c r="C2476" t="str">
        <f>HYPERLINK("http://www.corstruth.com.au/SA/CSV/239891_TD5.csv","239891_TD5_CSV File 1m Bins")</f>
        <v>239891_TD5_CSV File 1m Bins</v>
      </c>
      <c r="D2476">
        <v>239891</v>
      </c>
      <c r="E2476" t="s">
        <v>2163</v>
      </c>
      <c r="F2476" t="str">
        <f>HYPERLINK("https://drillhole.pir.sa.gov.au/Details.aspx?DRILLHOLE_NO=239891","Geol Survey Link")</f>
        <v>Geol Survey Link</v>
      </c>
      <c r="I2476">
        <v>-30.797699999999999</v>
      </c>
      <c r="J2476">
        <v>137.614</v>
      </c>
      <c r="K2476" t="str">
        <f>HYPERLINK("https://sarigdata.pir.sa.gov.au/nvcl/NVCLDataServices/mosaic.html?datasetid=b8dc8ad8-51d8-4f5e-b733-48628958f70","239891_TD5_Core Image")</f>
        <v>239891_TD5_Core Image</v>
      </c>
    </row>
    <row r="2477" spans="1:11" x14ac:dyDescent="0.25">
      <c r="A2477" t="str">
        <f>HYPERLINK("http://www.corstruth.com.au/SA/239892_TD006_cs.png","239892_TD006_A4")</f>
        <v>239892_TD006_A4</v>
      </c>
      <c r="B2477" t="str">
        <f>HYPERLINK("http://www.corstruth.com.au/SA/PNG2/239892_TD006_cs.png","239892_TD006_0.25m Bins")</f>
        <v>239892_TD006_0.25m Bins</v>
      </c>
      <c r="C2477" t="str">
        <f>HYPERLINK("http://www.corstruth.com.au/SA/CSV/239892_TD006.csv","239892_TD006_CSV File 1m Bins")</f>
        <v>239892_TD006_CSV File 1m Bins</v>
      </c>
      <c r="D2477">
        <v>239892</v>
      </c>
      <c r="E2477" t="s">
        <v>2163</v>
      </c>
      <c r="F2477" t="str">
        <f>HYPERLINK("https://drillhole.pir.sa.gov.au/Details.aspx?DRILLHOLE_NO=239892","Geol Survey Link")</f>
        <v>Geol Survey Link</v>
      </c>
      <c r="I2477">
        <v>-30.782599999999999</v>
      </c>
      <c r="J2477">
        <v>137.59399999999999</v>
      </c>
      <c r="K2477" t="str">
        <f>HYPERLINK("https://sarigdata.pir.sa.gov.au/nvcl/NVCLDataServices/mosaic.html?datasetid=3582b1e8-c836-4136-bf40-2e518b23ef8","239892_TD006_Core Image")</f>
        <v>239892_TD006_Core Image</v>
      </c>
    </row>
    <row r="2478" spans="1:11" x14ac:dyDescent="0.25">
      <c r="A2478" t="str">
        <f>HYPERLINK("http://www.corstruth.com.au/SA/240038_NTDD001_cs.png","240038_NTDD001_A4")</f>
        <v>240038_NTDD001_A4</v>
      </c>
      <c r="B2478" t="str">
        <f>HYPERLINK("http://www.corstruth.com.au/SA/PNG2/240038_NTDD001_cs.png","240038_NTDD001_0.25m Bins")</f>
        <v>240038_NTDD001_0.25m Bins</v>
      </c>
      <c r="C2478" t="str">
        <f>HYPERLINK("http://www.corstruth.com.au/SA/CSV/240038_NTDD001.csv","240038_NTDD001_CSV File 1m Bins")</f>
        <v>240038_NTDD001_CSV File 1m Bins</v>
      </c>
      <c r="D2478">
        <v>240038</v>
      </c>
      <c r="E2478" t="s">
        <v>2163</v>
      </c>
      <c r="F2478" t="str">
        <f>HYPERLINK("https://drillhole.pir.sa.gov.au/Details.aspx?DRILLHOLE_NO=240038","Geol Survey Link")</f>
        <v>Geol Survey Link</v>
      </c>
      <c r="I2478">
        <v>-32.802999999999997</v>
      </c>
      <c r="J2478">
        <v>140.05000000000001</v>
      </c>
      <c r="K2478" t="str">
        <f>HYPERLINK("https://sarigdata.pir.sa.gov.au/nvcl/NVCLDataServices/mosaic.html?datasetid=84d511d4-b3ec-49da-8f72-1895ecca94d","240038_NTDD001_Core Image")</f>
        <v>240038_NTDD001_Core Image</v>
      </c>
    </row>
    <row r="2479" spans="1:11" x14ac:dyDescent="0.25">
      <c r="A2479" t="str">
        <f>HYPERLINK("http://www.corstruth.com.au/SA/240039_NTDD002_cs.png","240039_NTDD002_A4")</f>
        <v>240039_NTDD002_A4</v>
      </c>
      <c r="B2479" t="str">
        <f>HYPERLINK("http://www.corstruth.com.au/SA/PNG2/240039_NTDD002_cs.png","240039_NTDD002_0.25m Bins")</f>
        <v>240039_NTDD002_0.25m Bins</v>
      </c>
      <c r="C2479" t="str">
        <f>HYPERLINK("http://www.corstruth.com.au/SA/CSV/240039_NTDD002.csv","240039_NTDD002_CSV File 1m Bins")</f>
        <v>240039_NTDD002_CSV File 1m Bins</v>
      </c>
      <c r="D2479">
        <v>240039</v>
      </c>
      <c r="E2479" t="s">
        <v>2163</v>
      </c>
      <c r="F2479" t="str">
        <f>HYPERLINK("https://drillhole.pir.sa.gov.au/Details.aspx?DRILLHOLE_NO=240039","Geol Survey Link")</f>
        <v>Geol Survey Link</v>
      </c>
      <c r="I2479">
        <v>-32.8018</v>
      </c>
      <c r="J2479">
        <v>140.047</v>
      </c>
      <c r="K2479" t="str">
        <f>HYPERLINK("https://sarigdata.pir.sa.gov.au/nvcl/NVCLDataServices/mosaic.html?datasetid=bc065398-9106-4c24-9414-1d7ac059a24","240039_NTDD002_Core Image")</f>
        <v>240039_NTDD002_Core Image</v>
      </c>
    </row>
    <row r="2480" spans="1:11" x14ac:dyDescent="0.25">
      <c r="A2480" t="str">
        <f>HYPERLINK("http://www.corstruth.com.au/SA/240040_NTDD003_cs.png","240040_NTDD003_A4")</f>
        <v>240040_NTDD003_A4</v>
      </c>
      <c r="B2480" t="str">
        <f>HYPERLINK("http://www.corstruth.com.au/SA/PNG2/240040_NTDD003_cs.png","240040_NTDD003_0.25m Bins")</f>
        <v>240040_NTDD003_0.25m Bins</v>
      </c>
      <c r="C2480" t="str">
        <f>HYPERLINK("http://www.corstruth.com.au/SA/CSV/240040_NTDD003.csv","240040_NTDD003_CSV File 1m Bins")</f>
        <v>240040_NTDD003_CSV File 1m Bins</v>
      </c>
      <c r="D2480">
        <v>240040</v>
      </c>
      <c r="E2480" t="s">
        <v>2163</v>
      </c>
      <c r="F2480" t="str">
        <f>HYPERLINK("https://drillhole.pir.sa.gov.au/Details.aspx?DRILLHOLE_NO=240040","Geol Survey Link")</f>
        <v>Geol Survey Link</v>
      </c>
      <c r="I2480">
        <v>-32.805999999999997</v>
      </c>
      <c r="J2480">
        <v>140.042</v>
      </c>
      <c r="K2480" t="str">
        <f>HYPERLINK("https://sarigdata.pir.sa.gov.au/nvcl/NVCLDataServices/mosaic.html?datasetid=adecea7f-7290-4541-a261-2aba54a0a5a","240040_NTDD003_Core Image")</f>
        <v>240040_NTDD003_Core Image</v>
      </c>
    </row>
    <row r="2481" spans="1:11" x14ac:dyDescent="0.25">
      <c r="A2481" t="str">
        <f>HYPERLINK("http://www.corstruth.com.au/SA/240041_NTDD004_cs.png","240041_NTDD004_A4")</f>
        <v>240041_NTDD004_A4</v>
      </c>
      <c r="B2481" t="str">
        <f>HYPERLINK("http://www.corstruth.com.au/SA/PNG2/240041_NTDD004_cs.png","240041_NTDD004_0.25m Bins")</f>
        <v>240041_NTDD004_0.25m Bins</v>
      </c>
      <c r="C2481" t="str">
        <f>HYPERLINK("http://www.corstruth.com.au/SA/CSV/240041_NTDD004.csv","240041_NTDD004_CSV File 1m Bins")</f>
        <v>240041_NTDD004_CSV File 1m Bins</v>
      </c>
      <c r="D2481">
        <v>240041</v>
      </c>
      <c r="E2481" t="s">
        <v>2163</v>
      </c>
      <c r="F2481" t="str">
        <f>HYPERLINK("https://drillhole.pir.sa.gov.au/Details.aspx?DRILLHOLE_NO=240041","Geol Survey Link")</f>
        <v>Geol Survey Link</v>
      </c>
      <c r="I2481">
        <v>-32.805999999999997</v>
      </c>
      <c r="J2481">
        <v>140.042</v>
      </c>
      <c r="K2481" t="str">
        <f>HYPERLINK("https://sarigdata.pir.sa.gov.au/nvcl/NVCLDataServices/mosaic.html?datasetid=bedcdb3b-2d36-4f1a-8702-9f79821071b","240041_NTDD004_Core Image")</f>
        <v>240041_NTDD004_Core Image</v>
      </c>
    </row>
    <row r="2482" spans="1:11" x14ac:dyDescent="0.25">
      <c r="A2482" t="str">
        <f>HYPERLINK("http://www.corstruth.com.au/SA/240044_COD11_cs.png","240044_COD11_A4")</f>
        <v>240044_COD11_A4</v>
      </c>
      <c r="B2482" t="str">
        <f>HYPERLINK("http://www.corstruth.com.au/SA/PNG2/240044_COD11_cs.png","240044_COD11_0.25m Bins")</f>
        <v>240044_COD11_0.25m Bins</v>
      </c>
      <c r="C2482" t="str">
        <f>HYPERLINK("http://www.corstruth.com.au/SA/CSV/240044_COD11.csv","240044_COD11_CSV File 1m Bins")</f>
        <v>240044_COD11_CSV File 1m Bins</v>
      </c>
      <c r="D2482">
        <v>240044</v>
      </c>
      <c r="E2482" t="s">
        <v>2163</v>
      </c>
      <c r="F2482" t="str">
        <f>HYPERLINK("https://drillhole.pir.sa.gov.au/Details.aspx?DRILLHOLE_NO=240044","Geol Survey Link")</f>
        <v>Geol Survey Link</v>
      </c>
      <c r="I2482">
        <v>-33.594000000000001</v>
      </c>
      <c r="J2482">
        <v>137.226</v>
      </c>
      <c r="K2482" t="str">
        <f>HYPERLINK("https://sarigdata.pir.sa.gov.au/nvcl/NVCLDataServices/mosaic.html?datasetid=6e2a48a1-9fdb-43e4-a51f-36f5e8bb66f","240044_COD11_Core Image")</f>
        <v>240044_COD11_Core Image</v>
      </c>
    </row>
    <row r="2483" spans="1:11" x14ac:dyDescent="0.25">
      <c r="A2483" t="str">
        <f>HYPERLINK("http://www.corstruth.com.au/SA/240045_COD12_cs.png","240045_COD12_A4")</f>
        <v>240045_COD12_A4</v>
      </c>
      <c r="B2483" t="str">
        <f>HYPERLINK("http://www.corstruth.com.au/SA/PNG2/240045_COD12_cs.png","240045_COD12_0.25m Bins")</f>
        <v>240045_COD12_0.25m Bins</v>
      </c>
      <c r="C2483" t="str">
        <f>HYPERLINK("http://www.corstruth.com.au/SA/CSV/240045_COD12.csv","240045_COD12_CSV File 1m Bins")</f>
        <v>240045_COD12_CSV File 1m Bins</v>
      </c>
      <c r="D2483">
        <v>240045</v>
      </c>
      <c r="E2483" t="s">
        <v>2163</v>
      </c>
      <c r="F2483" t="str">
        <f>HYPERLINK("https://drillhole.pir.sa.gov.au/Details.aspx?DRILLHOLE_NO=240045","Geol Survey Link")</f>
        <v>Geol Survey Link</v>
      </c>
      <c r="I2483">
        <v>-33.6008</v>
      </c>
      <c r="J2483">
        <v>137.21700000000001</v>
      </c>
      <c r="K2483" t="str">
        <f>HYPERLINK("https://sarigdata.pir.sa.gov.au/nvcl/NVCLDataServices/mosaic.html?datasetid=cae412f8-f492-4fe1-9f64-88ecc2c82a1","240045_COD12_Core Image")</f>
        <v>240045_COD12_Core Image</v>
      </c>
    </row>
    <row r="2484" spans="1:11" x14ac:dyDescent="0.25">
      <c r="A2484" t="str">
        <f>HYPERLINK("http://www.corstruth.com.au/SA/240046_COD13_cs.png","240046_COD13_A4")</f>
        <v>240046_COD13_A4</v>
      </c>
      <c r="B2484" t="str">
        <f>HYPERLINK("http://www.corstruth.com.au/SA/PNG2/240046_COD13_cs.png","240046_COD13_0.25m Bins")</f>
        <v>240046_COD13_0.25m Bins</v>
      </c>
      <c r="C2484" t="str">
        <f>HYPERLINK("http://www.corstruth.com.au/SA/CSV/240046_COD13.csv","240046_COD13_CSV File 1m Bins")</f>
        <v>240046_COD13_CSV File 1m Bins</v>
      </c>
      <c r="D2484">
        <v>240046</v>
      </c>
      <c r="E2484" t="s">
        <v>2163</v>
      </c>
      <c r="F2484" t="str">
        <f>HYPERLINK("https://drillhole.pir.sa.gov.au/Details.aspx?DRILLHOLE_NO=240046","Geol Survey Link")</f>
        <v>Geol Survey Link</v>
      </c>
      <c r="I2484">
        <v>-33.553100000000001</v>
      </c>
      <c r="J2484">
        <v>137.25899999999999</v>
      </c>
      <c r="K2484" t="str">
        <f>HYPERLINK("https://sarigdata.pir.sa.gov.au/nvcl/NVCLDataServices/mosaic.html?datasetid=f8ac3230-aba1-4f87-9e06-c61263ff997","240046_COD13_Core Image")</f>
        <v>240046_COD13_Core Image</v>
      </c>
    </row>
    <row r="2485" spans="1:11" x14ac:dyDescent="0.25">
      <c r="A2485" t="str">
        <f>HYPERLINK("http://www.corstruth.com.au/SA/240047_COD14_cs.png","240047_COD14_A4")</f>
        <v>240047_COD14_A4</v>
      </c>
      <c r="B2485" t="str">
        <f>HYPERLINK("http://www.corstruth.com.au/SA/PNG2/240047_COD14_cs.png","240047_COD14_0.25m Bins")</f>
        <v>240047_COD14_0.25m Bins</v>
      </c>
      <c r="C2485" t="str">
        <f>HYPERLINK("http://www.corstruth.com.au/SA/CSV/240047_COD14.csv","240047_COD14_CSV File 1m Bins")</f>
        <v>240047_COD14_CSV File 1m Bins</v>
      </c>
      <c r="D2485">
        <v>240047</v>
      </c>
      <c r="E2485" t="s">
        <v>2163</v>
      </c>
      <c r="F2485" t="str">
        <f>HYPERLINK("https://drillhole.pir.sa.gov.au/Details.aspx?DRILLHOLE_NO=240047","Geol Survey Link")</f>
        <v>Geol Survey Link</v>
      </c>
      <c r="I2485">
        <v>-33.543199999999999</v>
      </c>
      <c r="J2485">
        <v>137.26</v>
      </c>
      <c r="K2485" t="str">
        <f>HYPERLINK("https://sarigdata.pir.sa.gov.au/nvcl/NVCLDataServices/mosaic.html?datasetid=242d9a75-242c-43d6-84a1-fa2f9e8dfae","240047_COD14_Core Image")</f>
        <v>240047_COD14_Core Image</v>
      </c>
    </row>
    <row r="2486" spans="1:11" x14ac:dyDescent="0.25">
      <c r="A2486" t="str">
        <f>HYPERLINK("http://www.corstruth.com.au/SA/240320_MAD01_cs.png","240320_MAD01_A4")</f>
        <v>240320_MAD01_A4</v>
      </c>
      <c r="B2486" t="str">
        <f>HYPERLINK("http://www.corstruth.com.au/SA/PNG2/240320_MAD01_cs.png","240320_MAD01_0.25m Bins")</f>
        <v>240320_MAD01_0.25m Bins</v>
      </c>
      <c r="C2486" t="str">
        <f>HYPERLINK("http://www.corstruth.com.au/SA/CSV/240320_MAD01.csv","240320_MAD01_CSV File 1m Bins")</f>
        <v>240320_MAD01_CSV File 1m Bins</v>
      </c>
      <c r="D2486">
        <v>240320</v>
      </c>
      <c r="E2486" t="s">
        <v>2163</v>
      </c>
      <c r="F2486" t="str">
        <f>HYPERLINK("https://drillhole.pir.sa.gov.au/Details.aspx?DRILLHOLE_NO=240320","Geol Survey Link")</f>
        <v>Geol Survey Link</v>
      </c>
      <c r="I2486">
        <v>-26.258500000000002</v>
      </c>
      <c r="J2486">
        <v>130.119</v>
      </c>
      <c r="K2486" t="str">
        <f>HYPERLINK("https://sarigdata.pir.sa.gov.au/nvcl/NVCLDataServices/mosaic.html?datasetid=b89516cb-49ba-4b2d-851b-05490d91635","240320_MAD01_Core Image")</f>
        <v>240320_MAD01_Core Image</v>
      </c>
    </row>
    <row r="2487" spans="1:11" x14ac:dyDescent="0.25">
      <c r="A2487" t="str">
        <f>HYPERLINK("http://www.corstruth.com.au/SA/240321_MAD02_cs.png","240321_MAD02_A4")</f>
        <v>240321_MAD02_A4</v>
      </c>
      <c r="D2487">
        <v>240321</v>
      </c>
      <c r="E2487" t="s">
        <v>2163</v>
      </c>
      <c r="F2487" t="str">
        <f>HYPERLINK("https://drillhole.pir.sa.gov.au/Details.aspx?DRILLHOLE_NO=240321","Geol Survey Link")</f>
        <v>Geol Survey Link</v>
      </c>
      <c r="I2487">
        <v>-26.2591</v>
      </c>
      <c r="J2487">
        <v>130.12100000000001</v>
      </c>
      <c r="K2487" t="str">
        <f>HYPERLINK("https://sarigdata.pir.sa.gov.au/nvcl/NVCLDataServices/mosaic.html?datasetid=33b587cb-dd7f-4d21-865c-cdb0ee49ee2","240321_MAD02_Core Image")</f>
        <v>240321_MAD02_Core Image</v>
      </c>
    </row>
    <row r="2488" spans="1:11" x14ac:dyDescent="0.25">
      <c r="A2488" t="str">
        <f>HYPERLINK("http://www.corstruth.com.au/SA/240321_MAD02_2011_cs.png","240321_MAD02_2011_A4")</f>
        <v>240321_MAD02_2011_A4</v>
      </c>
      <c r="D2488">
        <v>240321</v>
      </c>
      <c r="E2488" t="s">
        <v>2163</v>
      </c>
      <c r="F2488" t="str">
        <f>HYPERLINK("https://drillhole.pir.sa.gov.au/Details.aspx?DRILLHOLE_NO=240321","Geol Survey Link")</f>
        <v>Geol Survey Link</v>
      </c>
      <c r="I2488">
        <v>-26.2591</v>
      </c>
      <c r="J2488">
        <v>130.12100000000001</v>
      </c>
      <c r="K2488" t="str">
        <f>HYPERLINK("https://sarigdata.pir.sa.gov.au/nvcl/NVCLDataServices/mosaic.html?datasetid=33b587cb-dd7f-4d21-865c-cdb0ee49ee2","240321_MAD02_2011_Core Image")</f>
        <v>240321_MAD02_2011_Core Image</v>
      </c>
    </row>
    <row r="2489" spans="1:11" x14ac:dyDescent="0.25">
      <c r="A2489" t="str">
        <f>HYPERLINK("http://www.corstruth.com.au/SA/240506_CPN_DD3_cs.png","240506_CPN_DD3_A4")</f>
        <v>240506_CPN_DD3_A4</v>
      </c>
      <c r="D2489">
        <v>240506</v>
      </c>
      <c r="E2489" t="s">
        <v>2163</v>
      </c>
      <c r="F2489" t="str">
        <f>HYPERLINK("https://drillhole.pir.sa.gov.au/Details.aspx?DRILLHOLE_NO=240506","Geol Survey Link")</f>
        <v>Geol Survey Link</v>
      </c>
      <c r="I2489">
        <v>-29.262699999999999</v>
      </c>
      <c r="J2489">
        <v>134.93299999999999</v>
      </c>
      <c r="K2489" t="str">
        <f>HYPERLINK("https://sarigdata.pir.sa.gov.au/nvcl/NVCLDataServices/mosaic.html?datasetid=06312c77-0bd2-421b-830c-05503792427","240506_CPN_DD3_Core Image")</f>
        <v>240506_CPN_DD3_Core Image</v>
      </c>
    </row>
    <row r="2490" spans="1:11" x14ac:dyDescent="0.25">
      <c r="A2490" t="str">
        <f>HYPERLINK("http://www.corstruth.com.au/SA/240507_CPN_DD4_cs.png","240507_CPN_DD4_A4")</f>
        <v>240507_CPN_DD4_A4</v>
      </c>
      <c r="D2490">
        <v>240507</v>
      </c>
      <c r="E2490" t="s">
        <v>2163</v>
      </c>
      <c r="F2490" t="str">
        <f>HYPERLINK("https://drillhole.pir.sa.gov.au/Details.aspx?DRILLHOLE_NO=240507","Geol Survey Link")</f>
        <v>Geol Survey Link</v>
      </c>
      <c r="I2490">
        <v>-29.235600000000002</v>
      </c>
      <c r="J2490">
        <v>134.85</v>
      </c>
      <c r="K2490" t="str">
        <f>HYPERLINK("https://sarigdata.pir.sa.gov.au/nvcl/NVCLDataServices/mosaic.html?datasetid=c67a9fd1-eb08-45b4-aec2-a8a9fee5fa3","240507_CPN_DD4_Core Image")</f>
        <v>240507_CPN_DD4_Core Image</v>
      </c>
    </row>
    <row r="2491" spans="1:11" x14ac:dyDescent="0.25">
      <c r="A2491" t="str">
        <f>HYPERLINK("http://www.corstruth.com.au/SA/240508_CPN_DD5_cs.png","240508_CPN_DD5_A4")</f>
        <v>240508_CPN_DD5_A4</v>
      </c>
      <c r="D2491">
        <v>240508</v>
      </c>
      <c r="E2491" t="s">
        <v>2163</v>
      </c>
      <c r="F2491" t="str">
        <f>HYPERLINK("https://drillhole.pir.sa.gov.au/Details.aspx?DRILLHOLE_NO=240508","Geol Survey Link")</f>
        <v>Geol Survey Link</v>
      </c>
      <c r="I2491">
        <v>-29.2392</v>
      </c>
      <c r="J2491">
        <v>134.80099999999999</v>
      </c>
      <c r="K2491" t="str">
        <f>HYPERLINK("https://sarigdata.pir.sa.gov.au/nvcl/NVCLDataServices/mosaic.html?datasetid=ee3e0376-b7cb-4240-a171-3bb17da6933","240508_CPN_DD5_Core Image")</f>
        <v>240508_CPN_DD5_Core Image</v>
      </c>
    </row>
    <row r="2492" spans="1:11" x14ac:dyDescent="0.25">
      <c r="A2492" t="str">
        <f>HYPERLINK("http://www.corstruth.com.au/SA/240509_CPN_DD7_cs.png","240509_CPN_DD7_A4")</f>
        <v>240509_CPN_DD7_A4</v>
      </c>
      <c r="D2492">
        <v>240509</v>
      </c>
      <c r="E2492" t="s">
        <v>2163</v>
      </c>
      <c r="F2492" t="str">
        <f>HYPERLINK("https://drillhole.pir.sa.gov.au/Details.aspx?DRILLHOLE_NO=240509","Geol Survey Link")</f>
        <v>Geol Survey Link</v>
      </c>
      <c r="I2492">
        <v>-29.250299999999999</v>
      </c>
      <c r="J2492">
        <v>134.767</v>
      </c>
      <c r="K2492" t="str">
        <f>HYPERLINK("https://sarigdata.pir.sa.gov.au/nvcl/NVCLDataServices/mosaic.html?datasetid=0514fa73-58ba-4ca4-918c-15abaa62583","240509_CPN_DD7_Core Image")</f>
        <v>240509_CPN_DD7_Core Image</v>
      </c>
    </row>
    <row r="2493" spans="1:11" x14ac:dyDescent="0.25">
      <c r="A2493" t="str">
        <f>HYPERLINK("http://www.corstruth.com.au/SA/24104_PUB8_SAU2_cs.png","24104_PUB8_SAU2_A4")</f>
        <v>24104_PUB8_SAU2_A4</v>
      </c>
      <c r="B2493" t="str">
        <f>HYPERLINK("http://www.corstruth.com.au/SA/PNG2/24104_PUB8_SAU2_cs.png","24104_PUB8_SAU2_0.25m Bins")</f>
        <v>24104_PUB8_SAU2_0.25m Bins</v>
      </c>
      <c r="C2493" t="str">
        <f>HYPERLINK("http://www.corstruth.com.au/SA/CSV/24104_PUB8_SAU2.csv","24104_PUB8_SAU2_CSV File 1m Bins")</f>
        <v>24104_PUB8_SAU2_CSV File 1m Bins</v>
      </c>
      <c r="D2493">
        <v>24104</v>
      </c>
      <c r="E2493" t="s">
        <v>2163</v>
      </c>
      <c r="F2493" t="str">
        <f>HYPERLINK("https://drillhole.pir.sa.gov.au/Details.aspx?DRILLHOLE_NO=24104","Geol Survey Link")</f>
        <v>Geol Survey Link</v>
      </c>
      <c r="I2493">
        <v>-32.762099999999997</v>
      </c>
      <c r="J2493">
        <v>137.57499999999999</v>
      </c>
      <c r="K2493" t="str">
        <f>HYPERLINK("https://sarigdata.pir.sa.gov.au/nvcl/NVCLDataServices/mosaic.html?datasetid=1b63a57e-b3f1-4c54-bffe-d5343ecd35f","24104_PUB8_SAU2_Core Image")</f>
        <v>24104_PUB8_SAU2_Core Image</v>
      </c>
    </row>
    <row r="2494" spans="1:11" x14ac:dyDescent="0.25">
      <c r="A2494" t="str">
        <f>HYPERLINK("http://www.corstruth.com.au/SA/24114_PUB17_SAU7_cs.png","24114_PUB17_SAU7_A4")</f>
        <v>24114_PUB17_SAU7_A4</v>
      </c>
      <c r="B2494" t="str">
        <f>HYPERLINK("http://www.corstruth.com.au/SA/PNG2/24114_PUB17_SAU7_cs.png","24114_PUB17_SAU7_0.25m Bins")</f>
        <v>24114_PUB17_SAU7_0.25m Bins</v>
      </c>
      <c r="C2494" t="str">
        <f>HYPERLINK("http://www.corstruth.com.au/SA/CSV/24114_PUB17_SAU7.csv","24114_PUB17_SAU7_CSV File 1m Bins")</f>
        <v>24114_PUB17_SAU7_CSV File 1m Bins</v>
      </c>
      <c r="D2494">
        <v>24114</v>
      </c>
      <c r="E2494" t="s">
        <v>2163</v>
      </c>
      <c r="F2494" t="str">
        <f>HYPERLINK("https://drillhole.pir.sa.gov.au/Details.aspx?DRILLHOLE_NO=24114","Geol Survey Link")</f>
        <v>Geol Survey Link</v>
      </c>
      <c r="I2494">
        <v>-32.738300000000002</v>
      </c>
      <c r="J2494">
        <v>137.52199999999999</v>
      </c>
      <c r="K2494" t="str">
        <f>HYPERLINK("https://sarigdata.pir.sa.gov.au/nvcl/NVCLDataServices/mosaic.html?datasetid=e01204e7-fddc-49d1-a05e-08551f0bcd7","24114_PUB17_SAU7_Core Image")</f>
        <v>24114_PUB17_SAU7_Core Image</v>
      </c>
    </row>
    <row r="2495" spans="1:11" x14ac:dyDescent="0.25">
      <c r="A2495" t="str">
        <f>HYPERLINK("http://www.corstruth.com.au/SA/241331_DD05PD14_cs.png","241331_DD05PD14_A4")</f>
        <v>241331_DD05PD14_A4</v>
      </c>
      <c r="B2495" t="str">
        <f>HYPERLINK("http://www.corstruth.com.au/SA/PNG2/241331_DD05PD14_cs.png","241331_DD05PD14_0.25m Bins")</f>
        <v>241331_DD05PD14_0.25m Bins</v>
      </c>
      <c r="C2495" t="str">
        <f>HYPERLINK("http://www.corstruth.com.au/SA/CSV/241331_DD05PD14.csv","241331_DD05PD14_CSV File 1m Bins")</f>
        <v>241331_DD05PD14_CSV File 1m Bins</v>
      </c>
      <c r="D2495">
        <v>241331</v>
      </c>
      <c r="E2495" t="s">
        <v>2163</v>
      </c>
      <c r="F2495" t="str">
        <f>HYPERLINK("https://drillhole.pir.sa.gov.au/Details.aspx?DRILLHOLE_NO=241331","Geol Survey Link")</f>
        <v>Geol Survey Link</v>
      </c>
      <c r="I2495">
        <v>-32.534700000000001</v>
      </c>
      <c r="J2495">
        <v>137.16800000000001</v>
      </c>
      <c r="K2495" t="str">
        <f>HYPERLINK("https://sarigdata.pir.sa.gov.au/nvcl/NVCLDataServices/mosaic.html?datasetid=1d196367-8b1b-48f8-8de2-9746bf40d0b","241331_DD05PD14_Core Image")</f>
        <v>241331_DD05PD14_Core Image</v>
      </c>
    </row>
    <row r="2496" spans="1:11" x14ac:dyDescent="0.25">
      <c r="A2496" t="str">
        <f>HYPERLINK("http://www.corstruth.com.au/SA/241332_DD05PD15_cs.png","241332_DD05PD15_A4")</f>
        <v>241332_DD05PD15_A4</v>
      </c>
      <c r="B2496" t="str">
        <f>HYPERLINK("http://www.corstruth.com.au/SA/PNG2/241332_DD05PD15_cs.png","241332_DD05PD15_0.25m Bins")</f>
        <v>241332_DD05PD15_0.25m Bins</v>
      </c>
      <c r="C2496" t="str">
        <f>HYPERLINK("http://www.corstruth.com.au/SA/CSV/241332_DD05PD15.csv","241332_DD05PD15_CSV File 1m Bins")</f>
        <v>241332_DD05PD15_CSV File 1m Bins</v>
      </c>
      <c r="D2496">
        <v>241332</v>
      </c>
      <c r="E2496" t="s">
        <v>2163</v>
      </c>
      <c r="F2496" t="str">
        <f>HYPERLINK("https://drillhole.pir.sa.gov.au/Details.aspx?DRILLHOLE_NO=241332","Geol Survey Link")</f>
        <v>Geol Survey Link</v>
      </c>
      <c r="I2496">
        <v>-32.5306</v>
      </c>
      <c r="J2496">
        <v>137.167</v>
      </c>
      <c r="K2496" t="str">
        <f>HYPERLINK("https://sarigdata.pir.sa.gov.au/nvcl/NVCLDataServices/mosaic.html?datasetid=91e4d9cd-a136-4943-8276-96267d95b27","241332_DD05PD15_Core Image")</f>
        <v>241332_DD05PD15_Core Image</v>
      </c>
    </row>
    <row r="2497" spans="1:11" x14ac:dyDescent="0.25">
      <c r="A2497" t="str">
        <f>HYPERLINK("http://www.corstruth.com.au/SA/241333_DD05PD21_cs.png","241333_DD05PD21_A4")</f>
        <v>241333_DD05PD21_A4</v>
      </c>
      <c r="B2497" t="str">
        <f>HYPERLINK("http://www.corstruth.com.au/SA/PNG2/241333_DD05PD21_cs.png","241333_DD05PD21_0.25m Bins")</f>
        <v>241333_DD05PD21_0.25m Bins</v>
      </c>
      <c r="C2497" t="str">
        <f>HYPERLINK("http://www.corstruth.com.au/SA/CSV/241333_DD05PD21.csv","241333_DD05PD21_CSV File 1m Bins")</f>
        <v>241333_DD05PD21_CSV File 1m Bins</v>
      </c>
      <c r="D2497">
        <v>241333</v>
      </c>
      <c r="E2497" t="s">
        <v>2163</v>
      </c>
      <c r="F2497" t="str">
        <f>HYPERLINK("https://drillhole.pir.sa.gov.au/Details.aspx?DRILLHOLE_NO=241333","Geol Survey Link")</f>
        <v>Geol Survey Link</v>
      </c>
      <c r="I2497">
        <v>-32.535299999999999</v>
      </c>
      <c r="J2497">
        <v>137.173</v>
      </c>
      <c r="K2497" t="str">
        <f>HYPERLINK("https://sarigdata.pir.sa.gov.au/nvcl/NVCLDataServices/mosaic.html?datasetid=bfc2fc51-1e3a-4753-bd7e-0e825965081","241333_DD05PD21_Core Image")</f>
        <v>241333_DD05PD21_Core Image</v>
      </c>
    </row>
    <row r="2498" spans="1:11" x14ac:dyDescent="0.25">
      <c r="A2498" t="str">
        <f>HYPERLINK("http://www.corstruth.com.au/SA/241334_DD06PD30_cs.png","241334_DD06PD30_A4")</f>
        <v>241334_DD06PD30_A4</v>
      </c>
      <c r="B2498" t="str">
        <f>HYPERLINK("http://www.corstruth.com.au/SA/PNG2/241334_DD06PD30_cs.png","241334_DD06PD30_0.25m Bins")</f>
        <v>241334_DD06PD30_0.25m Bins</v>
      </c>
      <c r="C2498" t="str">
        <f>HYPERLINK("http://www.corstruth.com.au/SA/CSV/241334_DD06PD30.csv","241334_DD06PD30_CSV File 1m Bins")</f>
        <v>241334_DD06PD30_CSV File 1m Bins</v>
      </c>
      <c r="D2498">
        <v>241334</v>
      </c>
      <c r="E2498" t="s">
        <v>2163</v>
      </c>
      <c r="F2498" t="str">
        <f>HYPERLINK("https://drillhole.pir.sa.gov.au/Details.aspx?DRILLHOLE_NO=241334","Geol Survey Link")</f>
        <v>Geol Survey Link</v>
      </c>
      <c r="I2498">
        <v>-32.533799999999999</v>
      </c>
      <c r="J2498">
        <v>137.173</v>
      </c>
      <c r="K2498" t="str">
        <f>HYPERLINK("https://sarigdata.pir.sa.gov.au/nvcl/NVCLDataServices/mosaic.html?datasetid=51cac7f2-d1c0-41e3-925e-7e4c8b1b6c8","241334_DD06PD30_Core Image")</f>
        <v>241334_DD06PD30_Core Image</v>
      </c>
    </row>
    <row r="2499" spans="1:11" x14ac:dyDescent="0.25">
      <c r="A2499" t="str">
        <f>HYPERLINK("http://www.corstruth.com.au/SA/241335_DD06PD31_cs.png","241335_DD06PD31_A4")</f>
        <v>241335_DD06PD31_A4</v>
      </c>
      <c r="B2499" t="str">
        <f>HYPERLINK("http://www.corstruth.com.au/SA/PNG2/241335_DD06PD31_cs.png","241335_DD06PD31_0.25m Bins")</f>
        <v>241335_DD06PD31_0.25m Bins</v>
      </c>
      <c r="C2499" t="str">
        <f>HYPERLINK("http://www.corstruth.com.au/SA/CSV/241335_DD06PD31.csv","241335_DD06PD31_CSV File 1m Bins")</f>
        <v>241335_DD06PD31_CSV File 1m Bins</v>
      </c>
      <c r="D2499">
        <v>241335</v>
      </c>
      <c r="E2499" t="s">
        <v>2163</v>
      </c>
      <c r="F2499" t="str">
        <f>HYPERLINK("https://drillhole.pir.sa.gov.au/Details.aspx?DRILLHOLE_NO=241335","Geol Survey Link")</f>
        <v>Geol Survey Link</v>
      </c>
      <c r="I2499">
        <v>-32.534999999999997</v>
      </c>
      <c r="J2499">
        <v>137.17099999999999</v>
      </c>
      <c r="K2499" t="str">
        <f>HYPERLINK("https://sarigdata.pir.sa.gov.au/nvcl/NVCLDataServices/mosaic.html?datasetid=e027d8ab-37a6-4582-9b02-24c751e6d8d","241335_DD06PD31_Core Image")</f>
        <v>241335_DD06PD31_Core Image</v>
      </c>
    </row>
    <row r="2500" spans="1:11" x14ac:dyDescent="0.25">
      <c r="A2500" t="str">
        <f>HYPERLINK("http://www.corstruth.com.au/SA/241336_DD06PD56_cs.png","241336_DD06PD56_A4")</f>
        <v>241336_DD06PD56_A4</v>
      </c>
      <c r="B2500" t="str">
        <f>HYPERLINK("http://www.corstruth.com.au/SA/PNG2/241336_DD06PD56_cs.png","241336_DD06PD56_0.25m Bins")</f>
        <v>241336_DD06PD56_0.25m Bins</v>
      </c>
      <c r="C2500" t="str">
        <f>HYPERLINK("http://www.corstruth.com.au/SA/CSV/241336_DD06PD56.csv","241336_DD06PD56_CSV File 1m Bins")</f>
        <v>241336_DD06PD56_CSV File 1m Bins</v>
      </c>
      <c r="D2500">
        <v>241336</v>
      </c>
      <c r="E2500" t="s">
        <v>2163</v>
      </c>
      <c r="F2500" t="str">
        <f>HYPERLINK("https://drillhole.pir.sa.gov.au/Details.aspx?DRILLHOLE_NO=241336","Geol Survey Link")</f>
        <v>Geol Survey Link</v>
      </c>
      <c r="I2500">
        <v>-32.533700000000003</v>
      </c>
      <c r="J2500">
        <v>137.173</v>
      </c>
      <c r="K2500" t="str">
        <f>HYPERLINK("https://sarigdata.pir.sa.gov.au/nvcl/NVCLDataServices/mosaic.html?datasetid=91ca2d6c-f41f-4618-82b0-a42ab89262e","241336_DD06PD56_Core Image")</f>
        <v>241336_DD06PD56_Core Image</v>
      </c>
    </row>
    <row r="2501" spans="1:11" x14ac:dyDescent="0.25">
      <c r="A2501" t="str">
        <f>HYPERLINK("http://www.corstruth.com.au/SA/241337_DD07PD57_cs.png","241337_DD07PD57_A4")</f>
        <v>241337_DD07PD57_A4</v>
      </c>
      <c r="B2501" t="str">
        <f>HYPERLINK("http://www.corstruth.com.au/SA/PNG2/241337_DD07PD57_cs.png","241337_DD07PD57_0.25m Bins")</f>
        <v>241337_DD07PD57_0.25m Bins</v>
      </c>
      <c r="C2501" t="str">
        <f>HYPERLINK("http://www.corstruth.com.au/SA/CSV/241337_DD07PD57.csv","241337_DD07PD57_CSV File 1m Bins")</f>
        <v>241337_DD07PD57_CSV File 1m Bins</v>
      </c>
      <c r="D2501">
        <v>241337</v>
      </c>
      <c r="E2501" t="s">
        <v>2163</v>
      </c>
      <c r="F2501" t="str">
        <f>HYPERLINK("https://drillhole.pir.sa.gov.au/Details.aspx?DRILLHOLE_NO=241337","Geol Survey Link")</f>
        <v>Geol Survey Link</v>
      </c>
      <c r="I2501">
        <v>-32.533200000000001</v>
      </c>
      <c r="J2501">
        <v>137.17500000000001</v>
      </c>
      <c r="K2501" t="str">
        <f>HYPERLINK("https://sarigdata.pir.sa.gov.au/nvcl/NVCLDataServices/mosaic.html?datasetid=312b9835-ca4f-44f9-8a9f-3326a927d5e","241337_DD07PD57_Core Image")</f>
        <v>241337_DD07PD57_Core Image</v>
      </c>
    </row>
    <row r="2502" spans="1:11" x14ac:dyDescent="0.25">
      <c r="A2502" t="str">
        <f>HYPERLINK("http://www.corstruth.com.au/SA/241338_DD07PD58_cs.png","241338_DD07PD58_A4")</f>
        <v>241338_DD07PD58_A4</v>
      </c>
      <c r="B2502" t="str">
        <f>HYPERLINK("http://www.corstruth.com.au/SA/PNG2/241338_DD07PD58_cs.png","241338_DD07PD58_0.25m Bins")</f>
        <v>241338_DD07PD58_0.25m Bins</v>
      </c>
      <c r="C2502" t="str">
        <f>HYPERLINK("http://www.corstruth.com.au/SA/CSV/241338_DD07PD58.csv","241338_DD07PD58_CSV File 1m Bins")</f>
        <v>241338_DD07PD58_CSV File 1m Bins</v>
      </c>
      <c r="D2502">
        <v>241338</v>
      </c>
      <c r="E2502" t="s">
        <v>2163</v>
      </c>
      <c r="F2502" t="str">
        <f>HYPERLINK("https://drillhole.pir.sa.gov.au/Details.aspx?DRILLHOLE_NO=241338","Geol Survey Link")</f>
        <v>Geol Survey Link</v>
      </c>
      <c r="I2502">
        <v>-32.528700000000001</v>
      </c>
      <c r="J2502">
        <v>137.172</v>
      </c>
      <c r="K2502" t="str">
        <f>HYPERLINK("https://sarigdata.pir.sa.gov.au/nvcl/NVCLDataServices/mosaic.html?datasetid=a1521a16-6c60-4aeb-8d4b-ee84c0404bb","241338_DD07PD58_Core Image")</f>
        <v>241338_DD07PD58_Core Image</v>
      </c>
    </row>
    <row r="2503" spans="1:11" x14ac:dyDescent="0.25">
      <c r="A2503" t="str">
        <f>HYPERLINK("http://www.corstruth.com.au/SA/241339_DD07PD59_cs.png","241339_DD07PD59_A4")</f>
        <v>241339_DD07PD59_A4</v>
      </c>
      <c r="B2503" t="str">
        <f>HYPERLINK("http://www.corstruth.com.au/SA/PNG2/241339_DD07PD59_cs.png","241339_DD07PD59_0.25m Bins")</f>
        <v>241339_DD07PD59_0.25m Bins</v>
      </c>
      <c r="C2503" t="str">
        <f>HYPERLINK("http://www.corstruth.com.au/SA/CSV/241339_DD07PD59.csv","241339_DD07PD59_CSV File 1m Bins")</f>
        <v>241339_DD07PD59_CSV File 1m Bins</v>
      </c>
      <c r="D2503">
        <v>241339</v>
      </c>
      <c r="E2503" t="s">
        <v>2163</v>
      </c>
      <c r="F2503" t="str">
        <f>HYPERLINK("https://drillhole.pir.sa.gov.au/Details.aspx?DRILLHOLE_NO=241339","Geol Survey Link")</f>
        <v>Geol Survey Link</v>
      </c>
      <c r="I2503">
        <v>-32.532400000000003</v>
      </c>
      <c r="J2503">
        <v>137.16999999999999</v>
      </c>
      <c r="K2503" t="str">
        <f>HYPERLINK("https://sarigdata.pir.sa.gov.au/nvcl/NVCLDataServices/mosaic.html?datasetid=da02ef18-a7d6-44ee-87e6-3703c0a8bb5","241339_DD07PD59_Core Image")</f>
        <v>241339_DD07PD59_Core Image</v>
      </c>
    </row>
    <row r="2504" spans="1:11" x14ac:dyDescent="0.25">
      <c r="A2504" t="str">
        <f>HYPERLINK("http://www.corstruth.com.au/SA/241340_DD07PD62_cs.png","241340_DD07PD62_A4")</f>
        <v>241340_DD07PD62_A4</v>
      </c>
      <c r="B2504" t="str">
        <f>HYPERLINK("http://www.corstruth.com.au/SA/PNG2/241340_DD07PD62_cs.png","241340_DD07PD62_0.25m Bins")</f>
        <v>241340_DD07PD62_0.25m Bins</v>
      </c>
      <c r="C2504" t="str">
        <f>HYPERLINK("http://www.corstruth.com.au/SA/CSV/241340_DD07PD62.csv","241340_DD07PD62_CSV File 1m Bins")</f>
        <v>241340_DD07PD62_CSV File 1m Bins</v>
      </c>
      <c r="D2504">
        <v>241340</v>
      </c>
      <c r="E2504" t="s">
        <v>2163</v>
      </c>
      <c r="F2504" t="str">
        <f>HYPERLINK("https://drillhole.pir.sa.gov.au/Details.aspx?DRILLHOLE_NO=241340","Geol Survey Link")</f>
        <v>Geol Survey Link</v>
      </c>
      <c r="I2504">
        <v>-32.5274</v>
      </c>
      <c r="J2504">
        <v>137.16</v>
      </c>
      <c r="K2504" t="str">
        <f>HYPERLINK("https://sarigdata.pir.sa.gov.au/nvcl/NVCLDataServices/mosaic.html?datasetid=b63a5181-65b9-472c-888a-679a2e6b022","241340_DD07PD62_Core Image")</f>
        <v>241340_DD07PD62_Core Image</v>
      </c>
    </row>
    <row r="2505" spans="1:11" x14ac:dyDescent="0.25">
      <c r="A2505" t="str">
        <f>HYPERLINK("http://www.corstruth.com.au/SA/241341_DD07PD65_cs.png","241341_DD07PD65_A4")</f>
        <v>241341_DD07PD65_A4</v>
      </c>
      <c r="B2505" t="str">
        <f>HYPERLINK("http://www.corstruth.com.au/SA/PNG2/241341_DD07PD65_cs.png","241341_DD07PD65_0.25m Bins")</f>
        <v>241341_DD07PD65_0.25m Bins</v>
      </c>
      <c r="C2505" t="str">
        <f>HYPERLINK("http://www.corstruth.com.au/SA/CSV/241341_DD07PD65.csv","241341_DD07PD65_CSV File 1m Bins")</f>
        <v>241341_DD07PD65_CSV File 1m Bins</v>
      </c>
      <c r="D2505">
        <v>241341</v>
      </c>
      <c r="E2505" t="s">
        <v>2163</v>
      </c>
      <c r="F2505" t="str">
        <f>HYPERLINK("https://drillhole.pir.sa.gov.au/Details.aspx?DRILLHOLE_NO=241341","Geol Survey Link")</f>
        <v>Geol Survey Link</v>
      </c>
      <c r="I2505">
        <v>-32.535299999999999</v>
      </c>
      <c r="J2505">
        <v>137.16999999999999</v>
      </c>
      <c r="K2505" t="str">
        <f>HYPERLINK("https://sarigdata.pir.sa.gov.au/nvcl/NVCLDataServices/mosaic.html?datasetid=cc284202-ceee-4dad-b04e-d0fb1150173","241341_DD07PD65_Core Image")</f>
        <v>241341_DD07PD65_Core Image</v>
      </c>
    </row>
    <row r="2506" spans="1:11" x14ac:dyDescent="0.25">
      <c r="A2506" t="str">
        <f>HYPERLINK("http://www.corstruth.com.au/SA/241342_DD07PD69_cs.png","241342_DD07PD69_A4")</f>
        <v>241342_DD07PD69_A4</v>
      </c>
      <c r="B2506" t="str">
        <f>HYPERLINK("http://www.corstruth.com.au/SA/PNG2/241342_DD07PD69_cs.png","241342_DD07PD69_0.25m Bins")</f>
        <v>241342_DD07PD69_0.25m Bins</v>
      </c>
      <c r="C2506" t="str">
        <f>HYPERLINK("http://www.corstruth.com.au/SA/CSV/241342_DD07PD69.csv","241342_DD07PD69_CSV File 1m Bins")</f>
        <v>241342_DD07PD69_CSV File 1m Bins</v>
      </c>
      <c r="D2506">
        <v>241342</v>
      </c>
      <c r="E2506" t="s">
        <v>2163</v>
      </c>
      <c r="F2506" t="str">
        <f>HYPERLINK("https://drillhole.pir.sa.gov.au/Details.aspx?DRILLHOLE_NO=241342","Geol Survey Link")</f>
        <v>Geol Survey Link</v>
      </c>
      <c r="I2506">
        <v>-32.535299999999999</v>
      </c>
      <c r="J2506">
        <v>137.173</v>
      </c>
      <c r="K2506" t="str">
        <f>HYPERLINK("https://sarigdata.pir.sa.gov.au/nvcl/NVCLDataServices/mosaic.html?datasetid=fdade9eb-663c-41df-8da4-2027c329a61","241342_DD07PD69_Core Image")</f>
        <v>241342_DD07PD69_Core Image</v>
      </c>
    </row>
    <row r="2507" spans="1:11" x14ac:dyDescent="0.25">
      <c r="A2507" t="str">
        <f>HYPERLINK("http://www.corstruth.com.au/SA/241343_DD07PD70_cs.png","241343_DD07PD70_A4")</f>
        <v>241343_DD07PD70_A4</v>
      </c>
      <c r="B2507" t="str">
        <f>HYPERLINK("http://www.corstruth.com.au/SA/PNG2/241343_DD07PD70_cs.png","241343_DD07PD70_0.25m Bins")</f>
        <v>241343_DD07PD70_0.25m Bins</v>
      </c>
      <c r="C2507" t="str">
        <f>HYPERLINK("http://www.corstruth.com.au/SA/CSV/241343_DD07PD70.csv","241343_DD07PD70_CSV File 1m Bins")</f>
        <v>241343_DD07PD70_CSV File 1m Bins</v>
      </c>
      <c r="D2507">
        <v>241343</v>
      </c>
      <c r="E2507" t="s">
        <v>2163</v>
      </c>
      <c r="F2507" t="str">
        <f>HYPERLINK("https://drillhole.pir.sa.gov.au/Details.aspx?DRILLHOLE_NO=241343","Geol Survey Link")</f>
        <v>Geol Survey Link</v>
      </c>
      <c r="I2507">
        <v>-32.534199999999998</v>
      </c>
      <c r="J2507">
        <v>137.172</v>
      </c>
      <c r="K2507" t="str">
        <f>HYPERLINK("https://sarigdata.pir.sa.gov.au/nvcl/NVCLDataServices/mosaic.html?datasetid=203ea118-e48f-409c-b6a0-3be1c329683","241343_DD07PD70_Core Image")</f>
        <v>241343_DD07PD70_Core Image</v>
      </c>
    </row>
    <row r="2508" spans="1:11" x14ac:dyDescent="0.25">
      <c r="A2508" t="str">
        <f>HYPERLINK("http://www.corstruth.com.au/SA/241344_DD08PD72W1_cs.png","241344_DD08PD72W1_A4")</f>
        <v>241344_DD08PD72W1_A4</v>
      </c>
      <c r="B2508" t="str">
        <f>HYPERLINK("http://www.corstruth.com.au/SA/PNG2/241344_DD08PD72W1_cs.png","241344_DD08PD72W1_0.25m Bins")</f>
        <v>241344_DD08PD72W1_0.25m Bins</v>
      </c>
      <c r="C2508" t="str">
        <f>HYPERLINK("http://www.corstruth.com.au/SA/CSV/241344_DD08PD72W1.csv","241344_DD08PD72W1_CSV File 1m Bins")</f>
        <v>241344_DD08PD72W1_CSV File 1m Bins</v>
      </c>
      <c r="D2508">
        <v>241344</v>
      </c>
      <c r="E2508" t="s">
        <v>2163</v>
      </c>
      <c r="F2508" t="str">
        <f>HYPERLINK("https://drillhole.pir.sa.gov.au/Details.aspx?DRILLHOLE_NO=241344","Geol Survey Link")</f>
        <v>Geol Survey Link</v>
      </c>
      <c r="I2508">
        <v>-32.534500000000001</v>
      </c>
      <c r="J2508">
        <v>137.172</v>
      </c>
      <c r="K2508" t="str">
        <f>HYPERLINK("https://sarigdata.pir.sa.gov.au/nvcl/NVCLDataServices/mosaic.html?datasetid=80c42546-dd92-41e4-93f4-f9f047eb049","241344_DD08PD72W1_Core Image")</f>
        <v>241344_DD08PD72W1_Core Image</v>
      </c>
    </row>
    <row r="2509" spans="1:11" x14ac:dyDescent="0.25">
      <c r="A2509" t="str">
        <f>HYPERLINK("http://www.corstruth.com.au/SA/241345_DD08PD73_cs.png","241345_DD08PD73_A4")</f>
        <v>241345_DD08PD73_A4</v>
      </c>
      <c r="B2509" t="str">
        <f>HYPERLINK("http://www.corstruth.com.au/SA/PNG2/241345_DD08PD73_cs.png","241345_DD08PD73_0.25m Bins")</f>
        <v>241345_DD08PD73_0.25m Bins</v>
      </c>
      <c r="C2509" t="str">
        <f>HYPERLINK("http://www.corstruth.com.au/SA/CSV/241345_DD08PD73.csv","241345_DD08PD73_CSV File 1m Bins")</f>
        <v>241345_DD08PD73_CSV File 1m Bins</v>
      </c>
      <c r="D2509">
        <v>241345</v>
      </c>
      <c r="E2509" t="s">
        <v>2163</v>
      </c>
      <c r="F2509" t="str">
        <f>HYPERLINK("https://drillhole.pir.sa.gov.au/Details.aspx?DRILLHOLE_NO=241345","Geol Survey Link")</f>
        <v>Geol Survey Link</v>
      </c>
      <c r="I2509">
        <v>-32.534300000000002</v>
      </c>
      <c r="J2509">
        <v>137.172</v>
      </c>
      <c r="K2509" t="str">
        <f>HYPERLINK("https://sarigdata.pir.sa.gov.au/nvcl/NVCLDataServices/mosaic.html?datasetid=85d9207e-1719-4cc0-b99e-374956d9f93","241345_DD08PD73_Core Image")</f>
        <v>241345_DD08PD73_Core Image</v>
      </c>
    </row>
    <row r="2510" spans="1:11" x14ac:dyDescent="0.25">
      <c r="A2510" t="str">
        <f>HYPERLINK("http://www.corstruth.com.au/SA/241346_DD08PD74_cs.png","241346_DD08PD74_A4")</f>
        <v>241346_DD08PD74_A4</v>
      </c>
      <c r="B2510" t="str">
        <f>HYPERLINK("http://www.corstruth.com.au/SA/PNG2/241346_DD08PD74_cs.png","241346_DD08PD74_0.25m Bins")</f>
        <v>241346_DD08PD74_0.25m Bins</v>
      </c>
      <c r="C2510" t="str">
        <f>HYPERLINK("http://www.corstruth.com.au/SA/CSV/241346_DD08PD74.csv","241346_DD08PD74_CSV File 1m Bins")</f>
        <v>241346_DD08PD74_CSV File 1m Bins</v>
      </c>
      <c r="D2510">
        <v>241346</v>
      </c>
      <c r="E2510" t="s">
        <v>2163</v>
      </c>
      <c r="F2510" t="str">
        <f>HYPERLINK("https://drillhole.pir.sa.gov.au/Details.aspx?DRILLHOLE_NO=241346","Geol Survey Link")</f>
        <v>Geol Survey Link</v>
      </c>
      <c r="I2510">
        <v>-32.534100000000002</v>
      </c>
      <c r="J2510">
        <v>137.17099999999999</v>
      </c>
      <c r="K2510" t="str">
        <f>HYPERLINK("https://sarigdata.pir.sa.gov.au/nvcl/NVCLDataServices/mosaic.html?datasetid=c7cf3263-f52b-45f0-b5c9-f786d2678b7","241346_DD08PD74_Core Image")</f>
        <v>241346_DD08PD74_Core Image</v>
      </c>
    </row>
    <row r="2511" spans="1:11" x14ac:dyDescent="0.25">
      <c r="A2511" t="str">
        <f>HYPERLINK("http://www.corstruth.com.au/SA/241448_BRD001_cs.png","241448_BRD001_A4")</f>
        <v>241448_BRD001_A4</v>
      </c>
      <c r="D2511">
        <v>241448</v>
      </c>
      <c r="E2511" t="s">
        <v>2163</v>
      </c>
      <c r="F2511" t="str">
        <f>HYPERLINK("https://drillhole.pir.sa.gov.au/Details.aspx?DRILLHOLE_NO=241448","Geol Survey Link")</f>
        <v>Geol Survey Link</v>
      </c>
      <c r="I2511">
        <v>-30.821899999999999</v>
      </c>
      <c r="J2511">
        <v>140.46100000000001</v>
      </c>
    </row>
    <row r="2512" spans="1:11" x14ac:dyDescent="0.25">
      <c r="A2512" t="str">
        <f>HYPERLINK("http://www.corstruth.com.au/SA/241761_08RDMC01_cs.png","241761_08RDMC01_A4")</f>
        <v>241761_08RDMC01_A4</v>
      </c>
      <c r="B2512" t="str">
        <f>HYPERLINK("http://www.corstruth.com.au/SA/PNG2/241761_08RDMC01_cs.png","241761_08RDMC01_0.25m Bins")</f>
        <v>241761_08RDMC01_0.25m Bins</v>
      </c>
      <c r="C2512" t="str">
        <f>HYPERLINK("http://www.corstruth.com.au/SA/CSV/241761_08RDMC01.csv","241761_08RDMC01_CSV File 1m Bins")</f>
        <v>241761_08RDMC01_CSV File 1m Bins</v>
      </c>
      <c r="D2512">
        <v>241761</v>
      </c>
      <c r="E2512" t="s">
        <v>2163</v>
      </c>
      <c r="F2512" t="str">
        <f>HYPERLINK("https://drillhole.pir.sa.gov.au/Details.aspx?DRILLHOLE_NO=241761","Geol Survey Link")</f>
        <v>Geol Survey Link</v>
      </c>
      <c r="I2512">
        <v>-28.860700000000001</v>
      </c>
      <c r="J2512">
        <v>134.077</v>
      </c>
      <c r="K2512" t="str">
        <f>HYPERLINK("https://sarigdata.pir.sa.gov.au/nvcl/NVCLDataServices/mosaic.html?datasetid=999eb937-4f29-4ab2-b3f9-d57c929dfdb","241761_08RDMC01_Core Image")</f>
        <v>241761_08RDMC01_Core Image</v>
      </c>
    </row>
    <row r="2513" spans="1:11" x14ac:dyDescent="0.25">
      <c r="A2513" t="str">
        <f>HYPERLINK("http://www.corstruth.com.au/SA/241827_DD08CAR001_cs.png","241827_DD08CAR001_A4")</f>
        <v>241827_DD08CAR001_A4</v>
      </c>
      <c r="B2513" t="str">
        <f>HYPERLINK("http://www.corstruth.com.au/SA/PNG2/241827_DD08CAR001_cs.png","241827_DD08CAR001_0.25m Bins")</f>
        <v>241827_DD08CAR001_0.25m Bins</v>
      </c>
      <c r="C2513" t="str">
        <f>HYPERLINK("http://www.corstruth.com.au/SA/CSV/241827_DD08CAR001.csv","241827_DD08CAR001_CSV File 1m Bins")</f>
        <v>241827_DD08CAR001_CSV File 1m Bins</v>
      </c>
      <c r="D2513">
        <v>241827</v>
      </c>
      <c r="E2513" t="s">
        <v>2163</v>
      </c>
      <c r="F2513" t="str">
        <f>HYPERLINK("https://drillhole.pir.sa.gov.au/Details.aspx?DRILLHOLE_NO=241827","Geol Survey Link")</f>
        <v>Geol Survey Link</v>
      </c>
      <c r="I2513">
        <v>-26.395600000000002</v>
      </c>
      <c r="J2513">
        <v>130.72399999999999</v>
      </c>
      <c r="K2513" t="str">
        <f>HYPERLINK("https://sarigdata.pir.sa.gov.au/nvcl/NVCLDataServices/mosaic.html?datasetid=bc7a9ded-9499-440d-a767-90e6d1261bf","241827_DD08CAR001_Core Image")</f>
        <v>241827_DD08CAR001_Core Image</v>
      </c>
    </row>
    <row r="2514" spans="1:11" x14ac:dyDescent="0.25">
      <c r="A2514" t="str">
        <f>HYPERLINK("http://www.corstruth.com.au/SA/241828_DD08CAR002_cs.png","241828_DD08CAR002_A4")</f>
        <v>241828_DD08CAR002_A4</v>
      </c>
      <c r="B2514" t="str">
        <f>HYPERLINK("http://www.corstruth.com.au/SA/PNG2/241828_DD08CAR002_cs.png","241828_DD08CAR002_0.25m Bins")</f>
        <v>241828_DD08CAR002_0.25m Bins</v>
      </c>
      <c r="C2514" t="str">
        <f>HYPERLINK("http://www.corstruth.com.au/SA/CSV/241828_DD08CAR002.csv","241828_DD08CAR002_CSV File 1m Bins")</f>
        <v>241828_DD08CAR002_CSV File 1m Bins</v>
      </c>
      <c r="D2514">
        <v>241828</v>
      </c>
      <c r="E2514" t="s">
        <v>2163</v>
      </c>
      <c r="F2514" t="str">
        <f>HYPERLINK("https://drillhole.pir.sa.gov.au/Details.aspx?DRILLHOLE_NO=241828","Geol Survey Link")</f>
        <v>Geol Survey Link</v>
      </c>
      <c r="I2514">
        <v>-26.425699999999999</v>
      </c>
      <c r="J2514">
        <v>130.73400000000001</v>
      </c>
      <c r="K2514" t="str">
        <f>HYPERLINK("https://sarigdata.pir.sa.gov.au/nvcl/NVCLDataServices/mosaic.html?datasetid=462b9f6e-3c44-4c44-afdf-95e76159ee7","241828_DD08CAR002_Core Image")</f>
        <v>241828_DD08CAR002_Core Image</v>
      </c>
    </row>
    <row r="2515" spans="1:11" x14ac:dyDescent="0.25">
      <c r="A2515" t="str">
        <f>HYPERLINK("http://www.corstruth.com.au/SA/241829_DD08CAR003_cs.png","241829_DD08CAR003_A4")</f>
        <v>241829_DD08CAR003_A4</v>
      </c>
      <c r="B2515" t="str">
        <f>HYPERLINK("http://www.corstruth.com.au/SA/PNG2/241829_DD08CAR003_cs.png","241829_DD08CAR003_0.25m Bins")</f>
        <v>241829_DD08CAR003_0.25m Bins</v>
      </c>
      <c r="C2515" t="str">
        <f>HYPERLINK("http://www.corstruth.com.au/SA/CSV/241829_DD08CAR003.csv","241829_DD08CAR003_CSV File 1m Bins")</f>
        <v>241829_DD08CAR003_CSV File 1m Bins</v>
      </c>
      <c r="D2515">
        <v>241829</v>
      </c>
      <c r="E2515" t="s">
        <v>2163</v>
      </c>
      <c r="F2515" t="str">
        <f>HYPERLINK("https://drillhole.pir.sa.gov.au/Details.aspx?DRILLHOLE_NO=241829","Geol Survey Link")</f>
        <v>Geol Survey Link</v>
      </c>
      <c r="I2515">
        <v>-26.335699999999999</v>
      </c>
      <c r="J2515">
        <v>130.715</v>
      </c>
      <c r="K2515" t="str">
        <f>HYPERLINK("https://sarigdata.pir.sa.gov.au/nvcl/NVCLDataServices/mosaic.html?datasetid=c3ba3d9d-cc52-42ed-b05c-6d6302f8ba8","241829_DD08CAR003_Core Image")</f>
        <v>241829_DD08CAR003_Core Image</v>
      </c>
    </row>
    <row r="2516" spans="1:11" x14ac:dyDescent="0.25">
      <c r="A2516" t="str">
        <f>HYPERLINK("http://www.corstruth.com.au/SA/241830_DD08CAR004_cs.png","241830_DD08CAR004_A4")</f>
        <v>241830_DD08CAR004_A4</v>
      </c>
      <c r="B2516" t="str">
        <f>HYPERLINK("http://www.corstruth.com.au/SA/PNG2/241830_DD08CAR004_cs.png","241830_DD08CAR004_0.25m Bins")</f>
        <v>241830_DD08CAR004_0.25m Bins</v>
      </c>
      <c r="C2516" t="str">
        <f>HYPERLINK("http://www.corstruth.com.au/SA/CSV/241830_DD08CAR004.csv","241830_DD08CAR004_CSV File 1m Bins")</f>
        <v>241830_DD08CAR004_CSV File 1m Bins</v>
      </c>
      <c r="D2516">
        <v>241830</v>
      </c>
      <c r="E2516" t="s">
        <v>2163</v>
      </c>
      <c r="F2516" t="str">
        <f>HYPERLINK("https://drillhole.pir.sa.gov.au/Details.aspx?DRILLHOLE_NO=241830","Geol Survey Link")</f>
        <v>Geol Survey Link</v>
      </c>
      <c r="I2516">
        <v>-26.4041</v>
      </c>
      <c r="J2516">
        <v>130.65299999999999</v>
      </c>
      <c r="K2516" t="str">
        <f>HYPERLINK("https://sarigdata.pir.sa.gov.au/nvcl/NVCLDataServices/mosaic.html?datasetid=93a90e4c-4065-49fb-b9b0-ca98b909443","241830_DD08CAR004_Core Image")</f>
        <v>241830_DD08CAR004_Core Image</v>
      </c>
    </row>
    <row r="2517" spans="1:11" x14ac:dyDescent="0.25">
      <c r="A2517" t="str">
        <f>HYPERLINK("http://www.corstruth.com.au/SA/241831_DD08CAR005_cs.png","241831_DD08CAR005_A4")</f>
        <v>241831_DD08CAR005_A4</v>
      </c>
      <c r="B2517" t="str">
        <f>HYPERLINK("http://www.corstruth.com.au/SA/PNG2/241831_DD08CAR005_cs.png","241831_DD08CAR005_0.25m Bins")</f>
        <v>241831_DD08CAR005_0.25m Bins</v>
      </c>
      <c r="C2517" t="str">
        <f>HYPERLINK("http://www.corstruth.com.au/SA/CSV/241831_DD08CAR005.csv","241831_DD08CAR005_CSV File 1m Bins")</f>
        <v>241831_DD08CAR005_CSV File 1m Bins</v>
      </c>
      <c r="D2517">
        <v>241831</v>
      </c>
      <c r="E2517" t="s">
        <v>2163</v>
      </c>
      <c r="F2517" t="str">
        <f>HYPERLINK("https://drillhole.pir.sa.gov.au/Details.aspx?DRILLHOLE_NO=241831","Geol Survey Link")</f>
        <v>Geol Survey Link</v>
      </c>
      <c r="I2517">
        <v>-26.387899999999998</v>
      </c>
      <c r="J2517">
        <v>130.643</v>
      </c>
      <c r="K2517" t="str">
        <f>HYPERLINK("https://sarigdata.pir.sa.gov.au/nvcl/NVCLDataServices/mosaic.html?datasetid=f7e5f750-30c0-4fd0-823a-e2b900d3a3b","241831_DD08CAR005_Core Image")</f>
        <v>241831_DD08CAR005_Core Image</v>
      </c>
    </row>
    <row r="2518" spans="1:11" x14ac:dyDescent="0.25">
      <c r="A2518" t="str">
        <f>HYPERLINK("http://www.corstruth.com.au/SA/241877_DD08WTH004_cs.png","241877_DD08WTH004_A4")</f>
        <v>241877_DD08WTH004_A4</v>
      </c>
      <c r="B2518" t="str">
        <f>HYPERLINK("http://www.corstruth.com.au/SA/PNG2/241877_DD08WTH004_cs.png","241877_DD08WTH004_0.25m Bins")</f>
        <v>241877_DD08WTH004_0.25m Bins</v>
      </c>
      <c r="C2518" t="str">
        <f>HYPERLINK("http://www.corstruth.com.au/SA/CSV/241877_DD08WTH004.csv","241877_DD08WTH004_CSV File 1m Bins")</f>
        <v>241877_DD08WTH004_CSV File 1m Bins</v>
      </c>
      <c r="D2518">
        <v>241877</v>
      </c>
      <c r="E2518" t="s">
        <v>2163</v>
      </c>
      <c r="F2518" t="str">
        <f>HYPERLINK("https://drillhole.pir.sa.gov.au/Details.aspx?DRILLHOLE_NO=241877","Geol Survey Link")</f>
        <v>Geol Survey Link</v>
      </c>
      <c r="I2518">
        <v>-29.6494</v>
      </c>
      <c r="J2518">
        <v>135.52699999999999</v>
      </c>
      <c r="K2518" t="str">
        <f>HYPERLINK("https://sarigdata.pir.sa.gov.au/nvcl/NVCLDataServices/mosaic.html?datasetid=93e47ff6-555a-4a80-9491-59c97c329c8","241877_DD08WTH004_Core Image")</f>
        <v>241877_DD08WTH004_Core Image</v>
      </c>
    </row>
    <row r="2519" spans="1:11" x14ac:dyDescent="0.25">
      <c r="A2519" t="str">
        <f>HYPERLINK("http://www.corstruth.com.au/SA/241878_DD04WTH005_cs.png","241878_DD04WTH005_A4")</f>
        <v>241878_DD04WTH005_A4</v>
      </c>
      <c r="D2519">
        <v>241878</v>
      </c>
      <c r="E2519" t="s">
        <v>2163</v>
      </c>
      <c r="F2519" t="str">
        <f>HYPERLINK("https://drillhole.pir.sa.gov.au/Details.aspx?DRILLHOLE_NO=241878","Geol Survey Link")</f>
        <v>Geol Survey Link</v>
      </c>
      <c r="I2519">
        <v>-29.647300000000001</v>
      </c>
      <c r="J2519">
        <v>135.52699999999999</v>
      </c>
      <c r="K2519" t="str">
        <f>HYPERLINK("https://sarigdata.pir.sa.gov.au/nvcl/NVCLDataServices/mosaic.html?datasetid=8c3b253c-6670-40d3-b785-0ce47aecb82","241878_DD04WTH005_Core Image")</f>
        <v>241878_DD04WTH005_Core Image</v>
      </c>
    </row>
    <row r="2520" spans="1:11" x14ac:dyDescent="0.25">
      <c r="A2520" t="str">
        <f>HYPERLINK("http://www.corstruth.com.au/SA/241878_DD08WTH005_cs.png","241878_DD08WTH005_A4")</f>
        <v>241878_DD08WTH005_A4</v>
      </c>
      <c r="B2520" t="str">
        <f>HYPERLINK("http://www.corstruth.com.au/SA/PNG2/241878_DD08WTH005_cs.png","241878_DD08WTH005_0.25m Bins")</f>
        <v>241878_DD08WTH005_0.25m Bins</v>
      </c>
      <c r="C2520" t="str">
        <f>HYPERLINK("http://www.corstruth.com.au/SA/CSV/241878_DD08WTH005.csv","241878_DD08WTH005_CSV File 1m Bins")</f>
        <v>241878_DD08WTH005_CSV File 1m Bins</v>
      </c>
      <c r="D2520">
        <v>241878</v>
      </c>
      <c r="E2520" t="s">
        <v>2163</v>
      </c>
      <c r="F2520" t="str">
        <f>HYPERLINK("https://drillhole.pir.sa.gov.au/Details.aspx?DRILLHOLE_NO=241878","Geol Survey Link")</f>
        <v>Geol Survey Link</v>
      </c>
      <c r="I2520">
        <v>-29.647300000000001</v>
      </c>
      <c r="J2520">
        <v>135.52699999999999</v>
      </c>
      <c r="K2520" t="str">
        <f>HYPERLINK("https://sarigdata.pir.sa.gov.au/nvcl/NVCLDataServices/mosaic.html?datasetid=8c3b253c-6670-40d3-b785-0ce47aecb82","241878_DD08WTH005_Core Image")</f>
        <v>241878_DD08WTH005_Core Image</v>
      </c>
    </row>
    <row r="2521" spans="1:11" x14ac:dyDescent="0.25">
      <c r="A2521" t="str">
        <f>HYPERLINK("http://www.corstruth.com.au/SA/241_NSF1_cs.png","241_NSF1_A4")</f>
        <v>241_NSF1_A4</v>
      </c>
      <c r="D2521">
        <v>241</v>
      </c>
      <c r="E2521" t="s">
        <v>2163</v>
      </c>
      <c r="F2521" t="str">
        <f>HYPERLINK("https://drillhole.pir.sa.gov.au/Details.aspx?DRILLHOLE_NO=241","Geol Survey Link")</f>
        <v>Geol Survey Link</v>
      </c>
      <c r="I2521">
        <v>-26.1083</v>
      </c>
      <c r="J2521">
        <v>129.14599999999999</v>
      </c>
    </row>
    <row r="2522" spans="1:11" x14ac:dyDescent="0.25">
      <c r="A2522" t="str">
        <f>HYPERLINK("http://www.corstruth.com.au/SA/242_NH1_cs.png","242_NH1_A4")</f>
        <v>242_NH1_A4</v>
      </c>
      <c r="D2522">
        <v>242</v>
      </c>
      <c r="E2522" t="s">
        <v>2163</v>
      </c>
      <c r="F2522" t="str">
        <f>HYPERLINK("https://drillhole.pir.sa.gov.au/Details.aspx?DRILLHOLE_NO=242","Geol Survey Link")</f>
        <v>Geol Survey Link</v>
      </c>
      <c r="I2522">
        <v>-26.096900000000002</v>
      </c>
      <c r="J2522">
        <v>129.01</v>
      </c>
    </row>
    <row r="2523" spans="1:11" x14ac:dyDescent="0.25">
      <c r="A2523" t="str">
        <f>HYPERLINK("http://www.corstruth.com.au/SA/246845_ENDDH01_cs.png","246845_ENDDH01_A4")</f>
        <v>246845_ENDDH01_A4</v>
      </c>
      <c r="B2523" t="str">
        <f>HYPERLINK("http://www.corstruth.com.au/SA/PNG2/246845_ENDDH01_cs.png","246845_ENDDH01_0.25m Bins")</f>
        <v>246845_ENDDH01_0.25m Bins</v>
      </c>
      <c r="C2523" t="str">
        <f>HYPERLINK("http://www.corstruth.com.au/SA/CSV/246845_ENDDH01.csv","246845_ENDDH01_CSV File 1m Bins")</f>
        <v>246845_ENDDH01_CSV File 1m Bins</v>
      </c>
      <c r="D2523">
        <v>246845</v>
      </c>
      <c r="E2523" t="s">
        <v>2163</v>
      </c>
      <c r="F2523" t="str">
        <f>HYPERLINK("https://drillhole.pir.sa.gov.au/Details.aspx?DRILLHOLE_NO=246845","Geol Survey Link")</f>
        <v>Geol Survey Link</v>
      </c>
      <c r="I2523">
        <v>-27.128</v>
      </c>
      <c r="J2523">
        <v>134.26900000000001</v>
      </c>
      <c r="K2523" t="str">
        <f>HYPERLINK("https://sarigdata.pir.sa.gov.au/nvcl/NVCLDataServices/mosaic.html?datasetid=792fa0d8-4bc8-4d67-b512-507370f163d","246845_ENDDH01_Core Image")</f>
        <v>246845_ENDDH01_Core Image</v>
      </c>
    </row>
    <row r="2524" spans="1:11" x14ac:dyDescent="0.25">
      <c r="A2524" t="str">
        <f>HYPERLINK("http://www.corstruth.com.au/SA/247196_Norbert1_cs.png","247196_Norbert1_A4")</f>
        <v>247196_Norbert1_A4</v>
      </c>
      <c r="B2524" t="str">
        <f>HYPERLINK("http://www.corstruth.com.au/SA/PNG2/247196_Norbert1_cs.png","247196_Norbert1_0.25m Bins")</f>
        <v>247196_Norbert1_0.25m Bins</v>
      </c>
      <c r="C2524" t="str">
        <f>HYPERLINK("http://www.corstruth.com.au/SA/CSV/247196_Norbert1.csv","247196_Norbert1_CSV File 1m Bins")</f>
        <v>247196_Norbert1_CSV File 1m Bins</v>
      </c>
      <c r="D2524">
        <v>247196</v>
      </c>
      <c r="E2524" t="s">
        <v>2163</v>
      </c>
      <c r="F2524" t="str">
        <f>HYPERLINK("https://drillhole.pir.sa.gov.au/Details.aspx?DRILLHOLE_NO=247196","Geol Survey Link")</f>
        <v>Geol Survey Link</v>
      </c>
      <c r="I2524">
        <v>-33.313400000000001</v>
      </c>
      <c r="J2524">
        <v>138.06800000000001</v>
      </c>
      <c r="K2524" t="str">
        <f>HYPERLINK("https://sarigdata.pir.sa.gov.au/nvcl/NVCLDataServices/mosaic.html?datasetid=863b8096-72ce-4c85-8503-78142e751ef","247196_Norbert1_Core Image")</f>
        <v>247196_Norbert1_Core Image</v>
      </c>
    </row>
    <row r="2525" spans="1:11" x14ac:dyDescent="0.25">
      <c r="A2525" t="str">
        <f>HYPERLINK("http://www.corstruth.com.au/SA/247765_GD1_cs.png","247765_GD1_A4")</f>
        <v>247765_GD1_A4</v>
      </c>
      <c r="B2525" t="str">
        <f>HYPERLINK("http://www.corstruth.com.au/SA/PNG2/247765_GD1_cs.png","247765_GD1_0.25m Bins")</f>
        <v>247765_GD1_0.25m Bins</v>
      </c>
      <c r="C2525" t="str">
        <f>HYPERLINK("http://www.corstruth.com.au/SA/CSV/247765_GD1.csv","247765_GD1_CSV File 1m Bins")</f>
        <v>247765_GD1_CSV File 1m Bins</v>
      </c>
      <c r="D2525">
        <v>247765</v>
      </c>
      <c r="E2525" t="s">
        <v>2163</v>
      </c>
      <c r="F2525" t="str">
        <f>HYPERLINK("https://drillhole.pir.sa.gov.au/Details.aspx?DRILLHOLE_NO=247765","Geol Survey Link")</f>
        <v>Geol Survey Link</v>
      </c>
      <c r="I2525">
        <v>-32.539700000000003</v>
      </c>
      <c r="J2525">
        <v>140.262</v>
      </c>
      <c r="K2525" t="str">
        <f>HYPERLINK("https://sarigdata.pir.sa.gov.au/nvcl/NVCLDataServices/mosaic.html?datasetid=c9f80630-7d5f-4506-9f6a-c98d4994da9","247765_GD1_Core Image")</f>
        <v>247765_GD1_Core Image</v>
      </c>
    </row>
    <row r="2526" spans="1:11" x14ac:dyDescent="0.25">
      <c r="A2526" t="str">
        <f>HYPERLINK("http://www.corstruth.com.au/SA/247766_GD2_cs.png","247766_GD2_A4")</f>
        <v>247766_GD2_A4</v>
      </c>
      <c r="B2526" t="str">
        <f>HYPERLINK("http://www.corstruth.com.au/SA/PNG2/247766_GD2_cs.png","247766_GD2_0.25m Bins")</f>
        <v>247766_GD2_0.25m Bins</v>
      </c>
      <c r="C2526" t="str">
        <f>HYPERLINK("http://www.corstruth.com.au/SA/CSV/247766_GD2.csv","247766_GD2_CSV File 1m Bins")</f>
        <v>247766_GD2_CSV File 1m Bins</v>
      </c>
      <c r="D2526">
        <v>247766</v>
      </c>
      <c r="E2526" t="s">
        <v>2163</v>
      </c>
      <c r="F2526" t="str">
        <f>HYPERLINK("https://drillhole.pir.sa.gov.au/Details.aspx?DRILLHOLE_NO=247766","Geol Survey Link")</f>
        <v>Geol Survey Link</v>
      </c>
      <c r="I2526">
        <v>-32.540700000000001</v>
      </c>
      <c r="J2526">
        <v>140.33699999999999</v>
      </c>
      <c r="K2526" t="str">
        <f>HYPERLINK("https://sarigdata.pir.sa.gov.au/nvcl/NVCLDataServices/mosaic.html?datasetid=7637a25f-69e0-47bc-83a6-f411f055ae9","247766_GD2_Core Image")</f>
        <v>247766_GD2_Core Image</v>
      </c>
    </row>
    <row r="2527" spans="1:11" x14ac:dyDescent="0.25">
      <c r="A2527" t="str">
        <f>HYPERLINK("http://www.corstruth.com.au/SA/247767_GD3_cs.png","247767_GD3_A4")</f>
        <v>247767_GD3_A4</v>
      </c>
      <c r="B2527" t="str">
        <f>HYPERLINK("http://www.corstruth.com.au/SA/PNG2/247767_GD3_cs.png","247767_GD3_0.25m Bins")</f>
        <v>247767_GD3_0.25m Bins</v>
      </c>
      <c r="C2527" t="str">
        <f>HYPERLINK("http://www.corstruth.com.au/SA/CSV/247767_GD3.csv","247767_GD3_CSV File 1m Bins")</f>
        <v>247767_GD3_CSV File 1m Bins</v>
      </c>
      <c r="D2527">
        <v>247767</v>
      </c>
      <c r="E2527" t="s">
        <v>2163</v>
      </c>
      <c r="F2527" t="str">
        <f>HYPERLINK("https://drillhole.pir.sa.gov.au/Details.aspx?DRILLHOLE_NO=247767","Geol Survey Link")</f>
        <v>Geol Survey Link</v>
      </c>
      <c r="I2527">
        <v>-32.577500000000001</v>
      </c>
      <c r="J2527">
        <v>140.494</v>
      </c>
      <c r="K2527" t="str">
        <f>HYPERLINK("https://sarigdata.pir.sa.gov.au/nvcl/NVCLDataServices/mosaic.html?datasetid=698eb838-cc46-4da4-afe5-29b9756601a","247767_GD3_Core Image")</f>
        <v>247767_GD3_Core Image</v>
      </c>
    </row>
    <row r="2528" spans="1:11" x14ac:dyDescent="0.25">
      <c r="A2528" t="str">
        <f>HYPERLINK("http://www.corstruth.com.au/SA/247768_GD4_cs.png","247768_GD4_A4")</f>
        <v>247768_GD4_A4</v>
      </c>
      <c r="B2528" t="str">
        <f>HYPERLINK("http://www.corstruth.com.au/SA/PNG2/247768_GD4_cs.png","247768_GD4_0.25m Bins")</f>
        <v>247768_GD4_0.25m Bins</v>
      </c>
      <c r="C2528" t="str">
        <f>HYPERLINK("http://www.corstruth.com.au/SA/CSV/247768_GD4.csv","247768_GD4_CSV File 1m Bins")</f>
        <v>247768_GD4_CSV File 1m Bins</v>
      </c>
      <c r="D2528">
        <v>247768</v>
      </c>
      <c r="E2528" t="s">
        <v>2163</v>
      </c>
      <c r="F2528" t="str">
        <f>HYPERLINK("https://drillhole.pir.sa.gov.au/Details.aspx?DRILLHOLE_NO=247768","Geol Survey Link")</f>
        <v>Geol Survey Link</v>
      </c>
      <c r="I2528">
        <v>-32.578800000000001</v>
      </c>
      <c r="J2528">
        <v>140.197</v>
      </c>
      <c r="K2528" t="str">
        <f>HYPERLINK("https://sarigdata.pir.sa.gov.au/nvcl/NVCLDataServices/mosaic.html?datasetid=bd0fd31b-9eea-4ea7-be35-865f816bc3b","247768_GD4_Core Image")</f>
        <v>247768_GD4_Core Image</v>
      </c>
    </row>
    <row r="2529" spans="1:11" x14ac:dyDescent="0.25">
      <c r="A2529" t="str">
        <f>HYPERLINK("http://www.corstruth.com.au/SA/247769_GD5_cs.png","247769_GD5_A4")</f>
        <v>247769_GD5_A4</v>
      </c>
      <c r="B2529" t="str">
        <f>HYPERLINK("http://www.corstruth.com.au/SA/PNG2/247769_GD5_cs.png","247769_GD5_0.25m Bins")</f>
        <v>247769_GD5_0.25m Bins</v>
      </c>
      <c r="C2529" t="str">
        <f>HYPERLINK("http://www.corstruth.com.au/SA/CSV/247769_GD5.csv","247769_GD5_CSV File 1m Bins")</f>
        <v>247769_GD5_CSV File 1m Bins</v>
      </c>
      <c r="D2529">
        <v>247769</v>
      </c>
      <c r="E2529" t="s">
        <v>2163</v>
      </c>
      <c r="F2529" t="str">
        <f>HYPERLINK("https://drillhole.pir.sa.gov.au/Details.aspx?DRILLHOLE_NO=247769","Geol Survey Link")</f>
        <v>Geol Survey Link</v>
      </c>
      <c r="I2529">
        <v>-32.5687</v>
      </c>
      <c r="J2529">
        <v>140.21600000000001</v>
      </c>
      <c r="K2529" t="str">
        <f>HYPERLINK("https://sarigdata.pir.sa.gov.au/nvcl/NVCLDataServices/mosaic.html?datasetid=a31b440b-ead8-4c89-9e44-819638dde14","247769_GD5_Core Image")</f>
        <v>247769_GD5_Core Image</v>
      </c>
    </row>
    <row r="2530" spans="1:11" x14ac:dyDescent="0.25">
      <c r="A2530" t="str">
        <f>HYPERLINK("http://www.corstruth.com.au/SA/247774_GD6_cs.png","247774_GD6_A4")</f>
        <v>247774_GD6_A4</v>
      </c>
      <c r="B2530" t="str">
        <f>HYPERLINK("http://www.corstruth.com.au/SA/PNG2/247774_GD6_cs.png","247774_GD6_0.25m Bins")</f>
        <v>247774_GD6_0.25m Bins</v>
      </c>
      <c r="C2530" t="str">
        <f>HYPERLINK("http://www.corstruth.com.au/SA/CSV/247774_GD6.csv","247774_GD6_CSV File 1m Bins")</f>
        <v>247774_GD6_CSV File 1m Bins</v>
      </c>
      <c r="D2530">
        <v>247774</v>
      </c>
      <c r="E2530" t="s">
        <v>2163</v>
      </c>
      <c r="F2530" t="str">
        <f>HYPERLINK("https://drillhole.pir.sa.gov.au/Details.aspx?DRILLHOLE_NO=247774","Geol Survey Link")</f>
        <v>Geol Survey Link</v>
      </c>
      <c r="I2530">
        <v>-32.526499999999999</v>
      </c>
      <c r="J2530">
        <v>140.339</v>
      </c>
      <c r="K2530" t="str">
        <f>HYPERLINK("https://sarigdata.pir.sa.gov.au/nvcl/NVCLDataServices/mosaic.html?datasetid=1ae1df30-b1f2-4135-aa77-ea886819343","247774_GD6_Core Image")</f>
        <v>247774_GD6_Core Image</v>
      </c>
    </row>
    <row r="2531" spans="1:11" x14ac:dyDescent="0.25">
      <c r="A2531" t="str">
        <f>HYPERLINK("http://www.corstruth.com.au/SA/247775_GD7_cs.png","247775_GD7_A4")</f>
        <v>247775_GD7_A4</v>
      </c>
      <c r="B2531" t="str">
        <f>HYPERLINK("http://www.corstruth.com.au/SA/PNG2/247775_GD7_cs.png","247775_GD7_0.25m Bins")</f>
        <v>247775_GD7_0.25m Bins</v>
      </c>
      <c r="C2531" t="str">
        <f>HYPERLINK("http://www.corstruth.com.au/SA/CSV/247775_GD7.csv","247775_GD7_CSV File 1m Bins")</f>
        <v>247775_GD7_CSV File 1m Bins</v>
      </c>
      <c r="D2531">
        <v>247775</v>
      </c>
      <c r="E2531" t="s">
        <v>2163</v>
      </c>
      <c r="F2531" t="str">
        <f>HYPERLINK("https://drillhole.pir.sa.gov.au/Details.aspx?DRILLHOLE_NO=247775","Geol Survey Link")</f>
        <v>Geol Survey Link</v>
      </c>
      <c r="I2531">
        <v>-32.548499999999997</v>
      </c>
      <c r="J2531">
        <v>140.339</v>
      </c>
      <c r="K2531" t="str">
        <f>HYPERLINK("https://sarigdata.pir.sa.gov.au/nvcl/NVCLDataServices/mosaic.html?datasetid=3d8a2369-dc25-465e-80fe-899fb6434ce","247775_GD7_Core Image")</f>
        <v>247775_GD7_Core Image</v>
      </c>
    </row>
    <row r="2532" spans="1:11" x14ac:dyDescent="0.25">
      <c r="A2532" t="str">
        <f>HYPERLINK("http://www.corstruth.com.au/SA/247776_GD8_cs.png","247776_GD8_A4")</f>
        <v>247776_GD8_A4</v>
      </c>
      <c r="B2532" t="str">
        <f>HYPERLINK("http://www.corstruth.com.au/SA/PNG2/247776_GD8_cs.png","247776_GD8_0.25m Bins")</f>
        <v>247776_GD8_0.25m Bins</v>
      </c>
      <c r="C2532" t="str">
        <f>HYPERLINK("http://www.corstruth.com.au/SA/CSV/247776_GD8.csv","247776_GD8_CSV File 1m Bins")</f>
        <v>247776_GD8_CSV File 1m Bins</v>
      </c>
      <c r="D2532">
        <v>247776</v>
      </c>
      <c r="E2532" t="s">
        <v>2163</v>
      </c>
      <c r="F2532" t="str">
        <f>HYPERLINK("https://drillhole.pir.sa.gov.au/Details.aspx?DRILLHOLE_NO=247776","Geol Survey Link")</f>
        <v>Geol Survey Link</v>
      </c>
      <c r="I2532">
        <v>-32.549199999999999</v>
      </c>
      <c r="J2532">
        <v>140.34200000000001</v>
      </c>
      <c r="K2532" t="str">
        <f>HYPERLINK("https://sarigdata.pir.sa.gov.au/nvcl/NVCLDataServices/mosaic.html?datasetid=2eac04bc-209b-4066-b75a-a6df236853b","247776_GD8_Core Image")</f>
        <v>247776_GD8_Core Image</v>
      </c>
    </row>
    <row r="2533" spans="1:11" x14ac:dyDescent="0.25">
      <c r="A2533" t="str">
        <f>HYPERLINK("http://www.corstruth.com.au/SA/247777_GD9_cs.png","247777_GD9_A4")</f>
        <v>247777_GD9_A4</v>
      </c>
      <c r="B2533" t="str">
        <f>HYPERLINK("http://www.corstruth.com.au/SA/PNG2/247777_GD9_cs.png","247777_GD9_0.25m Bins")</f>
        <v>247777_GD9_0.25m Bins</v>
      </c>
      <c r="C2533" t="str">
        <f>HYPERLINK("http://www.corstruth.com.au/SA/CSV/247777_GD9.csv","247777_GD9_CSV File 1m Bins")</f>
        <v>247777_GD9_CSV File 1m Bins</v>
      </c>
      <c r="D2533">
        <v>247777</v>
      </c>
      <c r="E2533" t="s">
        <v>2163</v>
      </c>
      <c r="F2533" t="str">
        <f>HYPERLINK("https://drillhole.pir.sa.gov.au/Details.aspx?DRILLHOLE_NO=247777","Geol Survey Link")</f>
        <v>Geol Survey Link</v>
      </c>
      <c r="I2533">
        <v>-32.540999999999997</v>
      </c>
      <c r="J2533">
        <v>140.33799999999999</v>
      </c>
      <c r="K2533" t="str">
        <f>HYPERLINK("https://sarigdata.pir.sa.gov.au/nvcl/NVCLDataServices/mosaic.html?datasetid=92a8f469-a121-4828-9a81-76f2d407e6b","247777_GD9_Core Image")</f>
        <v>247777_GD9_Core Image</v>
      </c>
    </row>
    <row r="2534" spans="1:11" x14ac:dyDescent="0.25">
      <c r="A2534" t="str">
        <f>HYPERLINK("http://www.corstruth.com.au/SA/247778_GD10_cs.png","247778_GD10_A4")</f>
        <v>247778_GD10_A4</v>
      </c>
      <c r="B2534" t="str">
        <f>HYPERLINK("http://www.corstruth.com.au/SA/PNG2/247778_GD10_cs.png","247778_GD10_0.25m Bins")</f>
        <v>247778_GD10_0.25m Bins</v>
      </c>
      <c r="C2534" t="str">
        <f>HYPERLINK("http://www.corstruth.com.au/SA/CSV/247778_GD10.csv","247778_GD10_CSV File 1m Bins")</f>
        <v>247778_GD10_CSV File 1m Bins</v>
      </c>
      <c r="D2534">
        <v>247778</v>
      </c>
      <c r="E2534" t="s">
        <v>2163</v>
      </c>
      <c r="F2534" t="str">
        <f>HYPERLINK("https://drillhole.pir.sa.gov.au/Details.aspx?DRILLHOLE_NO=247778","Geol Survey Link")</f>
        <v>Geol Survey Link</v>
      </c>
      <c r="I2534">
        <v>-32.537999999999997</v>
      </c>
      <c r="J2534">
        <v>140.34899999999999</v>
      </c>
      <c r="K2534" t="str">
        <f>HYPERLINK("https://sarigdata.pir.sa.gov.au/nvcl/NVCLDataServices/mosaic.html?datasetid=a8b9eda0-a302-40cb-87d4-d26eeea4770","247778_GD10_Core Image")</f>
        <v>247778_GD10_Core Image</v>
      </c>
    </row>
    <row r="2535" spans="1:11" x14ac:dyDescent="0.25">
      <c r="A2535" t="str">
        <f>HYPERLINK("http://www.corstruth.com.au/SA/247779_GD11_cs.png","247779_GD11_A4")</f>
        <v>247779_GD11_A4</v>
      </c>
      <c r="B2535" t="str">
        <f>HYPERLINK("http://www.corstruth.com.au/SA/PNG2/247779_GD11_cs.png","247779_GD11_0.25m Bins")</f>
        <v>247779_GD11_0.25m Bins</v>
      </c>
      <c r="C2535" t="str">
        <f>HYPERLINK("http://www.corstruth.com.au/SA/CSV/247779_GD11.csv","247779_GD11_CSV File 1m Bins")</f>
        <v>247779_GD11_CSV File 1m Bins</v>
      </c>
      <c r="D2535">
        <v>247779</v>
      </c>
      <c r="E2535" t="s">
        <v>2163</v>
      </c>
      <c r="F2535" t="str">
        <f>HYPERLINK("https://drillhole.pir.sa.gov.au/Details.aspx?DRILLHOLE_NO=247779","Geol Survey Link")</f>
        <v>Geol Survey Link</v>
      </c>
      <c r="I2535">
        <v>-32.525700000000001</v>
      </c>
      <c r="J2535">
        <v>140.32300000000001</v>
      </c>
      <c r="K2535" t="str">
        <f>HYPERLINK("https://sarigdata.pir.sa.gov.au/nvcl/NVCLDataServices/mosaic.html?datasetid=98de714a-3d74-408b-b0e1-1434e355980","247779_GD11_Core Image")</f>
        <v>247779_GD11_Core Image</v>
      </c>
    </row>
    <row r="2536" spans="1:11" x14ac:dyDescent="0.25">
      <c r="A2536" t="str">
        <f>HYPERLINK("http://www.corstruth.com.au/SA/247780_GD12_cs.png","247780_GD12_A4")</f>
        <v>247780_GD12_A4</v>
      </c>
      <c r="B2536" t="str">
        <f>HYPERLINK("http://www.corstruth.com.au/SA/PNG2/247780_GD12_cs.png","247780_GD12_0.25m Bins")</f>
        <v>247780_GD12_0.25m Bins</v>
      </c>
      <c r="C2536" t="str">
        <f>HYPERLINK("http://www.corstruth.com.au/SA/CSV/247780_GD12.csv","247780_GD12_CSV File 1m Bins")</f>
        <v>247780_GD12_CSV File 1m Bins</v>
      </c>
      <c r="D2536">
        <v>247780</v>
      </c>
      <c r="E2536" t="s">
        <v>2163</v>
      </c>
      <c r="F2536" t="str">
        <f>HYPERLINK("https://drillhole.pir.sa.gov.au/Details.aspx?DRILLHOLE_NO=247780","Geol Survey Link")</f>
        <v>Geol Survey Link</v>
      </c>
      <c r="I2536">
        <v>-32.526499999999999</v>
      </c>
      <c r="J2536">
        <v>140.36199999999999</v>
      </c>
      <c r="K2536" t="str">
        <f>HYPERLINK("https://sarigdata.pir.sa.gov.au/nvcl/NVCLDataServices/mosaic.html?datasetid=4bf387a2-eef3-47ca-b610-61be2acf79d","247780_GD12_Core Image")</f>
        <v>247780_GD12_Core Image</v>
      </c>
    </row>
    <row r="2537" spans="1:11" x14ac:dyDescent="0.25">
      <c r="A2537" t="str">
        <f>HYPERLINK("http://www.corstruth.com.au/SA/247781_GD13_cs.png","247781_GD13_A4")</f>
        <v>247781_GD13_A4</v>
      </c>
      <c r="B2537" t="str">
        <f>HYPERLINK("http://www.corstruth.com.au/SA/PNG2/247781_GD13_cs.png","247781_GD13_0.25m Bins")</f>
        <v>247781_GD13_0.25m Bins</v>
      </c>
      <c r="C2537" t="str">
        <f>HYPERLINK("http://www.corstruth.com.au/SA/CSV/247781_GD13.csv","247781_GD13_CSV File 1m Bins")</f>
        <v>247781_GD13_CSV File 1m Bins</v>
      </c>
      <c r="D2537">
        <v>247781</v>
      </c>
      <c r="E2537" t="s">
        <v>2163</v>
      </c>
      <c r="F2537" t="str">
        <f>HYPERLINK("https://drillhole.pir.sa.gov.au/Details.aspx?DRILLHOLE_NO=247781","Geol Survey Link")</f>
        <v>Geol Survey Link</v>
      </c>
      <c r="I2537">
        <v>-32.537599999999998</v>
      </c>
      <c r="J2537">
        <v>140.40199999999999</v>
      </c>
      <c r="K2537" t="str">
        <f>HYPERLINK("https://sarigdata.pir.sa.gov.au/nvcl/NVCLDataServices/mosaic.html?datasetid=2a68d713-1ffa-4c7d-bf00-cf0e9bc0a60","247781_GD13_Core Image")</f>
        <v>247781_GD13_Core Image</v>
      </c>
    </row>
    <row r="2538" spans="1:11" x14ac:dyDescent="0.25">
      <c r="A2538" t="str">
        <f>HYPERLINK("http://www.corstruth.com.au/SA/247782_GD14_cs.png","247782_GD14_A4")</f>
        <v>247782_GD14_A4</v>
      </c>
      <c r="B2538" t="str">
        <f>HYPERLINK("http://www.corstruth.com.au/SA/PNG2/247782_GD14_cs.png","247782_GD14_0.25m Bins")</f>
        <v>247782_GD14_0.25m Bins</v>
      </c>
      <c r="C2538" t="str">
        <f>HYPERLINK("http://www.corstruth.com.au/SA/CSV/247782_GD14.csv","247782_GD14_CSV File 1m Bins")</f>
        <v>247782_GD14_CSV File 1m Bins</v>
      </c>
      <c r="D2538">
        <v>247782</v>
      </c>
      <c r="E2538" t="s">
        <v>2163</v>
      </c>
      <c r="F2538" t="str">
        <f>HYPERLINK("https://drillhole.pir.sa.gov.au/Details.aspx?DRILLHOLE_NO=247782","Geol Survey Link")</f>
        <v>Geol Survey Link</v>
      </c>
      <c r="I2538">
        <v>-32.5381</v>
      </c>
      <c r="J2538">
        <v>140.41200000000001</v>
      </c>
      <c r="K2538" t="str">
        <f>HYPERLINK("https://sarigdata.pir.sa.gov.au/nvcl/NVCLDataServices/mosaic.html?datasetid=27379531-e667-454c-beed-0314f6dcf21","247782_GD14_Core Image")</f>
        <v>247782_GD14_Core Image</v>
      </c>
    </row>
    <row r="2539" spans="1:11" x14ac:dyDescent="0.25">
      <c r="A2539" t="str">
        <f>HYPERLINK("http://www.corstruth.com.au/SA/247783_GD15_cs.png","247783_GD15_A4")</f>
        <v>247783_GD15_A4</v>
      </c>
      <c r="B2539" t="str">
        <f>HYPERLINK("http://www.corstruth.com.au/SA/PNG2/247783_GD15_cs.png","247783_GD15_0.25m Bins")</f>
        <v>247783_GD15_0.25m Bins</v>
      </c>
      <c r="C2539" t="str">
        <f>HYPERLINK("http://www.corstruth.com.au/SA/CSV/247783_GD15.csv","247783_GD15_CSV File 1m Bins")</f>
        <v>247783_GD15_CSV File 1m Bins</v>
      </c>
      <c r="D2539">
        <v>247783</v>
      </c>
      <c r="E2539" t="s">
        <v>2163</v>
      </c>
      <c r="F2539" t="str">
        <f>HYPERLINK("https://drillhole.pir.sa.gov.au/Details.aspx?DRILLHOLE_NO=247783","Geol Survey Link")</f>
        <v>Geol Survey Link</v>
      </c>
      <c r="I2539">
        <v>-32.5381</v>
      </c>
      <c r="J2539">
        <v>140.41200000000001</v>
      </c>
      <c r="K2539" t="str">
        <f>HYPERLINK("https://sarigdata.pir.sa.gov.au/nvcl/NVCLDataServices/mosaic.html?datasetid=a9123e83-0d81-4bd9-bd13-9e2083a8100","247783_GD15_Core Image")</f>
        <v>247783_GD15_Core Image</v>
      </c>
    </row>
    <row r="2540" spans="1:11" x14ac:dyDescent="0.25">
      <c r="A2540" t="str">
        <f>HYPERLINK("http://www.corstruth.com.au/SA/247784_GD16_cs.png","247784_GD16_A4")</f>
        <v>247784_GD16_A4</v>
      </c>
      <c r="B2540" t="str">
        <f>HYPERLINK("http://www.corstruth.com.au/SA/PNG2/247784_GD16_cs.png","247784_GD16_0.25m Bins")</f>
        <v>247784_GD16_0.25m Bins</v>
      </c>
      <c r="C2540" t="str">
        <f>HYPERLINK("http://www.corstruth.com.au/SA/CSV/247784_GD16.csv","247784_GD16_CSV File 1m Bins")</f>
        <v>247784_GD16_CSV File 1m Bins</v>
      </c>
      <c r="D2540">
        <v>247784</v>
      </c>
      <c r="E2540" t="s">
        <v>2163</v>
      </c>
      <c r="F2540" t="str">
        <f>HYPERLINK("https://drillhole.pir.sa.gov.au/Details.aspx?DRILLHOLE_NO=247784","Geol Survey Link")</f>
        <v>Geol Survey Link</v>
      </c>
      <c r="I2540">
        <v>-32.537700000000001</v>
      </c>
      <c r="J2540">
        <v>140.256</v>
      </c>
      <c r="K2540" t="str">
        <f>HYPERLINK("https://sarigdata.pir.sa.gov.au/nvcl/NVCLDataServices/mosaic.html?datasetid=f452ea67-3802-40a8-aa1c-b7a57752a98","247784_GD16_Core Image")</f>
        <v>247784_GD16_Core Image</v>
      </c>
    </row>
    <row r="2541" spans="1:11" x14ac:dyDescent="0.25">
      <c r="A2541" t="str">
        <f>HYPERLINK("http://www.corstruth.com.au/SA/247881_DC09D01_cs.png","247881_DC09D01_A4")</f>
        <v>247881_DC09D01_A4</v>
      </c>
      <c r="B2541" t="str">
        <f>HYPERLINK("http://www.corstruth.com.au/SA/PNG2/247881_DC09D01_cs.png","247881_DC09D01_0.25m Bins")</f>
        <v>247881_DC09D01_0.25m Bins</v>
      </c>
      <c r="C2541" t="str">
        <f>HYPERLINK("http://www.corstruth.com.au/SA/CSV/247881_DC09D01.csv","247881_DC09D01_CSV File 1m Bins")</f>
        <v>247881_DC09D01_CSV File 1m Bins</v>
      </c>
      <c r="D2541">
        <v>247881</v>
      </c>
      <c r="E2541" t="s">
        <v>2163</v>
      </c>
      <c r="F2541" t="str">
        <f>HYPERLINK("https://drillhole.pir.sa.gov.au/Details.aspx?DRILLHOLE_NO=247881","Geol Survey Link")</f>
        <v>Geol Survey Link</v>
      </c>
      <c r="I2541">
        <v>-28.7287</v>
      </c>
      <c r="J2541">
        <v>136.505</v>
      </c>
      <c r="K2541" t="str">
        <f>HYPERLINK("https://sarigdata.pir.sa.gov.au/nvcl/NVCLDataServices/mosaic.html?datasetid=3b5f784e-45b1-484c-b374-ef89777339d","247881_DC09D01_Core Image")</f>
        <v>247881_DC09D01_Core Image</v>
      </c>
    </row>
    <row r="2542" spans="1:11" x14ac:dyDescent="0.25">
      <c r="A2542" t="str">
        <f>HYPERLINK("http://www.corstruth.com.au/SA/248359_BLN001_cs.png","248359_BLN001_A4")</f>
        <v>248359_BLN001_A4</v>
      </c>
      <c r="B2542" t="str">
        <f>HYPERLINK("http://www.corstruth.com.au/SA/PNG2/248359_BLN001_cs.png","248359_BLN001_0.25m Bins")</f>
        <v>248359_BLN001_0.25m Bins</v>
      </c>
      <c r="C2542" t="str">
        <f>HYPERLINK("http://www.corstruth.com.au/SA/CSV/248359_BLN001.csv","248359_BLN001_CSV File 1m Bins")</f>
        <v>248359_BLN001_CSV File 1m Bins</v>
      </c>
      <c r="D2542">
        <v>248359</v>
      </c>
      <c r="E2542" t="s">
        <v>2163</v>
      </c>
      <c r="F2542" t="str">
        <f>HYPERLINK("https://drillhole.pir.sa.gov.au/Details.aspx?DRILLHOLE_NO=248359","Geol Survey Link")</f>
        <v>Geol Survey Link</v>
      </c>
      <c r="I2542">
        <v>-31.087900000000001</v>
      </c>
      <c r="J2542">
        <v>138.67599999999999</v>
      </c>
      <c r="K2542" t="str">
        <f>HYPERLINK("https://sarigdata.pir.sa.gov.au/nvcl/NVCLDataServices/mosaic.html?datasetid=0b7265ef-404e-43ca-9c87-99c38a04079","248359_BLN001_Core Image")</f>
        <v>248359_BLN001_Core Image</v>
      </c>
    </row>
    <row r="2543" spans="1:11" x14ac:dyDescent="0.25">
      <c r="A2543" t="str">
        <f>HYPERLINK("http://www.corstruth.com.au/SA/248363_BLN005_cs.png","248363_BLN005_A4")</f>
        <v>248363_BLN005_A4</v>
      </c>
      <c r="B2543" t="str">
        <f>HYPERLINK("http://www.corstruth.com.au/SA/PNG2/248363_BLN005_cs.png","248363_BLN005_0.25m Bins")</f>
        <v>248363_BLN005_0.25m Bins</v>
      </c>
      <c r="C2543" t="str">
        <f>HYPERLINK("http://www.corstruth.com.au/SA/CSV/248363_BLN005.csv","248363_BLN005_CSV File 1m Bins")</f>
        <v>248363_BLN005_CSV File 1m Bins</v>
      </c>
      <c r="D2543">
        <v>248363</v>
      </c>
      <c r="E2543" t="s">
        <v>2163</v>
      </c>
      <c r="F2543" t="str">
        <f>HYPERLINK("https://drillhole.pir.sa.gov.au/Details.aspx?DRILLHOLE_NO=248363","Geol Survey Link")</f>
        <v>Geol Survey Link</v>
      </c>
      <c r="I2543">
        <v>-31.0837</v>
      </c>
      <c r="J2543">
        <v>138.67400000000001</v>
      </c>
      <c r="K2543" t="str">
        <f>HYPERLINK("https://sarigdata.pir.sa.gov.au/nvcl/NVCLDataServices/mosaic.html?datasetid=7bf6c04e-a508-423f-aea5-7df996b0805","248363_BLN005_Core Image")</f>
        <v>248363_BLN005_Core Image</v>
      </c>
    </row>
    <row r="2544" spans="1:11" x14ac:dyDescent="0.25">
      <c r="A2544" t="str">
        <f>HYPERLINK("http://www.corstruth.com.au/SA/248365_BLN007_cs.png","248365_BLN007_A4")</f>
        <v>248365_BLN007_A4</v>
      </c>
      <c r="B2544" t="str">
        <f>HYPERLINK("http://www.corstruth.com.au/SA/PNG2/248365_BLN007_cs.png","248365_BLN007_0.25m Bins")</f>
        <v>248365_BLN007_0.25m Bins</v>
      </c>
      <c r="C2544" t="str">
        <f>HYPERLINK("http://www.corstruth.com.au/SA/CSV/248365_BLN007.csv","248365_BLN007_CSV File 1m Bins")</f>
        <v>248365_BLN007_CSV File 1m Bins</v>
      </c>
      <c r="D2544">
        <v>248365</v>
      </c>
      <c r="E2544" t="s">
        <v>2163</v>
      </c>
      <c r="F2544" t="str">
        <f>HYPERLINK("https://drillhole.pir.sa.gov.au/Details.aspx?DRILLHOLE_NO=248365","Geol Survey Link")</f>
        <v>Geol Survey Link</v>
      </c>
      <c r="I2544">
        <v>-31.085599999999999</v>
      </c>
      <c r="J2544">
        <v>138.67500000000001</v>
      </c>
      <c r="K2544" t="str">
        <f>HYPERLINK("https://sarigdata.pir.sa.gov.au/nvcl/NVCLDataServices/mosaic.html?datasetid=55869c84-eae5-4c28-9018-af95ffebaf9","248365_BLN007_Core Image")</f>
        <v>248365_BLN007_Core Image</v>
      </c>
    </row>
    <row r="2545" spans="1:11" x14ac:dyDescent="0.25">
      <c r="A2545" t="str">
        <f>HYPERLINK("http://www.corstruth.com.au/SA/248412_KD16-01_cs.png","248412_KD16-01_A4")</f>
        <v>248412_KD16-01_A4</v>
      </c>
      <c r="D2545">
        <v>248412</v>
      </c>
      <c r="E2545" t="s">
        <v>2163</v>
      </c>
      <c r="F2545" t="str">
        <f>HYPERLINK("https://drillhole.pir.sa.gov.au/Details.aspx?DRILLHOLE_NO=248412","Geol Survey Link")</f>
        <v>Geol Survey Link</v>
      </c>
      <c r="I2545">
        <v>-31.641300000000001</v>
      </c>
      <c r="J2545">
        <v>140.84299999999999</v>
      </c>
      <c r="K2545" t="str">
        <f>HYPERLINK("https://sarigdata.pir.sa.gov.au/nvcl/NVCLDataServices/mosaic.html?datasetid=f1cf5760-c4cd-40c9-a955-58813a393f2","248412_KD16-01_Core Image")</f>
        <v>248412_KD16-01_Core Image</v>
      </c>
    </row>
    <row r="2546" spans="1:11" x14ac:dyDescent="0.25">
      <c r="A2546" t="str">
        <f>HYPERLINK("http://www.corstruth.com.au/SA/248413_YM01_2011_cs.png","248413_YM01_2011_A4")</f>
        <v>248413_YM01_2011_A4</v>
      </c>
      <c r="D2546">
        <v>248413</v>
      </c>
      <c r="E2546" t="s">
        <v>2163</v>
      </c>
      <c r="F2546" t="str">
        <f>HYPERLINK("https://drillhole.pir.sa.gov.au/Details.aspx?DRILLHOLE_NO=248413","Geol Survey Link")</f>
        <v>Geol Survey Link</v>
      </c>
      <c r="I2546">
        <v>-31.6204</v>
      </c>
      <c r="J2546">
        <v>140.68899999999999</v>
      </c>
      <c r="K2546" t="str">
        <f>HYPERLINK("https://sarigdata.pir.sa.gov.au/nvcl/NVCLDataServices/mosaic.html?datasetid=ce4252df-e322-41ac-a1fd-98ec7085d2d","248413_YM01_2011_Core Image")</f>
        <v>248413_YM01_2011_Core Image</v>
      </c>
    </row>
    <row r="2547" spans="1:11" x14ac:dyDescent="0.25">
      <c r="A2547" t="str">
        <f>HYPERLINK("http://www.corstruth.com.au/SA/24924_PUB3_SAU1_cs.png","24924_PUB3_SAU1_A4")</f>
        <v>24924_PUB3_SAU1_A4</v>
      </c>
      <c r="B2547" t="str">
        <f>HYPERLINK("http://www.corstruth.com.au/SA/PNG2/24924_PUB3_SAU1_cs.png","24924_PUB3_SAU1_0.25m Bins")</f>
        <v>24924_PUB3_SAU1_0.25m Bins</v>
      </c>
      <c r="C2547" t="str">
        <f>HYPERLINK("http://www.corstruth.com.au/SA/CSV/24924_PUB3_SAU1.csv","24924_PUB3_SAU1_CSV File 1m Bins")</f>
        <v>24924_PUB3_SAU1_CSV File 1m Bins</v>
      </c>
      <c r="D2547">
        <v>24924</v>
      </c>
      <c r="E2547" t="s">
        <v>2163</v>
      </c>
      <c r="F2547" t="str">
        <f>HYPERLINK("https://drillhole.pir.sa.gov.au/Details.aspx?DRILLHOLE_NO=24924","Geol Survey Link")</f>
        <v>Geol Survey Link</v>
      </c>
      <c r="I2547">
        <v>-32.3568</v>
      </c>
      <c r="J2547">
        <v>137.60499999999999</v>
      </c>
      <c r="K2547" t="str">
        <f>HYPERLINK("https://sarigdata.pir.sa.gov.au/nvcl/NVCLDataServices/mosaic.html?datasetid=e053a234-c9f6-4bbf-b84c-e5820e3a392","24924_PUB3_SAU1_Core Image")</f>
        <v>24924_PUB3_SAU1_Core Image</v>
      </c>
    </row>
    <row r="2548" spans="1:11" x14ac:dyDescent="0.25">
      <c r="A2548" t="str">
        <f>HYPERLINK("http://www.corstruth.com.au/SA/2503_TALL_TPS13_cs.png","2503_TALL_TPS13_A4")</f>
        <v>2503_TALL_TPS13_A4</v>
      </c>
      <c r="D2548">
        <v>2503</v>
      </c>
      <c r="E2548" t="s">
        <v>2163</v>
      </c>
      <c r="F2548" t="str">
        <f>HYPERLINK("https://drillhole.pir.sa.gov.au/Details.aspx?DRILLHOLE_NO=2503","Geol Survey Link")</f>
        <v>Geol Survey Link</v>
      </c>
      <c r="I2548">
        <v>-29.624500000000001</v>
      </c>
      <c r="J2548">
        <v>133.232</v>
      </c>
    </row>
    <row r="2549" spans="1:11" x14ac:dyDescent="0.25">
      <c r="A2549" t="str">
        <f>HYPERLINK("http://www.corstruth.com.au/SA/2504_TALL_TPS14_cs.png","2504_TALL_TPS14_A4")</f>
        <v>2504_TALL_TPS14_A4</v>
      </c>
      <c r="D2549">
        <v>2504</v>
      </c>
      <c r="E2549" t="s">
        <v>2163</v>
      </c>
      <c r="F2549" t="str">
        <f>HYPERLINK("https://drillhole.pir.sa.gov.au/Details.aspx?DRILLHOLE_NO=2504","Geol Survey Link")</f>
        <v>Geol Survey Link</v>
      </c>
      <c r="I2549">
        <v>-29.6404</v>
      </c>
      <c r="J2549">
        <v>133.18199999999999</v>
      </c>
    </row>
    <row r="2550" spans="1:11" x14ac:dyDescent="0.25">
      <c r="A2550" t="str">
        <f>HYPERLINK("http://www.corstruth.com.au/SA/25079_DepotCreek1_cs.png","25079_DepotCreek1_A4")</f>
        <v>25079_DepotCreek1_A4</v>
      </c>
      <c r="B2550" t="str">
        <f>HYPERLINK("http://www.corstruth.com.au/SA/PNG2/25079_DepotCreek1_cs.png","25079_DepotCreek1_0.25m Bins")</f>
        <v>25079_DepotCreek1_0.25m Bins</v>
      </c>
      <c r="C2550" t="str">
        <f>HYPERLINK("http://www.corstruth.com.au/SA/CSV/25079_DepotCreek1.csv","25079_DepotCreek1_CSV File 1m Bins")</f>
        <v>25079_DepotCreek1_CSV File 1m Bins</v>
      </c>
      <c r="D2550">
        <v>25079</v>
      </c>
      <c r="E2550" t="s">
        <v>2163</v>
      </c>
      <c r="F2550" t="str">
        <f>HYPERLINK("https://drillhole.pir.sa.gov.au/Details.aspx?DRILLHOLE_NO=25079","Geol Survey Link")</f>
        <v>Geol Survey Link</v>
      </c>
      <c r="I2550">
        <v>-32.231000000000002</v>
      </c>
      <c r="J2550">
        <v>137.941</v>
      </c>
      <c r="K2550" t="str">
        <f>HYPERLINK("https://sarigdata.pir.sa.gov.au/nvcl/NVCLDataServices/mosaic.html?datasetid=4c5105b4-dba4-4744-a5bc-252fa5f7c5d","25079_DepotCreek1_Core Image")</f>
        <v>25079_DepotCreek1_Core Image</v>
      </c>
    </row>
    <row r="2551" spans="1:11" x14ac:dyDescent="0.25">
      <c r="A2551" t="str">
        <f>HYPERLINK("http://www.corstruth.com.au/SA/252692_TKDH1A_2011_cs.png","252692_TKDH1A_2011_A4")</f>
        <v>252692_TKDH1A_2011_A4</v>
      </c>
      <c r="D2551">
        <v>252692</v>
      </c>
      <c r="E2551" t="s">
        <v>2163</v>
      </c>
      <c r="F2551" t="str">
        <f>HYPERLINK("https://drillhole.pir.sa.gov.au/Details.aspx?DRILLHOLE_NO=252692","Geol Survey Link")</f>
        <v>Geol Survey Link</v>
      </c>
      <c r="I2551">
        <v>-32.015599999999999</v>
      </c>
      <c r="J2551">
        <v>137.84899999999999</v>
      </c>
      <c r="K2551" t="str">
        <f>HYPERLINK("https://sarigdata.pir.sa.gov.au/nvcl/NVCLDataServices/mosaic.html?datasetid=2e2184c1-e6db-4a68-97be-b262193523e","252692_TKDH1A_2011_Core Image")</f>
        <v>252692_TKDH1A_2011_Core Image</v>
      </c>
    </row>
    <row r="2552" spans="1:11" x14ac:dyDescent="0.25">
      <c r="A2552" t="str">
        <f>HYPERLINK("http://www.corstruth.com.au/SA/252736_GOMADH1_cs.png","252736_GOMADH1_A4")</f>
        <v>252736_GOMADH1_A4</v>
      </c>
      <c r="D2552">
        <v>252736</v>
      </c>
      <c r="E2552" t="s">
        <v>2163</v>
      </c>
      <c r="F2552" t="str">
        <f>HYPERLINK("https://drillhole.pir.sa.gov.au/Details.aspx?DRILLHOLE_NO=252736","Geol Survey Link")</f>
        <v>Geol Survey Link</v>
      </c>
      <c r="I2552">
        <v>-29.101900000000001</v>
      </c>
      <c r="J2552">
        <v>134.41499999999999</v>
      </c>
      <c r="K2552" t="str">
        <f>HYPERLINK("https://sarigdata.pir.sa.gov.au/nvcl/NVCLDataServices/mosaic.html?datasetid=94377429-3116-43e1-a087-54fda122090","252736_GOMADH1_Core Image")</f>
        <v>252736_GOMADH1_Core Image</v>
      </c>
    </row>
    <row r="2553" spans="1:11" x14ac:dyDescent="0.25">
      <c r="A2553" t="str">
        <f>HYPERLINK("http://www.corstruth.com.au/SA/252737_GOMADH2_cs.png","252737_GOMADH2_A4")</f>
        <v>252737_GOMADH2_A4</v>
      </c>
      <c r="D2553">
        <v>252737</v>
      </c>
      <c r="E2553" t="s">
        <v>2163</v>
      </c>
      <c r="F2553" t="str">
        <f>HYPERLINK("https://drillhole.pir.sa.gov.au/Details.aspx?DRILLHOLE_NO=252737","Geol Survey Link")</f>
        <v>Geol Survey Link</v>
      </c>
      <c r="I2553">
        <v>-27.115100000000002</v>
      </c>
      <c r="J2553">
        <v>133.733</v>
      </c>
      <c r="K2553" t="str">
        <f>HYPERLINK("https://sarigdata.pir.sa.gov.au/nvcl/NVCLDataServices/mosaic.html?datasetid=2a812738-ed6a-4e88-9eb4-d512f2f3a9a","252737_GOMADH2_Core Image")</f>
        <v>252737_GOMADH2_Core Image</v>
      </c>
    </row>
    <row r="2554" spans="1:11" x14ac:dyDescent="0.25">
      <c r="A2554" t="str">
        <f>HYPERLINK("http://www.corstruth.com.au/SA/252738_GOMADH3_cs.png","252738_GOMADH3_A4")</f>
        <v>252738_GOMADH3_A4</v>
      </c>
      <c r="D2554">
        <v>252738</v>
      </c>
      <c r="E2554" t="s">
        <v>2163</v>
      </c>
      <c r="F2554" t="str">
        <f>HYPERLINK("https://drillhole.pir.sa.gov.au/Details.aspx?DRILLHOLE_NO=252738","Geol Survey Link")</f>
        <v>Geol Survey Link</v>
      </c>
      <c r="I2554">
        <v>-27.348099999999999</v>
      </c>
      <c r="J2554">
        <v>133.661</v>
      </c>
      <c r="K2554" t="str">
        <f>HYPERLINK("https://sarigdata.pir.sa.gov.au/nvcl/NVCLDataServices/mosaic.html?datasetid=7a8616f8-9f91-47e0-bc22-7f09870f0fe","252738_GOMADH3_Core Image")</f>
        <v>252738_GOMADH3_Core Image</v>
      </c>
    </row>
    <row r="2555" spans="1:11" x14ac:dyDescent="0.25">
      <c r="A2555" t="str">
        <f>HYPERLINK("http://www.corstruth.com.au/SA/252739_GOMADH4_cs.png","252739_GOMADH4_A4")</f>
        <v>252739_GOMADH4_A4</v>
      </c>
      <c r="D2555">
        <v>252739</v>
      </c>
      <c r="E2555" t="s">
        <v>2163</v>
      </c>
      <c r="F2555" t="str">
        <f>HYPERLINK("https://drillhole.pir.sa.gov.au/Details.aspx?DRILLHOLE_NO=252739","Geol Survey Link")</f>
        <v>Geol Survey Link</v>
      </c>
      <c r="I2555">
        <v>-28.468800000000002</v>
      </c>
      <c r="J2555">
        <v>134.19399999999999</v>
      </c>
      <c r="K2555" t="str">
        <f>HYPERLINK("https://sarigdata.pir.sa.gov.au/nvcl/NVCLDataServices/mosaic.html?datasetid=e0d59aa4-b28d-4d58-8c7d-6ef3b8abb0b","252739_GOMADH4_Core Image")</f>
        <v>252739_GOMADH4_Core Image</v>
      </c>
    </row>
    <row r="2556" spans="1:11" x14ac:dyDescent="0.25">
      <c r="A2556" t="str">
        <f>HYPERLINK("http://www.corstruth.com.au/SA/253006_RCDD07PD063_cs.png","253006_RCDD07PD063_A4")</f>
        <v>253006_RCDD07PD063_A4</v>
      </c>
      <c r="B2556" t="str">
        <f>HYPERLINK("http://www.corstruth.com.au/SA/PNG2/253006_RCDD07PD063_cs.png","253006_RCDD07PD063_0.25m Bins")</f>
        <v>253006_RCDD07PD063_0.25m Bins</v>
      </c>
      <c r="C2556" t="str">
        <f>HYPERLINK("http://www.corstruth.com.au/SA/CSV/253006_RCDD07PD063.csv","253006_RCDD07PD063_CSV File 1m Bins")</f>
        <v>253006_RCDD07PD063_CSV File 1m Bins</v>
      </c>
      <c r="D2556">
        <v>253006</v>
      </c>
      <c r="E2556" t="s">
        <v>2163</v>
      </c>
      <c r="F2556" t="str">
        <f>HYPERLINK("https://drillhole.pir.sa.gov.au/Details.aspx?DRILLHOLE_NO=253006","Geol Survey Link")</f>
        <v>Geol Survey Link</v>
      </c>
      <c r="I2556">
        <v>-32.535299999999999</v>
      </c>
      <c r="J2556">
        <v>137.17099999999999</v>
      </c>
      <c r="K2556" t="str">
        <f>HYPERLINK("https://sarigdata.pir.sa.gov.au/nvcl/NVCLDataServices/mosaic.html?datasetid=c098d45f-637d-4527-a15b-92c3ef93c62","253006_RCDD07PD063_Core Image")</f>
        <v>253006_RCDD07PD063_Core Image</v>
      </c>
    </row>
    <row r="2557" spans="1:11" x14ac:dyDescent="0.25">
      <c r="A2557" t="str">
        <f>HYPERLINK("http://www.corstruth.com.au/SA/253452_C_60_cs.png","253452_C_60_A4")</f>
        <v>253452_C_60_A4</v>
      </c>
      <c r="B2557" t="str">
        <f>HYPERLINK("http://www.corstruth.com.au/SA/PNG2/253452_C_60_cs.png","253452_C_60_0.25m Bins")</f>
        <v>253452_C_60_0.25m Bins</v>
      </c>
      <c r="C2557" t="str">
        <f>HYPERLINK("http://www.corstruth.com.au/SA/CSV/253452_C_60.csv","253452_C_60_CSV File 1m Bins")</f>
        <v>253452_C_60_CSV File 1m Bins</v>
      </c>
      <c r="D2557">
        <v>253452</v>
      </c>
      <c r="E2557" t="s">
        <v>2163</v>
      </c>
      <c r="F2557" t="str">
        <f>HYPERLINK("https://drillhole.pir.sa.gov.au/Details.aspx?DRILLHOLE_NO=253452","Geol Survey Link")</f>
        <v>Geol Survey Link</v>
      </c>
      <c r="I2557">
        <v>-34.860900000000001</v>
      </c>
      <c r="J2557">
        <v>139.352</v>
      </c>
      <c r="K2557" t="str">
        <f>HYPERLINK("https://sarigdata.pir.sa.gov.au/nvcl/NVCLDataServices/mosaic.html?datasetid=57a4a764-3632-4bf5-8bb4-3cfbbd4d495","253452_C_60_Core Image")</f>
        <v>253452_C_60_Core Image</v>
      </c>
    </row>
    <row r="2558" spans="1:11" x14ac:dyDescent="0.25">
      <c r="A2558" t="str">
        <f>HYPERLINK("http://www.corstruth.com.au/SA/253551_GHDD_1_cs.png","253551_GHDD_1_A4")</f>
        <v>253551_GHDD_1_A4</v>
      </c>
      <c r="B2558" t="str">
        <f>HYPERLINK("http://www.corstruth.com.au/SA/PNG2/253551_GHDD_1_cs.png","253551_GHDD_1_0.25m Bins")</f>
        <v>253551_GHDD_1_0.25m Bins</v>
      </c>
      <c r="C2558" t="str">
        <f>HYPERLINK("http://www.corstruth.com.au/SA/CSV/253551_GHDD_1.csv","253551_GHDD_1_CSV File 1m Bins")</f>
        <v>253551_GHDD_1_CSV File 1m Bins</v>
      </c>
      <c r="D2558">
        <v>253551</v>
      </c>
      <c r="E2558" t="s">
        <v>2163</v>
      </c>
      <c r="F2558" t="str">
        <f>HYPERLINK("https://drillhole.pir.sa.gov.au/Details.aspx?DRILLHOLE_NO=253551","Geol Survey Link")</f>
        <v>Geol Survey Link</v>
      </c>
      <c r="I2558">
        <v>-31.566299999999998</v>
      </c>
      <c r="J2558">
        <v>137.49</v>
      </c>
      <c r="K2558" t="str">
        <f>HYPERLINK("https://sarigdata.pir.sa.gov.au/nvcl/NVCLDataServices/mosaic.html?datasetid=ac82b20f-d1c8-4897-8be1-898da0c69a7","253551_GHDD_1_Core Image")</f>
        <v>253551_GHDD_1_Core Image</v>
      </c>
    </row>
    <row r="2559" spans="1:11" x14ac:dyDescent="0.25">
      <c r="A2559" t="str">
        <f>HYPERLINK("http://www.corstruth.com.au/SA/253552_GHDD_2_cs.png","253552_GHDD_2_A4")</f>
        <v>253552_GHDD_2_A4</v>
      </c>
      <c r="B2559" t="str">
        <f>HYPERLINK("http://www.corstruth.com.au/SA/PNG2/253552_GHDD_2_cs.png","253552_GHDD_2_0.25m Bins")</f>
        <v>253552_GHDD_2_0.25m Bins</v>
      </c>
      <c r="C2559" t="str">
        <f>HYPERLINK("http://www.corstruth.com.au/SA/CSV/253552_GHDD_2.csv","253552_GHDD_2_CSV File 1m Bins")</f>
        <v>253552_GHDD_2_CSV File 1m Bins</v>
      </c>
      <c r="D2559">
        <v>253552</v>
      </c>
      <c r="E2559" t="s">
        <v>2163</v>
      </c>
      <c r="F2559" t="str">
        <f>HYPERLINK("https://drillhole.pir.sa.gov.au/Details.aspx?DRILLHOLE_NO=253552","Geol Survey Link")</f>
        <v>Geol Survey Link</v>
      </c>
      <c r="I2559">
        <v>-31.564599999999999</v>
      </c>
      <c r="J2559">
        <v>137.49</v>
      </c>
      <c r="K2559" t="str">
        <f>HYPERLINK("https://sarigdata.pir.sa.gov.au/nvcl/NVCLDataServices/mosaic.html?datasetid=d5c9510a-c81c-4b8d-a3fd-2e7b981ecdf","253552_GHDD_2_Core Image")</f>
        <v>253552_GHDD_2_Core Image</v>
      </c>
    </row>
    <row r="2560" spans="1:11" x14ac:dyDescent="0.25">
      <c r="A2560" t="str">
        <f>HYPERLINK("http://www.corstruth.com.au/SA/253553_PDDD2_cs.png","253553_PDDD2_A4")</f>
        <v>253553_PDDD2_A4</v>
      </c>
      <c r="B2560" t="str">
        <f>HYPERLINK("http://www.corstruth.com.au/SA/PNG2/253553_PDDD2_cs.png","253553_PDDD2_0.25m Bins")</f>
        <v>253553_PDDD2_0.25m Bins</v>
      </c>
      <c r="C2560" t="str">
        <f>HYPERLINK("http://www.corstruth.com.au/SA/CSV/253553_PDDD2.csv","253553_PDDD2_CSV File 1m Bins")</f>
        <v>253553_PDDD2_CSV File 1m Bins</v>
      </c>
      <c r="D2560">
        <v>253553</v>
      </c>
      <c r="E2560" t="s">
        <v>2163</v>
      </c>
      <c r="F2560" t="str">
        <f>HYPERLINK("https://drillhole.pir.sa.gov.au/Details.aspx?DRILLHOLE_NO=253553","Geol Survey Link")</f>
        <v>Geol Survey Link</v>
      </c>
      <c r="I2560">
        <v>-31.537199999999999</v>
      </c>
      <c r="J2560">
        <v>137.52000000000001</v>
      </c>
      <c r="K2560" t="str">
        <f>HYPERLINK("https://sarigdata.pir.sa.gov.au/nvcl/NVCLDataServices/mosaic.html?datasetid=c18f5eb6-e67b-4407-8b6e-f3dcb9a9fb7","253553_PDDD2_Core Image")</f>
        <v>253553_PDDD2_Core Image</v>
      </c>
    </row>
    <row r="2561" spans="1:11" x14ac:dyDescent="0.25">
      <c r="A2561" t="str">
        <f>HYPERLINK("http://www.corstruth.com.au/SA/253554_WDDD1_cs.png","253554_WDDD1_A4")</f>
        <v>253554_WDDD1_A4</v>
      </c>
      <c r="B2561" t="str">
        <f>HYPERLINK("http://www.corstruth.com.au/SA/PNG2/253554_WDDD1_cs.png","253554_WDDD1_0.25m Bins")</f>
        <v>253554_WDDD1_0.25m Bins</v>
      </c>
      <c r="C2561" t="str">
        <f>HYPERLINK("http://www.corstruth.com.au/SA/CSV/253554_WDDD1.csv","253554_WDDD1_CSV File 1m Bins")</f>
        <v>253554_WDDD1_CSV File 1m Bins</v>
      </c>
      <c r="D2561">
        <v>253554</v>
      </c>
      <c r="E2561" t="s">
        <v>2163</v>
      </c>
      <c r="F2561" t="str">
        <f>HYPERLINK("https://drillhole.pir.sa.gov.au/Details.aspx?DRILLHOLE_NO=253554","Geol Survey Link")</f>
        <v>Geol Survey Link</v>
      </c>
      <c r="I2561">
        <v>-31.576899999999998</v>
      </c>
      <c r="J2561">
        <v>137.50399999999999</v>
      </c>
      <c r="K2561" t="str">
        <f>HYPERLINK("https://sarigdata.pir.sa.gov.au/nvcl/NVCLDataServices/mosaic.html?datasetid=03aa273b-ded7-4cf8-87e5-693b11a7731","253554_WDDD1_Core Image")</f>
        <v>253554_WDDD1_Core Image</v>
      </c>
    </row>
    <row r="2562" spans="1:11" x14ac:dyDescent="0.25">
      <c r="A2562" t="str">
        <f>HYPERLINK("http://www.corstruth.com.au/SA/25356_BDH3_cs.png","25356_BDH3_A4")</f>
        <v>25356_BDH3_A4</v>
      </c>
      <c r="B2562" t="str">
        <f>HYPERLINK("http://www.corstruth.com.au/SA/PNG2/25356_BDH3_cs.png","25356_BDH3_0.25m Bins")</f>
        <v>25356_BDH3_0.25m Bins</v>
      </c>
      <c r="C2562" t="str">
        <f>HYPERLINK("http://www.corstruth.com.au/SA/CSV/25356_BDH3.csv","25356_BDH3_CSV File 1m Bins")</f>
        <v>25356_BDH3_CSV File 1m Bins</v>
      </c>
      <c r="D2562">
        <v>25356</v>
      </c>
      <c r="E2562" t="s">
        <v>2163</v>
      </c>
      <c r="F2562" t="str">
        <f>HYPERLINK("https://drillhole.pir.sa.gov.au/Details.aspx?DRILLHOLE_NO=25356","Geol Survey Link")</f>
        <v>Geol Survey Link</v>
      </c>
      <c r="I2562">
        <v>-31.828399999999998</v>
      </c>
      <c r="J2562">
        <v>137.60900000000001</v>
      </c>
      <c r="K2562" t="str">
        <f>HYPERLINK("https://sarigdata.pir.sa.gov.au/nvcl/NVCLDataServices/mosaic.html?datasetid=c54e6229-b1f6-4e7f-a4b6-4c96974115d","25356_BDH3_Core Image")</f>
        <v>25356_BDH3_Core Image</v>
      </c>
    </row>
    <row r="2563" spans="1:11" x14ac:dyDescent="0.25">
      <c r="A2563" t="str">
        <f>HYPERLINK("http://www.corstruth.com.au/SA/25357_SLT107_cs.png","25357_SLT107_A4")</f>
        <v>25357_SLT107_A4</v>
      </c>
      <c r="B2563" t="str">
        <f>HYPERLINK("http://www.corstruth.com.au/SA/PNG2/25357_SLT107_cs.png","25357_SLT107_0.25m Bins")</f>
        <v>25357_SLT107_0.25m Bins</v>
      </c>
      <c r="C2563" t="str">
        <f>HYPERLINK("http://www.corstruth.com.au/SA/CSV/25357_SLT107.csv","25357_SLT107_CSV File 1m Bins")</f>
        <v>25357_SLT107_CSV File 1m Bins</v>
      </c>
      <c r="D2563">
        <v>25357</v>
      </c>
      <c r="E2563" t="s">
        <v>2163</v>
      </c>
      <c r="F2563" t="str">
        <f>HYPERLINK("https://drillhole.pir.sa.gov.au/Details.aspx?DRILLHOLE_NO=25357","Geol Survey Link")</f>
        <v>Geol Survey Link</v>
      </c>
      <c r="I2563">
        <v>-31.819299999999998</v>
      </c>
      <c r="J2563">
        <v>137.52600000000001</v>
      </c>
      <c r="K2563" t="str">
        <f>HYPERLINK("https://sarigdata.pir.sa.gov.au/nvcl/NVCLDataServices/mosaic.html?datasetid=c4aa3261-5081-4163-b477-6bdb4abaf8f","25357_SLT107_Core Image")</f>
        <v>25357_SLT107_Core Image</v>
      </c>
    </row>
    <row r="2564" spans="1:11" x14ac:dyDescent="0.25">
      <c r="A2564" t="str">
        <f>HYPERLINK("http://www.corstruth.com.au/SA/25359_WHD1_cs.png","25359_WHD1_A4")</f>
        <v>25359_WHD1_A4</v>
      </c>
      <c r="D2564">
        <v>25359</v>
      </c>
      <c r="E2564" t="s">
        <v>2163</v>
      </c>
      <c r="F2564" t="str">
        <f>HYPERLINK("https://drillhole.pir.sa.gov.au/Details.aspx?DRILLHOLE_NO=25359","Geol Survey Link")</f>
        <v>Geol Survey Link</v>
      </c>
      <c r="I2564">
        <v>-31.635200000000001</v>
      </c>
      <c r="J2564">
        <v>137.52099999999999</v>
      </c>
      <c r="K2564" t="str">
        <f>HYPERLINK("https://sarigdata.pir.sa.gov.au/nvcl/NVCLDataServices/mosaic.html?datasetid=84bbea5e-a764-46b7-a2b7-ee710bddf5b","25359_WHD1_Core Image")</f>
        <v>25359_WHD1_Core Image</v>
      </c>
    </row>
    <row r="2565" spans="1:11" x14ac:dyDescent="0.25">
      <c r="A2565" t="str">
        <f>HYPERLINK("http://www.corstruth.com.au/SA/25360_SLT101_cs.png","25360_SLT101_A4")</f>
        <v>25360_SLT101_A4</v>
      </c>
      <c r="B2565" t="str">
        <f>HYPERLINK("http://www.corstruth.com.au/SA/PNG2/25360_SLT101_cs.png","25360_SLT101_0.25m Bins")</f>
        <v>25360_SLT101_0.25m Bins</v>
      </c>
      <c r="C2565" t="str">
        <f>HYPERLINK("http://www.corstruth.com.au/SA/CSV/25360_SLT101.csv","25360_SLT101_CSV File 1m Bins")</f>
        <v>25360_SLT101_CSV File 1m Bins</v>
      </c>
      <c r="D2565">
        <v>25360</v>
      </c>
      <c r="E2565" t="s">
        <v>2163</v>
      </c>
      <c r="F2565" t="str">
        <f>HYPERLINK("https://drillhole.pir.sa.gov.au/Details.aspx?DRILLHOLE_NO=25360","Geol Survey Link")</f>
        <v>Geol Survey Link</v>
      </c>
      <c r="I2565">
        <v>-31.744</v>
      </c>
      <c r="J2565">
        <v>137.68600000000001</v>
      </c>
      <c r="K2565" t="str">
        <f>HYPERLINK("https://sarigdata.pir.sa.gov.au/nvcl/NVCLDataServices/mosaic.html?datasetid=bd0df041-fba9-47c3-a2dc-e63a1aeb672","25360_SLT101_Core Image")</f>
        <v>25360_SLT101_Core Image</v>
      </c>
    </row>
    <row r="2566" spans="1:11" x14ac:dyDescent="0.25">
      <c r="A2566" t="str">
        <f>HYPERLINK("http://www.corstruth.com.au/SA/25361_SLT102_cs.png","25361_SLT102_A4")</f>
        <v>25361_SLT102_A4</v>
      </c>
      <c r="B2566" t="str">
        <f>HYPERLINK("http://www.corstruth.com.au/SA/PNG2/25361_SLT102_cs.png","25361_SLT102_0.25m Bins")</f>
        <v>25361_SLT102_0.25m Bins</v>
      </c>
      <c r="C2566" t="str">
        <f>HYPERLINK("http://www.corstruth.com.au/SA/CSV/25361_SLT102.csv","25361_SLT102_CSV File 1m Bins")</f>
        <v>25361_SLT102_CSV File 1m Bins</v>
      </c>
      <c r="D2566">
        <v>25361</v>
      </c>
      <c r="E2566" t="s">
        <v>2163</v>
      </c>
      <c r="F2566" t="str">
        <f>HYPERLINK("https://drillhole.pir.sa.gov.au/Details.aspx?DRILLHOLE_NO=25361","Geol Survey Link")</f>
        <v>Geol Survey Link</v>
      </c>
      <c r="I2566">
        <v>-31.8291</v>
      </c>
      <c r="J2566">
        <v>137.62799999999999</v>
      </c>
      <c r="K2566" t="str">
        <f>HYPERLINK("https://sarigdata.pir.sa.gov.au/nvcl/NVCLDataServices/mosaic.html?datasetid=db64f469-973a-4f78-bdc8-706c4b6bb48","25361_SLT102_Core Image")</f>
        <v>25361_SLT102_Core Image</v>
      </c>
    </row>
    <row r="2567" spans="1:11" x14ac:dyDescent="0.25">
      <c r="A2567" t="str">
        <f>HYPERLINK("http://www.corstruth.com.au/SA/25362_SLT103_cs.png","25362_SLT103_A4")</f>
        <v>25362_SLT103_A4</v>
      </c>
      <c r="B2567" t="str">
        <f>HYPERLINK("http://www.corstruth.com.au/SA/PNG2/25362_SLT103_cs.png","25362_SLT103_0.25m Bins")</f>
        <v>25362_SLT103_0.25m Bins</v>
      </c>
      <c r="C2567" t="str">
        <f>HYPERLINK("http://www.corstruth.com.au/SA/CSV/25362_SLT103.csv","25362_SLT103_CSV File 1m Bins")</f>
        <v>25362_SLT103_CSV File 1m Bins</v>
      </c>
      <c r="D2567">
        <v>25362</v>
      </c>
      <c r="E2567" t="s">
        <v>2163</v>
      </c>
      <c r="F2567" t="str">
        <f>HYPERLINK("https://drillhole.pir.sa.gov.au/Details.aspx?DRILLHOLE_NO=25362","Geol Survey Link")</f>
        <v>Geol Survey Link</v>
      </c>
      <c r="I2567">
        <v>-31.757999999999999</v>
      </c>
      <c r="J2567">
        <v>137.505</v>
      </c>
      <c r="K2567" t="str">
        <f>HYPERLINK("https://sarigdata.pir.sa.gov.au/nvcl/NVCLDataServices/mosaic.html?datasetid=03ad46b7-8956-4bfd-b1eb-6baafe71b63","25362_SLT103_Core Image")</f>
        <v>25362_SLT103_Core Image</v>
      </c>
    </row>
    <row r="2568" spans="1:11" x14ac:dyDescent="0.25">
      <c r="A2568" t="str">
        <f>HYPERLINK("http://www.corstruth.com.au/SA/25363_SLT106_cs.png","25363_SLT106_A4")</f>
        <v>25363_SLT106_A4</v>
      </c>
      <c r="B2568" t="str">
        <f>HYPERLINK("http://www.corstruth.com.au/SA/PNG2/25363_SLT106_cs.png","25363_SLT106_0.25m Bins")</f>
        <v>25363_SLT106_0.25m Bins</v>
      </c>
      <c r="C2568" t="str">
        <f>HYPERLINK("http://www.corstruth.com.au/SA/CSV/25363_SLT106.csv","25363_SLT106_CSV File 1m Bins")</f>
        <v>25363_SLT106_CSV File 1m Bins</v>
      </c>
      <c r="D2568">
        <v>25363</v>
      </c>
      <c r="E2568" t="s">
        <v>2163</v>
      </c>
      <c r="F2568" t="str">
        <f>HYPERLINK("https://drillhole.pir.sa.gov.au/Details.aspx?DRILLHOLE_NO=25363","Geol Survey Link")</f>
        <v>Geol Survey Link</v>
      </c>
      <c r="I2568">
        <v>-31.699100000000001</v>
      </c>
      <c r="J2568">
        <v>137.72200000000001</v>
      </c>
      <c r="K2568" t="str">
        <f>HYPERLINK("https://sarigdata.pir.sa.gov.au/nvcl/NVCLDataServices/mosaic.html?datasetid=f8977ecd-ff8d-45a7-b67c-1ff34ebd16d","25363_SLT106_Core Image")</f>
        <v>25363_SLT106_Core Image</v>
      </c>
    </row>
    <row r="2569" spans="1:11" x14ac:dyDescent="0.25">
      <c r="A2569" t="str">
        <f>HYPERLINK("http://www.corstruth.com.au/SA/25364_SLT104_cs.png","25364_SLT104_A4")</f>
        <v>25364_SLT104_A4</v>
      </c>
      <c r="B2569" t="str">
        <f>HYPERLINK("http://www.corstruth.com.au/SA/PNG2/25364_SLT104_cs.png","25364_SLT104_0.25m Bins")</f>
        <v>25364_SLT104_0.25m Bins</v>
      </c>
      <c r="C2569" t="str">
        <f>HYPERLINK("http://www.corstruth.com.au/SA/CSV/25364_SLT104.csv","25364_SLT104_CSV File 1m Bins")</f>
        <v>25364_SLT104_CSV File 1m Bins</v>
      </c>
      <c r="D2569">
        <v>25364</v>
      </c>
      <c r="E2569" t="s">
        <v>2163</v>
      </c>
      <c r="F2569" t="str">
        <f>HYPERLINK("https://drillhole.pir.sa.gov.au/Details.aspx?DRILLHOLE_NO=25364","Geol Survey Link")</f>
        <v>Geol Survey Link</v>
      </c>
      <c r="I2569">
        <v>-31.9116</v>
      </c>
      <c r="J2569">
        <v>137.696</v>
      </c>
      <c r="K2569" t="str">
        <f>HYPERLINK("https://sarigdata.pir.sa.gov.au/nvcl/NVCLDataServices/mosaic.html?datasetid=b6792345-6090-414b-852c-e0a1f7bd677","25364_SLT104_Core Image")</f>
        <v>25364_SLT104_Core Image</v>
      </c>
    </row>
    <row r="2570" spans="1:11" x14ac:dyDescent="0.25">
      <c r="A2570" t="str">
        <f>HYPERLINK("http://www.corstruth.com.au/SA/25369_NHD1_cs.png","25369_NHD1_A4")</f>
        <v>25369_NHD1_A4</v>
      </c>
      <c r="B2570" t="str">
        <f>HYPERLINK("http://www.corstruth.com.au/SA/PNG2/25369_NHD1_cs.png","25369_NHD1_0.25m Bins")</f>
        <v>25369_NHD1_0.25m Bins</v>
      </c>
      <c r="C2570" t="str">
        <f>HYPERLINK("http://www.corstruth.com.au/SA/CSV/25369_NHD1.csv","25369_NHD1_CSV File 1m Bins")</f>
        <v>25369_NHD1_CSV File 1m Bins</v>
      </c>
      <c r="D2570">
        <v>25369</v>
      </c>
      <c r="E2570" t="s">
        <v>2163</v>
      </c>
      <c r="F2570" t="str">
        <f>HYPERLINK("https://drillhole.pir.sa.gov.au/Details.aspx?DRILLHOLE_NO=25369","Geol Survey Link")</f>
        <v>Geol Survey Link</v>
      </c>
      <c r="I2570">
        <v>-31.2743</v>
      </c>
      <c r="J2570">
        <v>137.565</v>
      </c>
      <c r="K2570" t="str">
        <f>HYPERLINK("https://sarigdata.pir.sa.gov.au/nvcl/NVCLDataServices/mosaic.html?datasetid=4a956d10-60df-4db0-9a15-f34b0bb67b5","25369_NHD1_Core Image")</f>
        <v>25369_NHD1_Core Image</v>
      </c>
    </row>
    <row r="2571" spans="1:11" x14ac:dyDescent="0.25">
      <c r="A2571" t="str">
        <f>HYPERLINK("http://www.corstruth.com.au/SA/25375_MRD1_cs.png","25375_MRD1_A4")</f>
        <v>25375_MRD1_A4</v>
      </c>
      <c r="B2571" t="str">
        <f>HYPERLINK("http://www.corstruth.com.au/SA/PNG2/25375_MRD1_cs.png","25375_MRD1_0.25m Bins")</f>
        <v>25375_MRD1_0.25m Bins</v>
      </c>
      <c r="C2571" t="str">
        <f>HYPERLINK("http://www.corstruth.com.au/SA/CSV/25375_MRD1.csv","25375_MRD1_CSV File 1m Bins")</f>
        <v>25375_MRD1_CSV File 1m Bins</v>
      </c>
      <c r="D2571">
        <v>25375</v>
      </c>
      <c r="E2571" t="s">
        <v>2163</v>
      </c>
      <c r="F2571" t="str">
        <f>HYPERLINK("https://drillhole.pir.sa.gov.au/Details.aspx?DRILLHOLE_NO=25375","Geol Survey Link")</f>
        <v>Geol Survey Link</v>
      </c>
      <c r="I2571">
        <v>-30.9664</v>
      </c>
      <c r="J2571">
        <v>137.76900000000001</v>
      </c>
      <c r="K2571" t="str">
        <f>HYPERLINK("https://sarigdata.pir.sa.gov.au/nvcl/NVCLDataServices/mosaic.html?datasetid=5638707a-6a77-47b5-b9b5-5822c9b1494","25375_MRD1_Core Image")</f>
        <v>25375_MRD1_Core Image</v>
      </c>
    </row>
    <row r="2572" spans="1:11" x14ac:dyDescent="0.25">
      <c r="A2572" t="str">
        <f>HYPERLINK("http://www.corstruth.com.au/SA/25383_TD1_cs.png","25383_TD1_A4")</f>
        <v>25383_TD1_A4</v>
      </c>
      <c r="D2572">
        <v>25383</v>
      </c>
      <c r="E2572" t="s">
        <v>2163</v>
      </c>
      <c r="F2572" t="str">
        <f>HYPERLINK("https://drillhole.pir.sa.gov.au/Details.aspx?DRILLHOLE_NO=25383","Geol Survey Link")</f>
        <v>Geol Survey Link</v>
      </c>
      <c r="I2572">
        <v>-30.803799999999999</v>
      </c>
      <c r="J2572">
        <v>137.62299999999999</v>
      </c>
      <c r="K2572" t="str">
        <f>HYPERLINK("https://sarigdata.pir.sa.gov.au/nvcl/NVCLDataServices/mosaic.html?datasetid=3ab30bfe-2ddd-4518-9282-1744f5f43d0","25383_TD1_Core Image")</f>
        <v>25383_TD1_Core Image</v>
      </c>
    </row>
    <row r="2573" spans="1:11" x14ac:dyDescent="0.25">
      <c r="A2573" t="str">
        <f>HYPERLINK("http://www.corstruth.com.au/SA/25384_TD2_cs.png","25384_TD2_A4")</f>
        <v>25384_TD2_A4</v>
      </c>
      <c r="B2573" t="str">
        <f>HYPERLINK("http://www.corstruth.com.au/SA/PNG2/25384_TD2_cs.png","25384_TD2_0.25m Bins")</f>
        <v>25384_TD2_0.25m Bins</v>
      </c>
      <c r="C2573" t="str">
        <f>HYPERLINK("http://www.corstruth.com.au/SA/CSV/25384_TD2.csv","25384_TD2_CSV File 1m Bins")</f>
        <v>25384_TD2_CSV File 1m Bins</v>
      </c>
      <c r="D2573">
        <v>25384</v>
      </c>
      <c r="E2573" t="s">
        <v>2163</v>
      </c>
      <c r="F2573" t="str">
        <f>HYPERLINK("https://drillhole.pir.sa.gov.au/Details.aspx?DRILLHOLE_NO=25384","Geol Survey Link")</f>
        <v>Geol Survey Link</v>
      </c>
      <c r="I2573">
        <v>-30.7804</v>
      </c>
      <c r="J2573">
        <v>137.65299999999999</v>
      </c>
      <c r="K2573" t="str">
        <f>HYPERLINK("https://sarigdata.pir.sa.gov.au/nvcl/NVCLDataServices/mosaic.html?datasetid=38e458a7-d83f-4c0e-9363-c66307fb36c","25384_TD2_Core Image")</f>
        <v>25384_TD2_Core Image</v>
      </c>
    </row>
    <row r="2574" spans="1:11" x14ac:dyDescent="0.25">
      <c r="A2574" t="str">
        <f>HYPERLINK("http://www.corstruth.com.au/SA/25385_TD3_cs.png","25385_TD3_A4")</f>
        <v>25385_TD3_A4</v>
      </c>
      <c r="B2574" t="str">
        <f>HYPERLINK("http://www.corstruth.com.au/SA/PNG2/25385_TD3_cs.png","25385_TD3_0.25m Bins")</f>
        <v>25385_TD3_0.25m Bins</v>
      </c>
      <c r="C2574" t="str">
        <f>HYPERLINK("http://www.corstruth.com.au/SA/CSV/25385_TD3.csv","25385_TD3_CSV File 1m Bins")</f>
        <v>25385_TD3_CSV File 1m Bins</v>
      </c>
      <c r="D2574">
        <v>25385</v>
      </c>
      <c r="E2574" t="s">
        <v>2163</v>
      </c>
      <c r="F2574" t="str">
        <f>HYPERLINK("https://drillhole.pir.sa.gov.au/Details.aspx?DRILLHOLE_NO=25385","Geol Survey Link")</f>
        <v>Geol Survey Link</v>
      </c>
      <c r="I2574">
        <v>-30.755199999999999</v>
      </c>
      <c r="J2574">
        <v>137.63</v>
      </c>
      <c r="K2574" t="str">
        <f>HYPERLINK("https://sarigdata.pir.sa.gov.au/nvcl/NVCLDataServices/mosaic.html?datasetid=c0dd8406-9969-41d1-8d3a-e0193bc45d3","25385_TD3_Core Image")</f>
        <v>25385_TD3_Core Image</v>
      </c>
    </row>
    <row r="2575" spans="1:11" x14ac:dyDescent="0.25">
      <c r="A2575" t="str">
        <f>HYPERLINK("http://www.corstruth.com.au/SA/254401_QUIN-QBE_1_cs.png","254401_QUIN-QBE_1_A4")</f>
        <v>254401_QUIN-QBE_1_A4</v>
      </c>
      <c r="B2575" t="str">
        <f>HYPERLINK("http://www.corstruth.com.au/SA/PNG2/254401_QUIN-QBE_1_cs.png","254401_QUIN-QBE_1_0.25m Bins")</f>
        <v>254401_QUIN-QBE_1_0.25m Bins</v>
      </c>
      <c r="C2575" t="str">
        <f>HYPERLINK("http://www.corstruth.com.au/SA/CSV/254401_QUIN-QBE_1.csv","254401_QUIN-QBE_1_CSV File 1m Bins")</f>
        <v>254401_QUIN-QBE_1_CSV File 1m Bins</v>
      </c>
      <c r="D2575">
        <v>254401</v>
      </c>
      <c r="E2575" t="s">
        <v>2163</v>
      </c>
      <c r="F2575" t="str">
        <f>HYPERLINK("https://drillhole.pir.sa.gov.au/Details.aspx?DRILLHOLE_NO=254401","Geol Survey Link")</f>
        <v>Geol Survey Link</v>
      </c>
      <c r="I2575">
        <v>-30.605499999999999</v>
      </c>
      <c r="J2575">
        <v>140.44300000000001</v>
      </c>
      <c r="K2575" t="str">
        <f>HYPERLINK("https://sarigdata.pir.sa.gov.au/nvcl/NVCLDataServices/mosaic.html?datasetid=859c214f-8e6c-4528-8365-f0459eab1d1","254401_QUIN-QBE_1_Core Image")</f>
        <v>254401_QUIN-QBE_1_Core Image</v>
      </c>
    </row>
    <row r="2576" spans="1:11" x14ac:dyDescent="0.25">
      <c r="A2576" t="str">
        <f>HYPERLINK("http://www.corstruth.com.au/SA/254803_BRD008_cs.png","254803_BRD008_A4")</f>
        <v>254803_BRD008_A4</v>
      </c>
      <c r="B2576" t="str">
        <f>HYPERLINK("http://www.corstruth.com.au/SA/PNG2/254803_BRD008_cs.png","254803_BRD008_0.25m Bins")</f>
        <v>254803_BRD008_0.25m Bins</v>
      </c>
      <c r="C2576" t="str">
        <f>HYPERLINK("http://www.corstruth.com.au/SA/CSV/254803_BRD008.csv","254803_BRD008_CSV File 1m Bins")</f>
        <v>254803_BRD008_CSV File 1m Bins</v>
      </c>
      <c r="D2576">
        <v>254803</v>
      </c>
      <c r="E2576" t="s">
        <v>2163</v>
      </c>
      <c r="F2576" t="str">
        <f>HYPERLINK("https://drillhole.pir.sa.gov.au/Details.aspx?DRILLHOLE_NO=254803","Geol Survey Link")</f>
        <v>Geol Survey Link</v>
      </c>
      <c r="I2576">
        <v>-30.648499999999999</v>
      </c>
      <c r="J2576">
        <v>140.315</v>
      </c>
      <c r="K2576" t="str">
        <f>HYPERLINK("https://sarigdata.pir.sa.gov.au/nvcl/NVCLDataServices/mosaic.html?datasetid=64ecddc1-1afb-4fb0-9175-ef1bf60a9ea","254803_BRD008_Core Image")</f>
        <v>254803_BRD008_Core Image</v>
      </c>
    </row>
    <row r="2577" spans="1:11" x14ac:dyDescent="0.25">
      <c r="A2577" t="str">
        <f>HYPERLINK("http://www.corstruth.com.au/SA/254804_BRD009_cs.png","254804_BRD009_A4")</f>
        <v>254804_BRD009_A4</v>
      </c>
      <c r="B2577" t="str">
        <f>HYPERLINK("http://www.corstruth.com.au/SA/PNG2/254804_BRD009_cs.png","254804_BRD009_0.25m Bins")</f>
        <v>254804_BRD009_0.25m Bins</v>
      </c>
      <c r="C2577" t="str">
        <f>HYPERLINK("http://www.corstruth.com.au/SA/CSV/254804_BRD009.csv","254804_BRD009_CSV File 1m Bins")</f>
        <v>254804_BRD009_CSV File 1m Bins</v>
      </c>
      <c r="D2577">
        <v>254804</v>
      </c>
      <c r="E2577" t="s">
        <v>2163</v>
      </c>
      <c r="F2577" t="str">
        <f>HYPERLINK("https://drillhole.pir.sa.gov.au/Details.aspx?DRILLHOLE_NO=254804","Geol Survey Link")</f>
        <v>Geol Survey Link</v>
      </c>
      <c r="I2577">
        <v>-30.648499999999999</v>
      </c>
      <c r="J2577">
        <v>140.32</v>
      </c>
      <c r="K2577" t="str">
        <f>HYPERLINK("https://sarigdata.pir.sa.gov.au/nvcl/NVCLDataServices/mosaic.html?datasetid=6656de17-6577-4f29-a412-ea2a1be1543","254804_BRD009_Core Image")</f>
        <v>254804_BRD009_Core Image</v>
      </c>
    </row>
    <row r="2578" spans="1:11" x14ac:dyDescent="0.25">
      <c r="A2578" t="str">
        <f>HYPERLINK("http://www.corstruth.com.au/SA/254807_BRD012_cs.png","254807_BRD012_A4")</f>
        <v>254807_BRD012_A4</v>
      </c>
      <c r="B2578" t="str">
        <f>HYPERLINK("http://www.corstruth.com.au/SA/PNG2/254807_BRD012_cs.png","254807_BRD012_0.25m Bins")</f>
        <v>254807_BRD012_0.25m Bins</v>
      </c>
      <c r="C2578" t="str">
        <f>HYPERLINK("http://www.corstruth.com.au/SA/CSV/254807_BRD012.csv","254807_BRD012_CSV File 1m Bins")</f>
        <v>254807_BRD012_CSV File 1m Bins</v>
      </c>
      <c r="D2578">
        <v>254807</v>
      </c>
      <c r="E2578" t="s">
        <v>2163</v>
      </c>
      <c r="F2578" t="str">
        <f>HYPERLINK("https://drillhole.pir.sa.gov.au/Details.aspx?DRILLHOLE_NO=254807","Geol Survey Link")</f>
        <v>Geol Survey Link</v>
      </c>
      <c r="I2578">
        <v>-30.604800000000001</v>
      </c>
      <c r="J2578">
        <v>140.35300000000001</v>
      </c>
      <c r="K2578" t="str">
        <f>HYPERLINK("https://sarigdata.pir.sa.gov.au/nvcl/NVCLDataServices/mosaic.html?datasetid=7d70f290-13f9-4afb-8314-bcf03587b76","254807_BRD012_Core Image")</f>
        <v>254807_BRD012_Core Image</v>
      </c>
    </row>
    <row r="2579" spans="1:11" x14ac:dyDescent="0.25">
      <c r="A2579" t="str">
        <f>HYPERLINK("http://www.corstruth.com.au/SA/254808_BRD013_cs.png","254808_BRD013_A4")</f>
        <v>254808_BRD013_A4</v>
      </c>
      <c r="B2579" t="str">
        <f>HYPERLINK("http://www.corstruth.com.au/SA/PNG2/254808_BRD013_cs.png","254808_BRD013_0.25m Bins")</f>
        <v>254808_BRD013_0.25m Bins</v>
      </c>
      <c r="C2579" t="str">
        <f>HYPERLINK("http://www.corstruth.com.au/SA/CSV/254808_BRD013.csv","254808_BRD013_CSV File 1m Bins")</f>
        <v>254808_BRD013_CSV File 1m Bins</v>
      </c>
      <c r="D2579">
        <v>254808</v>
      </c>
      <c r="E2579" t="s">
        <v>2163</v>
      </c>
      <c r="F2579" t="str">
        <f>HYPERLINK("https://drillhole.pir.sa.gov.au/Details.aspx?DRILLHOLE_NO=254808","Geol Survey Link")</f>
        <v>Geol Survey Link</v>
      </c>
      <c r="I2579">
        <v>-30.6052</v>
      </c>
      <c r="J2579">
        <v>140.34700000000001</v>
      </c>
      <c r="K2579" t="str">
        <f>HYPERLINK("https://sarigdata.pir.sa.gov.au/nvcl/NVCLDataServices/mosaic.html?datasetid=c30883de-b6f8-4f47-8497-3a1ed266f70","254808_BRD013_Core Image")</f>
        <v>254808_BRD013_Core Image</v>
      </c>
    </row>
    <row r="2580" spans="1:11" x14ac:dyDescent="0.25">
      <c r="A2580" t="str">
        <f>HYPERLINK("http://www.corstruth.com.au/SA/254809_BRD014_cs.png","254809_BRD014_A4")</f>
        <v>254809_BRD014_A4</v>
      </c>
      <c r="B2580" t="str">
        <f>HYPERLINK("http://www.corstruth.com.au/SA/PNG2/254809_BRD014_cs.png","254809_BRD014_0.25m Bins")</f>
        <v>254809_BRD014_0.25m Bins</v>
      </c>
      <c r="C2580" t="str">
        <f>HYPERLINK("http://www.corstruth.com.au/SA/CSV/254809_BRD014.csv","254809_BRD014_CSV File 1m Bins")</f>
        <v>254809_BRD014_CSV File 1m Bins</v>
      </c>
      <c r="D2580">
        <v>254809</v>
      </c>
      <c r="E2580" t="s">
        <v>2163</v>
      </c>
      <c r="F2580" t="str">
        <f>HYPERLINK("https://drillhole.pir.sa.gov.au/Details.aspx?DRILLHOLE_NO=254809","Geol Survey Link")</f>
        <v>Geol Survey Link</v>
      </c>
      <c r="I2580">
        <v>-30.5017</v>
      </c>
      <c r="J2580">
        <v>140.47499999999999</v>
      </c>
      <c r="K2580" t="str">
        <f>HYPERLINK("https://sarigdata.pir.sa.gov.au/nvcl/NVCLDataServices/mosaic.html?datasetid=efb5953c-d0c6-4f47-b68d-b2115018eee","254809_BRD014_Core Image")</f>
        <v>254809_BRD014_Core Image</v>
      </c>
    </row>
    <row r="2581" spans="1:11" x14ac:dyDescent="0.25">
      <c r="A2581" t="str">
        <f>HYPERLINK("http://www.corstruth.com.au/SA/256313_LY2_cs.png","256313_LY2_A4")</f>
        <v>256313_LY2_A4</v>
      </c>
      <c r="D2581">
        <v>256313</v>
      </c>
      <c r="E2581" t="s">
        <v>2163</v>
      </c>
      <c r="F2581" t="str">
        <f>HYPERLINK("https://drillhole.pir.sa.gov.au/Details.aspx?DRILLHOLE_NO=256313","Geol Survey Link")</f>
        <v>Geol Survey Link</v>
      </c>
      <c r="I2581">
        <v>-31.450099999999999</v>
      </c>
      <c r="J2581">
        <v>137.13300000000001</v>
      </c>
      <c r="K2581" t="str">
        <f>HYPERLINK("https://sarigdata.pir.sa.gov.au/nvcl/NVCLDataServices/mosaic.html?datasetid=d9f28aae-a859-45bc-be48-0855ee36811","256313_LY2_Core Image")</f>
        <v>256313_LY2_Core Image</v>
      </c>
    </row>
    <row r="2582" spans="1:11" x14ac:dyDescent="0.25">
      <c r="A2582" t="str">
        <f>HYPERLINK("http://www.corstruth.com.au/SA/256314_LY3_cs.png","256314_LY3_A4")</f>
        <v>256314_LY3_A4</v>
      </c>
      <c r="D2582">
        <v>256314</v>
      </c>
      <c r="E2582" t="s">
        <v>2163</v>
      </c>
      <c r="F2582" t="str">
        <f>HYPERLINK("https://drillhole.pir.sa.gov.au/Details.aspx?DRILLHOLE_NO=256314","Geol Survey Link")</f>
        <v>Geol Survey Link</v>
      </c>
      <c r="I2582">
        <v>-31.4344</v>
      </c>
      <c r="J2582">
        <v>137.154</v>
      </c>
      <c r="K2582" t="str">
        <f>HYPERLINK("https://sarigdata.pir.sa.gov.au/nvcl/NVCLDataServices/mosaic.html?datasetid=5d702a99-0082-4fac-ba1d-f78d88e809e","256314_LY3_Core Image")</f>
        <v>256314_LY3_Core Image</v>
      </c>
    </row>
    <row r="2583" spans="1:11" x14ac:dyDescent="0.25">
      <c r="A2583" t="str">
        <f>HYPERLINK("http://www.corstruth.com.au/SA/259027_AS10D04_cs.png","259027_AS10D04_A4")</f>
        <v>259027_AS10D04_A4</v>
      </c>
      <c r="D2583">
        <v>259027</v>
      </c>
      <c r="E2583" t="s">
        <v>2163</v>
      </c>
      <c r="F2583" t="str">
        <f>HYPERLINK("https://drillhole.pir.sa.gov.au/Details.aspx?DRILLHOLE_NO=259027","Geol Survey Link")</f>
        <v>Geol Survey Link</v>
      </c>
      <c r="I2583">
        <v>-30.7315</v>
      </c>
      <c r="J2583">
        <v>137.05000000000001</v>
      </c>
      <c r="K2583" t="str">
        <f>HYPERLINK("https://sarigdata.pir.sa.gov.au/nvcl/NVCLDataServices/mosaic.html?datasetid=3858fd4c-e487-4366-bc13-86f306f214f","259027_AS10D04_Core Image")</f>
        <v>259027_AS10D04_Core Image</v>
      </c>
    </row>
    <row r="2584" spans="1:11" x14ac:dyDescent="0.25">
      <c r="A2584" t="str">
        <f>HYPERLINK("http://www.corstruth.com.au/SA/261383_DEL10ACD001_cs.png","261383_DEL10ACD001_A4")</f>
        <v>261383_DEL10ACD001_A4</v>
      </c>
      <c r="B2584" t="str">
        <f>HYPERLINK("http://www.corstruth.com.au/SA/PNG2/261383_DEL10ACD001_cs.png","261383_DEL10ACD001_0.25m Bins")</f>
        <v>261383_DEL10ACD001_0.25m Bins</v>
      </c>
      <c r="C2584" t="str">
        <f>HYPERLINK("http://www.corstruth.com.au/SA/CSV/261383_DEL10ACD001.csv","261383_DEL10ACD001_CSV File 1m Bins")</f>
        <v>261383_DEL10ACD001_CSV File 1m Bins</v>
      </c>
      <c r="D2584">
        <v>261383</v>
      </c>
      <c r="E2584" t="s">
        <v>2163</v>
      </c>
      <c r="F2584" t="str">
        <f>HYPERLINK("https://drillhole.pir.sa.gov.au/Details.aspx?DRILLHOLE_NO=261383","Geol Survey Link")</f>
        <v>Geol Survey Link</v>
      </c>
      <c r="I2584">
        <v>-34.115400000000001</v>
      </c>
      <c r="J2584">
        <v>139.62100000000001</v>
      </c>
      <c r="K2584" t="str">
        <f>HYPERLINK("https://sarigdata.pir.sa.gov.au/nvcl/NVCLDataServices/mosaic.html?datasetid=1655d84c-102e-4a30-9ee7-9e628957733","261383_DEL10ACD001_Core Image")</f>
        <v>261383_DEL10ACD001_Core Image</v>
      </c>
    </row>
    <row r="2585" spans="1:11" x14ac:dyDescent="0.25">
      <c r="A2585" t="str">
        <f>HYPERLINK("http://www.corstruth.com.au/SA/261958_Holdfast_cs.png","261958_Holdfast_A4")</f>
        <v>261958_Holdfast_A4</v>
      </c>
      <c r="B2585" t="str">
        <f>HYPERLINK("http://www.corstruth.com.au/SA/PNG2/261958_Holdfast_cs.png","261958_Holdfast_0.25m Bins")</f>
        <v>261958_Holdfast_0.25m Bins</v>
      </c>
      <c r="C2585" t="str">
        <f>HYPERLINK("http://www.corstruth.com.au/SA/CSV/261958_Holdfast.csv","261958_Holdfast_CSV File 1m Bins")</f>
        <v>261958_Holdfast_CSV File 1m Bins</v>
      </c>
      <c r="D2585">
        <v>261958</v>
      </c>
      <c r="E2585" t="s">
        <v>2163</v>
      </c>
      <c r="F2585" t="str">
        <f>HYPERLINK("https://drillhole.pir.sa.gov.au/Details.aspx?DRILLHOLE_NO=261958","Geol Survey Link")</f>
        <v>Geol Survey Link</v>
      </c>
      <c r="I2585">
        <v>-27.7</v>
      </c>
      <c r="J2585">
        <v>140.72399999999999</v>
      </c>
      <c r="K2585" t="str">
        <f>HYPERLINK("https://sarigdata.pir.sa.gov.au/nvcl/NVCLDataServices/mosaic.html?datasetid=1a79e489-a73d-459a-801e-0d291b02c8c","261958_Holdfast_Core Image")</f>
        <v>261958_Holdfast_Core Image</v>
      </c>
    </row>
    <row r="2586" spans="1:11" x14ac:dyDescent="0.25">
      <c r="A2586" t="str">
        <f>HYPERLINK("http://www.corstruth.com.au/SA/262023_IHAD-1_cs.png","262023_IHAD-1_A4")</f>
        <v>262023_IHAD-1_A4</v>
      </c>
      <c r="D2586">
        <v>262023</v>
      </c>
      <c r="E2586" t="s">
        <v>2163</v>
      </c>
      <c r="F2586" t="str">
        <f>HYPERLINK("https://drillhole.pir.sa.gov.au/Details.aspx?DRILLHOLE_NO=262023","Geol Survey Link")</f>
        <v>Geol Survey Link</v>
      </c>
      <c r="I2586">
        <v>-31.096299999999999</v>
      </c>
      <c r="J2586">
        <v>137.11799999999999</v>
      </c>
      <c r="K2586" t="str">
        <f>HYPERLINK("https://sarigdata.pir.sa.gov.au/nvcl/NVCLDataServices/mosaic.html?datasetid=a024ce91-5dc7-443e-b223-17e9913ec9d","262023_IHAD-1_Core Image")</f>
        <v>262023_IHAD-1_Core Image</v>
      </c>
    </row>
    <row r="2587" spans="1:11" x14ac:dyDescent="0.25">
      <c r="A2587" t="str">
        <f>HYPERLINK("http://www.corstruth.com.au/SA/262023_IHAD1_cs.png","262023_IHAD1_A4")</f>
        <v>262023_IHAD1_A4</v>
      </c>
      <c r="D2587">
        <v>262023</v>
      </c>
      <c r="E2587" t="s">
        <v>2163</v>
      </c>
      <c r="F2587" t="str">
        <f>HYPERLINK("https://drillhole.pir.sa.gov.au/Details.aspx?DRILLHOLE_NO=262023","Geol Survey Link")</f>
        <v>Geol Survey Link</v>
      </c>
      <c r="I2587">
        <v>-31.096299999999999</v>
      </c>
      <c r="J2587">
        <v>137.11799999999999</v>
      </c>
    </row>
    <row r="2588" spans="1:11" x14ac:dyDescent="0.25">
      <c r="A2588" t="str">
        <f>HYPERLINK("http://www.corstruth.com.au/SA/262024_IHAD-2_cs.png","262024_IHAD-2_A4")</f>
        <v>262024_IHAD-2_A4</v>
      </c>
      <c r="D2588">
        <v>262024</v>
      </c>
      <c r="E2588" t="s">
        <v>2163</v>
      </c>
      <c r="F2588" t="str">
        <f>HYPERLINK("https://drillhole.pir.sa.gov.au/Details.aspx?DRILLHOLE_NO=262024","Geol Survey Link")</f>
        <v>Geol Survey Link</v>
      </c>
      <c r="I2588">
        <v>-31.098400000000002</v>
      </c>
      <c r="J2588">
        <v>137.154</v>
      </c>
      <c r="K2588" t="str">
        <f>HYPERLINK("https://sarigdata.pir.sa.gov.au/nvcl/NVCLDataServices/mosaic.html?datasetid=1f135e9a-3cb2-4724-b85a-033e73ebdbc","262024_IHAD-2_Core Image")</f>
        <v>262024_IHAD-2_Core Image</v>
      </c>
    </row>
    <row r="2589" spans="1:11" x14ac:dyDescent="0.25">
      <c r="A2589" t="str">
        <f>HYPERLINK("http://www.corstruth.com.au/SA/262025_IHAD-3_cs.png","262025_IHAD-3_A4")</f>
        <v>262025_IHAD-3_A4</v>
      </c>
      <c r="D2589">
        <v>262025</v>
      </c>
      <c r="E2589" t="s">
        <v>2163</v>
      </c>
      <c r="F2589" t="str">
        <f>HYPERLINK("https://drillhole.pir.sa.gov.au/Details.aspx?DRILLHOLE_NO=262025","Geol Survey Link")</f>
        <v>Geol Survey Link</v>
      </c>
      <c r="I2589">
        <v>-31.083300000000001</v>
      </c>
      <c r="J2589">
        <v>137.13900000000001</v>
      </c>
      <c r="K2589" t="str">
        <f>HYPERLINK("https://sarigdata.pir.sa.gov.au/nvcl/NVCLDataServices/mosaic.html?datasetid=f708ffb7-a3e4-46cc-ac22-bf912713991","262025_IHAD-3_Core Image")</f>
        <v>262025_IHAD-3_Core Image</v>
      </c>
    </row>
    <row r="2590" spans="1:11" x14ac:dyDescent="0.25">
      <c r="A2590" t="str">
        <f>HYPERLINK("http://www.corstruth.com.au/SA/262025_IHAD_3_cs.png","262025_IHAD_3_A4")</f>
        <v>262025_IHAD_3_A4</v>
      </c>
      <c r="B2590" t="str">
        <f>HYPERLINK("http://www.corstruth.com.au/SA/PNG2/262025_IHAD_3_cs.png","262025_IHAD_3_0.25m Bins")</f>
        <v>262025_IHAD_3_0.25m Bins</v>
      </c>
      <c r="C2590" t="str">
        <f>HYPERLINK("http://www.corstruth.com.au/SA/CSV/262025_IHAD_3.csv","262025_IHAD_3_CSV File 1m Bins")</f>
        <v>262025_IHAD_3_CSV File 1m Bins</v>
      </c>
      <c r="D2590">
        <v>262025</v>
      </c>
      <c r="E2590" t="s">
        <v>2163</v>
      </c>
      <c r="F2590" t="str">
        <f>HYPERLINK("https://drillhole.pir.sa.gov.au/Details.aspx?DRILLHOLE_NO=262025","Geol Survey Link")</f>
        <v>Geol Survey Link</v>
      </c>
      <c r="I2590">
        <v>-31.083300000000001</v>
      </c>
      <c r="J2590">
        <v>137.13900000000001</v>
      </c>
      <c r="K2590" t="str">
        <f>HYPERLINK("https://sarigdata.pir.sa.gov.au/nvcl/NVCLDataServices/mosaic.html?datasetid=f708ffb7-a3e4-46cc-ac22-bf912713991","262025_IHAD_3_Core Image")</f>
        <v>262025_IHAD_3_Core Image</v>
      </c>
    </row>
    <row r="2591" spans="1:11" x14ac:dyDescent="0.25">
      <c r="A2591" t="str">
        <f>HYPERLINK("http://www.corstruth.com.au/SA/262026_IHAD-4_cs.png","262026_IHAD-4_A4")</f>
        <v>262026_IHAD-4_A4</v>
      </c>
      <c r="D2591">
        <v>262026</v>
      </c>
      <c r="E2591" t="s">
        <v>2163</v>
      </c>
      <c r="F2591" t="str">
        <f>HYPERLINK("https://drillhole.pir.sa.gov.au/Details.aspx?DRILLHOLE_NO=262026","Geol Survey Link")</f>
        <v>Geol Survey Link</v>
      </c>
      <c r="I2591">
        <v>-31.087399999999999</v>
      </c>
      <c r="J2591">
        <v>137.11000000000001</v>
      </c>
      <c r="K2591" t="str">
        <f>HYPERLINK("https://sarigdata.pir.sa.gov.au/nvcl/NVCLDataServices/mosaic.html?datasetid=afd3226c-4149-4c3b-b09f-6a2bf3bed6c","262026_IHAD-4_Core Image")</f>
        <v>262026_IHAD-4_Core Image</v>
      </c>
    </row>
    <row r="2592" spans="1:11" x14ac:dyDescent="0.25">
      <c r="A2592" t="str">
        <f>HYPERLINK("http://www.corstruth.com.au/SA/262027_IHAD-5_cs.png","262027_IHAD-5_A4")</f>
        <v>262027_IHAD-5_A4</v>
      </c>
      <c r="D2592">
        <v>262027</v>
      </c>
      <c r="E2592" t="s">
        <v>2163</v>
      </c>
      <c r="F2592" t="str">
        <f>HYPERLINK("https://drillhole.pir.sa.gov.au/Details.aspx?DRILLHOLE_NO=262027","Geol Survey Link")</f>
        <v>Geol Survey Link</v>
      </c>
      <c r="I2592">
        <v>-31.094999999999999</v>
      </c>
      <c r="J2592">
        <v>137.15</v>
      </c>
      <c r="K2592" t="str">
        <f>HYPERLINK("https://sarigdata.pir.sa.gov.au/nvcl/NVCLDataServices/mosaic.html?datasetid=509123b6-3542-4ee0-98ce-e34fae69ff7","262027_IHAD-5_Core Image")</f>
        <v>262027_IHAD-5_Core Image</v>
      </c>
    </row>
    <row r="2593" spans="1:11" x14ac:dyDescent="0.25">
      <c r="A2593" t="str">
        <f>HYPERLINK("http://www.corstruth.com.au/SA/262027_IHAD_5_cs.png","262027_IHAD_5_A4")</f>
        <v>262027_IHAD_5_A4</v>
      </c>
      <c r="B2593" t="str">
        <f>HYPERLINK("http://www.corstruth.com.au/SA/PNG2/262027_IHAD_5_cs.png","262027_IHAD_5_0.25m Bins")</f>
        <v>262027_IHAD_5_0.25m Bins</v>
      </c>
      <c r="C2593" t="str">
        <f>HYPERLINK("http://www.corstruth.com.au/SA/CSV/262027_IHAD_5.csv","262027_IHAD_5_CSV File 1m Bins")</f>
        <v>262027_IHAD_5_CSV File 1m Bins</v>
      </c>
      <c r="D2593">
        <v>262027</v>
      </c>
      <c r="E2593" t="s">
        <v>2163</v>
      </c>
      <c r="F2593" t="str">
        <f>HYPERLINK("https://drillhole.pir.sa.gov.au/Details.aspx?DRILLHOLE_NO=262027","Geol Survey Link")</f>
        <v>Geol Survey Link</v>
      </c>
      <c r="I2593">
        <v>-31.094999999999999</v>
      </c>
      <c r="J2593">
        <v>137.15100000000001</v>
      </c>
      <c r="K2593" t="str">
        <f>HYPERLINK("https://sarigdata.pir.sa.gov.au/nvcl/NVCLDataServices/mosaic.html?datasetid=509123b6-3542-4ee0-98ce-e34fae69ff7","262027_IHAD_5_Core Image")</f>
        <v>262027_IHAD_5_Core Image</v>
      </c>
    </row>
    <row r="2594" spans="1:11" x14ac:dyDescent="0.25">
      <c r="A2594" t="str">
        <f>HYPERLINK("http://www.corstruth.com.au/SA/262028_IHAD_6_cs.png","262028_IHAD_6_A4")</f>
        <v>262028_IHAD_6_A4</v>
      </c>
      <c r="D2594">
        <v>262028</v>
      </c>
      <c r="E2594" t="s">
        <v>2163</v>
      </c>
      <c r="F2594" t="str">
        <f>HYPERLINK("https://drillhole.pir.sa.gov.au/Details.aspx?DRILLHOLE_NO=262028","Geol Survey Link")</f>
        <v>Geol Survey Link</v>
      </c>
      <c r="I2594">
        <v>-31.0916</v>
      </c>
      <c r="J2594">
        <v>137.14699999999999</v>
      </c>
      <c r="K2594" t="str">
        <f>HYPERLINK("https://sarigdata.pir.sa.gov.au/nvcl/NVCLDataServices/mosaic.html?datasetid=4fd53db6-82f9-4984-8239-0eaf4fec41b","262028_IHAD_6_Core Image")</f>
        <v>262028_IHAD_6_Core Image</v>
      </c>
    </row>
    <row r="2595" spans="1:11" x14ac:dyDescent="0.25">
      <c r="A2595" t="str">
        <f>HYPERLINK("http://www.corstruth.com.au/SA/262029_IHAD_8_cs.png","262029_IHAD_8_A4")</f>
        <v>262029_IHAD_8_A4</v>
      </c>
      <c r="D2595">
        <v>262029</v>
      </c>
      <c r="E2595" t="s">
        <v>2163</v>
      </c>
      <c r="F2595" t="str">
        <f>HYPERLINK("https://drillhole.pir.sa.gov.au/Details.aspx?DRILLHOLE_NO=262029","Geol Survey Link")</f>
        <v>Geol Survey Link</v>
      </c>
      <c r="I2595">
        <v>-31.068200000000001</v>
      </c>
      <c r="J2595">
        <v>137.01300000000001</v>
      </c>
      <c r="K2595" t="str">
        <f>HYPERLINK("https://sarigdata.pir.sa.gov.au/nvcl/NVCLDataServices/mosaic.html?datasetid=f7c9c464-1615-4a09-9410-756f0c25b4f","262029_IHAD_8_Core Image")</f>
        <v>262029_IHAD_8_Core Image</v>
      </c>
    </row>
    <row r="2596" spans="1:11" x14ac:dyDescent="0.25">
      <c r="A2596" t="str">
        <f>HYPERLINK("http://www.corstruth.com.au/SA/262029_IHAD_8_M-p_cs.png","262029_IHAD_8_M-p_A4")</f>
        <v>262029_IHAD_8_M-p_A4</v>
      </c>
      <c r="D2596">
        <v>262029</v>
      </c>
      <c r="E2596" t="s">
        <v>2163</v>
      </c>
      <c r="F2596" t="str">
        <f>HYPERLINK("https://drillhole.pir.sa.gov.au/Details.aspx?DRILLHOLE_NO=262029","Geol Survey Link")</f>
        <v>Geol Survey Link</v>
      </c>
      <c r="I2596">
        <v>-31.068200000000001</v>
      </c>
      <c r="J2596">
        <v>137.01300000000001</v>
      </c>
    </row>
    <row r="2597" spans="1:11" x14ac:dyDescent="0.25">
      <c r="A2597" t="str">
        <f>HYPERLINK("http://www.corstruth.com.au/SA/262076_FTDD01_cs.png","262076_FTDD01_A4")</f>
        <v>262076_FTDD01_A4</v>
      </c>
      <c r="B2597" t="str">
        <f>HYPERLINK("http://www.corstruth.com.au/SA/PNG2/262076_FTDD01_cs.png","262076_FTDD01_0.25m Bins")</f>
        <v>262076_FTDD01_0.25m Bins</v>
      </c>
      <c r="C2597" t="str">
        <f>HYPERLINK("http://www.corstruth.com.au/SA/CSV/262076_FTDD01.csv","262076_FTDD01_CSV File 1m Bins")</f>
        <v>262076_FTDD01_CSV File 1m Bins</v>
      </c>
      <c r="D2597">
        <v>262076</v>
      </c>
      <c r="E2597" t="s">
        <v>2163</v>
      </c>
      <c r="F2597" t="str">
        <f>HYPERLINK("https://drillhole.pir.sa.gov.au/Details.aspx?DRILLHOLE_NO=262076","Geol Survey Link")</f>
        <v>Geol Survey Link</v>
      </c>
      <c r="I2597">
        <v>-31.416399999999999</v>
      </c>
      <c r="J2597">
        <v>137.31100000000001</v>
      </c>
      <c r="K2597" t="str">
        <f>HYPERLINK("https://sarigdata.pir.sa.gov.au/nvcl/NVCLDataServices/mosaic.html?datasetid=1bb7caba-8113-4f68-b6ad-7dd6c42aca0","262076_FTDD01_Core Image")</f>
        <v>262076_FTDD01_Core Image</v>
      </c>
    </row>
    <row r="2598" spans="1:11" x14ac:dyDescent="0.25">
      <c r="A2598" t="str">
        <f>HYPERLINK("http://www.corstruth.com.au/SA/262077_BLDD01_cs.png","262077_BLDD01_A4")</f>
        <v>262077_BLDD01_A4</v>
      </c>
      <c r="B2598" t="str">
        <f>HYPERLINK("http://www.corstruth.com.au/SA/PNG2/262077_BLDD01_cs.png","262077_BLDD01_0.25m Bins")</f>
        <v>262077_BLDD01_0.25m Bins</v>
      </c>
      <c r="C2598" t="str">
        <f>HYPERLINK("http://www.corstruth.com.au/SA/CSV/262077_BLDD01.csv","262077_BLDD01_CSV File 1m Bins")</f>
        <v>262077_BLDD01_CSV File 1m Bins</v>
      </c>
      <c r="D2598">
        <v>262077</v>
      </c>
      <c r="E2598" t="s">
        <v>2163</v>
      </c>
      <c r="F2598" t="str">
        <f>HYPERLINK("https://drillhole.pir.sa.gov.au/Details.aspx?DRILLHOLE_NO=262077","Geol Survey Link")</f>
        <v>Geol Survey Link</v>
      </c>
      <c r="I2598">
        <v>-31.517099999999999</v>
      </c>
      <c r="J2598">
        <v>137.40799999999999</v>
      </c>
      <c r="K2598" t="str">
        <f>HYPERLINK("https://sarigdata.pir.sa.gov.au/nvcl/NVCLDataServices/mosaic.html?datasetid=d076d8a2-003c-4a2e-9063-e09b04fbd6a","262077_BLDD01_Core Image")</f>
        <v>262077_BLDD01_Core Image</v>
      </c>
    </row>
    <row r="2599" spans="1:11" x14ac:dyDescent="0.25">
      <c r="A2599" t="str">
        <f>HYPERLINK("http://www.corstruth.com.au/SA/262078_WWDD01_cs.png","262078_WWDD01_A4")</f>
        <v>262078_WWDD01_A4</v>
      </c>
      <c r="B2599" t="str">
        <f>HYPERLINK("http://www.corstruth.com.au/SA/PNG2/262078_WWDD01_cs.png","262078_WWDD01_0.25m Bins")</f>
        <v>262078_WWDD01_0.25m Bins</v>
      </c>
      <c r="C2599" t="str">
        <f>HYPERLINK("http://www.corstruth.com.au/SA/CSV/262078_WWDD01.csv","262078_WWDD01_CSV File 1m Bins")</f>
        <v>262078_WWDD01_CSV File 1m Bins</v>
      </c>
      <c r="D2599">
        <v>262078</v>
      </c>
      <c r="E2599" t="s">
        <v>2163</v>
      </c>
      <c r="F2599" t="str">
        <f>HYPERLINK("https://drillhole.pir.sa.gov.au/Details.aspx?DRILLHOLE_NO=262078","Geol Survey Link")</f>
        <v>Geol Survey Link</v>
      </c>
      <c r="I2599">
        <v>-31.527799999999999</v>
      </c>
      <c r="J2599">
        <v>137.411</v>
      </c>
      <c r="K2599" t="str">
        <f>HYPERLINK("https://sarigdata.pir.sa.gov.au/nvcl/NVCLDataServices/mosaic.html?datasetid=540d7e63-d768-49c3-b76b-4653e48b6ad","262078_WWDD01_Core Image")</f>
        <v>262078_WWDD01_Core Image</v>
      </c>
    </row>
    <row r="2600" spans="1:11" x14ac:dyDescent="0.25">
      <c r="A2600" t="str">
        <f>HYPERLINK("http://www.corstruth.com.au/SA/262079_PPDD01_cs.png","262079_PPDD01_A4")</f>
        <v>262079_PPDD01_A4</v>
      </c>
      <c r="B2600" t="str">
        <f>HYPERLINK("http://www.corstruth.com.au/SA/PNG2/262079_PPDD01_cs.png","262079_PPDD01_0.25m Bins")</f>
        <v>262079_PPDD01_0.25m Bins</v>
      </c>
      <c r="C2600" t="str">
        <f>HYPERLINK("http://www.corstruth.com.au/SA/CSV/262079_PPDD01.csv","262079_PPDD01_CSV File 1m Bins")</f>
        <v>262079_PPDD01_CSV File 1m Bins</v>
      </c>
      <c r="D2600">
        <v>262079</v>
      </c>
      <c r="E2600" t="s">
        <v>2163</v>
      </c>
      <c r="F2600" t="str">
        <f>HYPERLINK("https://drillhole.pir.sa.gov.au/Details.aspx?DRILLHOLE_NO=262079","Geol Survey Link")</f>
        <v>Geol Survey Link</v>
      </c>
      <c r="I2600">
        <v>-31.536000000000001</v>
      </c>
      <c r="J2600">
        <v>137.41499999999999</v>
      </c>
      <c r="K2600" t="str">
        <f>HYPERLINK("https://sarigdata.pir.sa.gov.au/nvcl/NVCLDataServices/mosaic.html?datasetid=a84dffe3-455e-4d91-8248-7e4d2b3ea2a","262079_PPDD01_Core Image")</f>
        <v>262079_PPDD01_Core Image</v>
      </c>
    </row>
    <row r="2601" spans="1:11" x14ac:dyDescent="0.25">
      <c r="A2601" t="str">
        <f>HYPERLINK("http://www.corstruth.com.au/SA/262080_NNDD01_cs.png","262080_NNDD01_A4")</f>
        <v>262080_NNDD01_A4</v>
      </c>
      <c r="B2601" t="str">
        <f>HYPERLINK("http://www.corstruth.com.au/SA/PNG2/262080_NNDD01_cs.png","262080_NNDD01_0.25m Bins")</f>
        <v>262080_NNDD01_0.25m Bins</v>
      </c>
      <c r="C2601" t="str">
        <f>HYPERLINK("http://www.corstruth.com.au/SA/CSV/262080_NNDD01.csv","262080_NNDD01_CSV File 1m Bins")</f>
        <v>262080_NNDD01_CSV File 1m Bins</v>
      </c>
      <c r="D2601">
        <v>262080</v>
      </c>
      <c r="E2601" t="s">
        <v>2163</v>
      </c>
      <c r="F2601" t="str">
        <f>HYPERLINK("https://drillhole.pir.sa.gov.au/Details.aspx?DRILLHOLE_NO=262080","Geol Survey Link")</f>
        <v>Geol Survey Link</v>
      </c>
      <c r="I2601">
        <v>-31.556899999999999</v>
      </c>
      <c r="J2601">
        <v>137.49199999999999</v>
      </c>
      <c r="K2601" t="str">
        <f>HYPERLINK("https://sarigdata.pir.sa.gov.au/nvcl/NVCLDataServices/mosaic.html?datasetid=bd4592d9-1867-4d28-834e-6d6c2faa86b","262080_NNDD01_Core Image")</f>
        <v>262080_NNDD01_Core Image</v>
      </c>
    </row>
    <row r="2602" spans="1:11" x14ac:dyDescent="0.25">
      <c r="A2602" t="str">
        <f>HYPERLINK("http://www.corstruth.com.au/SA/262081_MMDD01_cs.png","262081_MMDD01_A4")</f>
        <v>262081_MMDD01_A4</v>
      </c>
      <c r="B2602" t="str">
        <f>HYPERLINK("http://www.corstruth.com.au/SA/PNG2/262081_MMDD01_cs.png","262081_MMDD01_0.25m Bins")</f>
        <v>262081_MMDD01_0.25m Bins</v>
      </c>
      <c r="C2602" t="str">
        <f>HYPERLINK("http://www.corstruth.com.au/SA/CSV/262081_MMDD01.csv","262081_MMDD01_CSV File 1m Bins")</f>
        <v>262081_MMDD01_CSV File 1m Bins</v>
      </c>
      <c r="D2602">
        <v>262081</v>
      </c>
      <c r="E2602" t="s">
        <v>2163</v>
      </c>
      <c r="F2602" t="str">
        <f>HYPERLINK("https://drillhole.pir.sa.gov.au/Details.aspx?DRILLHOLE_NO=262081","Geol Survey Link")</f>
        <v>Geol Survey Link</v>
      </c>
      <c r="I2602">
        <v>-31.5822</v>
      </c>
      <c r="J2602">
        <v>137.56399999999999</v>
      </c>
      <c r="K2602" t="str">
        <f>HYPERLINK("https://sarigdata.pir.sa.gov.au/nvcl/NVCLDataServices/mosaic.html?datasetid=1d747d20-d95d-445a-a93d-e387678cbc2","262081_MMDD01_Core Image")</f>
        <v>262081_MMDD01_Core Image</v>
      </c>
    </row>
    <row r="2603" spans="1:11" x14ac:dyDescent="0.25">
      <c r="A2603" t="str">
        <f>HYPERLINK("http://www.corstruth.com.au/SA/262082_HODD2_cs.png","262082_HODD2_A4")</f>
        <v>262082_HODD2_A4</v>
      </c>
      <c r="B2603" t="str">
        <f>HYPERLINK("http://www.corstruth.com.au/SA/PNG2/262082_HODD2_cs.png","262082_HODD2_0.25m Bins")</f>
        <v>262082_HODD2_0.25m Bins</v>
      </c>
      <c r="C2603" t="str">
        <f>HYPERLINK("http://www.corstruth.com.au/SA/CSV/262082_HODD2.csv","262082_HODD2_CSV File 1m Bins")</f>
        <v>262082_HODD2_CSV File 1m Bins</v>
      </c>
      <c r="D2603">
        <v>262082</v>
      </c>
      <c r="E2603" t="s">
        <v>2163</v>
      </c>
      <c r="F2603" t="str">
        <f>HYPERLINK("https://drillhole.pir.sa.gov.au/Details.aspx?DRILLHOLE_NO=262082","Geol Survey Link")</f>
        <v>Geol Survey Link</v>
      </c>
      <c r="I2603">
        <v>-31.630099999999999</v>
      </c>
      <c r="J2603">
        <v>137.56800000000001</v>
      </c>
      <c r="K2603" t="str">
        <f>HYPERLINK("https://sarigdata.pir.sa.gov.au/nvcl/NVCLDataServices/mosaic.html?datasetid=30857439-24b6-46e6-aa43-a882435cd3c","262082_HODD2_Core Image")</f>
        <v>262082_HODD2_Core Image</v>
      </c>
    </row>
    <row r="2604" spans="1:11" x14ac:dyDescent="0.25">
      <c r="A2604" t="str">
        <f>HYPERLINK("http://www.corstruth.com.au/SA/262487_MGD57_cs.png","262487_MGD57_A4")</f>
        <v>262487_MGD57_A4</v>
      </c>
      <c r="B2604" t="str">
        <f>HYPERLINK("http://www.corstruth.com.au/SA/PNG2/262487_MGD57_cs.png","262487_MGD57_0.25m Bins")</f>
        <v>262487_MGD57_0.25m Bins</v>
      </c>
      <c r="C2604" t="str">
        <f>HYPERLINK("http://www.corstruth.com.au/SA/CSV/262487_MGD57.csv","262487_MGD57_CSV File 1m Bins")</f>
        <v>262487_MGD57_CSV File 1m Bins</v>
      </c>
      <c r="D2604">
        <v>262487</v>
      </c>
      <c r="E2604" t="s">
        <v>2163</v>
      </c>
      <c r="F2604" t="str">
        <f>HYPERLINK("https://drillhole.pir.sa.gov.au/Details.aspx?DRILLHOLE_NO=262487","Geol Survey Link")</f>
        <v>Geol Survey Link</v>
      </c>
      <c r="I2604">
        <v>-31.105599999999999</v>
      </c>
      <c r="J2604">
        <v>137.15299999999999</v>
      </c>
      <c r="K2604" t="str">
        <f>HYPERLINK("https://sarigdata.pir.sa.gov.au/nvcl/NVCLDataServices/mosaic.html?datasetid=4e302590-d206-486f-907d-2a5d8c1cfc8","262487_MGD57_Core Image")</f>
        <v>262487_MGD57_Core Image</v>
      </c>
    </row>
    <row r="2605" spans="1:11" x14ac:dyDescent="0.25">
      <c r="A2605" t="str">
        <f>HYPERLINK("http://www.corstruth.com.au/SA/2626_TALL_TPS15_cs.png","2626_TALL_TPS15_A4")</f>
        <v>2626_TALL_TPS15_A4</v>
      </c>
      <c r="D2605">
        <v>2626</v>
      </c>
      <c r="E2605" t="s">
        <v>2163</v>
      </c>
      <c r="F2605" t="str">
        <f>HYPERLINK("https://drillhole.pir.sa.gov.au/Details.aspx?DRILLHOLE_NO=2626","Geol Survey Link")</f>
        <v>Geol Survey Link</v>
      </c>
      <c r="I2605">
        <v>-29.252600000000001</v>
      </c>
      <c r="J2605">
        <v>133.25700000000001</v>
      </c>
    </row>
    <row r="2606" spans="1:11" x14ac:dyDescent="0.25">
      <c r="A2606" t="str">
        <f>HYPERLINK("http://www.corstruth.com.au/SA/2627_TALL_TPS16_cs.png","2627_TALL_TPS16_A4")</f>
        <v>2627_TALL_TPS16_A4</v>
      </c>
      <c r="D2606">
        <v>2627</v>
      </c>
      <c r="E2606" t="s">
        <v>2163</v>
      </c>
      <c r="F2606" t="str">
        <f>HYPERLINK("https://drillhole.pir.sa.gov.au/Details.aspx?DRILLHOLE_NO=2627","Geol Survey Link")</f>
        <v>Geol Survey Link</v>
      </c>
      <c r="I2606">
        <v>-29.457999999999998</v>
      </c>
      <c r="J2606">
        <v>133.101</v>
      </c>
    </row>
    <row r="2607" spans="1:11" x14ac:dyDescent="0.25">
      <c r="A2607" t="str">
        <f>HYPERLINK("http://www.corstruth.com.au/SA/262976_VUD001_cs.png","262976_VUD001_A4")</f>
        <v>262976_VUD001_A4</v>
      </c>
      <c r="D2607">
        <v>262976</v>
      </c>
      <c r="E2607" t="s">
        <v>2163</v>
      </c>
      <c r="F2607" t="str">
        <f>HYPERLINK("https://drillhole.pir.sa.gov.au/Details.aspx?DRILLHOLE_NO=262976","Geol Survey Link")</f>
        <v>Geol Survey Link</v>
      </c>
      <c r="I2607">
        <v>-30.175000000000001</v>
      </c>
      <c r="J2607">
        <v>137.01300000000001</v>
      </c>
    </row>
    <row r="2608" spans="1:11" x14ac:dyDescent="0.25">
      <c r="A2608" t="str">
        <f>HYPERLINK("http://www.corstruth.com.au/SA/264461_EUDH002_cs.png","264461_EUDH002_A4")</f>
        <v>264461_EUDH002_A4</v>
      </c>
      <c r="B2608" t="str">
        <f>HYPERLINK("http://www.corstruth.com.au/SA/PNG2/264461_EUDH002_cs.png","264461_EUDH002_0.25m Bins")</f>
        <v>264461_EUDH002_0.25m Bins</v>
      </c>
      <c r="C2608" t="str">
        <f>HYPERLINK("http://www.corstruth.com.au/SA/CSV/264461_EUDH002.csv","264461_EUDH002_CSV File 1m Bins")</f>
        <v>264461_EUDH002_CSV File 1m Bins</v>
      </c>
      <c r="D2608">
        <v>264461</v>
      </c>
      <c r="E2608" t="s">
        <v>2163</v>
      </c>
      <c r="F2608" t="str">
        <f>HYPERLINK("https://drillhole.pir.sa.gov.au/Details.aspx?DRILLHOLE_NO=264461","Geol Survey Link")</f>
        <v>Geol Survey Link</v>
      </c>
      <c r="I2608">
        <v>-32.856999999999999</v>
      </c>
      <c r="J2608">
        <v>136.625</v>
      </c>
      <c r="K2608" t="str">
        <f>HYPERLINK("https://sarigdata.pir.sa.gov.au/nvcl/NVCLDataServices/mosaic.html?datasetid=294b4c10-9fb0-4396-ad17-e1481c78849","264461_EUDH002_Core Image")</f>
        <v>264461_EUDH002_Core Image</v>
      </c>
    </row>
    <row r="2609" spans="1:11" x14ac:dyDescent="0.25">
      <c r="A2609" t="str">
        <f>HYPERLINK("http://www.corstruth.com.au/SA/268238_GHDD6_cs.png","268238_GHDD6_A4")</f>
        <v>268238_GHDD6_A4</v>
      </c>
      <c r="B2609" t="str">
        <f>HYPERLINK("http://www.corstruth.com.au/SA/PNG2/268238_GHDD6_cs.png","268238_GHDD6_0.25m Bins")</f>
        <v>268238_GHDD6_0.25m Bins</v>
      </c>
      <c r="C2609" t="str">
        <f>HYPERLINK("http://www.corstruth.com.au/SA/CSV/268238_GHDD6.csv","268238_GHDD6_CSV File 1m Bins")</f>
        <v>268238_GHDD6_CSV File 1m Bins</v>
      </c>
      <c r="D2609">
        <v>268238</v>
      </c>
      <c r="E2609" t="s">
        <v>2163</v>
      </c>
      <c r="F2609" t="str">
        <f>HYPERLINK("https://drillhole.pir.sa.gov.au/Details.aspx?DRILLHOLE_NO=268238","Geol Survey Link")</f>
        <v>Geol Survey Link</v>
      </c>
      <c r="I2609">
        <v>-31.565300000000001</v>
      </c>
      <c r="J2609">
        <v>137.49</v>
      </c>
      <c r="K2609" t="str">
        <f>HYPERLINK("https://sarigdata.pir.sa.gov.au/nvcl/NVCLDataServices/mosaic.html?datasetid=593d2837-5002-48f3-b06f-889bbb95779","268238_GHDD6_Core Image")</f>
        <v>268238_GHDD6_Core Image</v>
      </c>
    </row>
    <row r="2610" spans="1:11" x14ac:dyDescent="0.25">
      <c r="A2610" t="str">
        <f>HYPERLINK("http://www.corstruth.com.au/SA/268308_WPDD2_cs.png","268308_WPDD2_A4")</f>
        <v>268308_WPDD2_A4</v>
      </c>
      <c r="B2610" t="str">
        <f>HYPERLINK("http://www.corstruth.com.au/SA/PNG2/268308_WPDD2_cs.png","268308_WPDD2_0.25m Bins")</f>
        <v>268308_WPDD2_0.25m Bins</v>
      </c>
      <c r="C2610" t="str">
        <f>HYPERLINK("http://www.corstruth.com.au/SA/CSV/268308_WPDD2.csv","268308_WPDD2_CSV File 1m Bins")</f>
        <v>268308_WPDD2_CSV File 1m Bins</v>
      </c>
      <c r="D2610">
        <v>268308</v>
      </c>
      <c r="E2610" t="s">
        <v>2163</v>
      </c>
      <c r="F2610" t="str">
        <f>HYPERLINK("https://drillhole.pir.sa.gov.au/Details.aspx?DRILLHOLE_NO=268308","Geol Survey Link")</f>
        <v>Geol Survey Link</v>
      </c>
      <c r="I2610">
        <v>-31.592700000000001</v>
      </c>
      <c r="J2610">
        <v>137.52099999999999</v>
      </c>
      <c r="K2610" t="str">
        <f>HYPERLINK("https://sarigdata.pir.sa.gov.au/nvcl/NVCLDataServices/mosaic.html?datasetid=711d2611-978f-414f-a339-13fac836a6e","268308_WPDD2_Core Image")</f>
        <v>268308_WPDD2_Core Image</v>
      </c>
    </row>
    <row r="2611" spans="1:11" x14ac:dyDescent="0.25">
      <c r="A2611" t="str">
        <f>HYPERLINK("http://www.corstruth.com.au/SA/268309_PDDD1_cs.png","268309_PDDD1_A4")</f>
        <v>268309_PDDD1_A4</v>
      </c>
      <c r="B2611" t="str">
        <f>HYPERLINK("http://www.corstruth.com.au/SA/PNG2/268309_PDDD1_cs.png","268309_PDDD1_0.25m Bins")</f>
        <v>268309_PDDD1_0.25m Bins</v>
      </c>
      <c r="C2611" t="str">
        <f>HYPERLINK("http://www.corstruth.com.au/SA/CSV/268309_PDDD1.csv","268309_PDDD1_CSV File 1m Bins")</f>
        <v>268309_PDDD1_CSV File 1m Bins</v>
      </c>
      <c r="D2611">
        <v>268309</v>
      </c>
      <c r="E2611" t="s">
        <v>2163</v>
      </c>
      <c r="F2611" t="str">
        <f>HYPERLINK("https://drillhole.pir.sa.gov.au/Details.aspx?DRILLHOLE_NO=268309","Geol Survey Link")</f>
        <v>Geol Survey Link</v>
      </c>
      <c r="I2611">
        <v>-31.5396</v>
      </c>
      <c r="J2611">
        <v>137.518</v>
      </c>
      <c r="K2611" t="str">
        <f>HYPERLINK("https://sarigdata.pir.sa.gov.au/nvcl/NVCLDataServices/mosaic.html?datasetid=0edd4da9-f410-41a0-a4c7-3fd7a633ce3","268309_PDDD1_Core Image")</f>
        <v>268309_PDDD1_Core Image</v>
      </c>
    </row>
    <row r="2612" spans="1:11" x14ac:dyDescent="0.25">
      <c r="A2612" t="str">
        <f>HYPERLINK("http://www.corstruth.com.au/SA/268310_HODD1_cs.png","268310_HODD1_A4")</f>
        <v>268310_HODD1_A4</v>
      </c>
      <c r="B2612" t="str">
        <f>HYPERLINK("http://www.corstruth.com.au/SA/PNG2/268310_HODD1_cs.png","268310_HODD1_0.25m Bins")</f>
        <v>268310_HODD1_0.25m Bins</v>
      </c>
      <c r="C2612" t="str">
        <f>HYPERLINK("http://www.corstruth.com.au/SA/CSV/268310_HODD1.csv","268310_HODD1_CSV File 1m Bins")</f>
        <v>268310_HODD1_CSV File 1m Bins</v>
      </c>
      <c r="D2612">
        <v>268310</v>
      </c>
      <c r="E2612" t="s">
        <v>2163</v>
      </c>
      <c r="F2612" t="str">
        <f>HYPERLINK("https://drillhole.pir.sa.gov.au/Details.aspx?DRILLHOLE_NO=268310","Geol Survey Link")</f>
        <v>Geol Survey Link</v>
      </c>
      <c r="I2612">
        <v>-31.6279</v>
      </c>
      <c r="J2612">
        <v>137.55799999999999</v>
      </c>
      <c r="K2612" t="str">
        <f>HYPERLINK("https://sarigdata.pir.sa.gov.au/nvcl/NVCLDataServices/mosaic.html?datasetid=ed88554c-dfe2-43aa-a069-6098749d371","268310_HODD1_Core Image")</f>
        <v>268310_HODD1_Core Image</v>
      </c>
    </row>
    <row r="2613" spans="1:11" x14ac:dyDescent="0.25">
      <c r="A2613" t="str">
        <f>HYPERLINK("http://www.corstruth.com.au/SA/268311_GHDD_3_cs.png","268311_GHDD_3_A4")</f>
        <v>268311_GHDD_3_A4</v>
      </c>
      <c r="B2613" t="str">
        <f>HYPERLINK("http://www.corstruth.com.au/SA/PNG2/268311_GHDD_3_cs.png","268311_GHDD_3_0.25m Bins")</f>
        <v>268311_GHDD_3_0.25m Bins</v>
      </c>
      <c r="C2613" t="str">
        <f>HYPERLINK("http://www.corstruth.com.au/SA/CSV/268311_GHDD_3.csv","268311_GHDD_3_CSV File 1m Bins")</f>
        <v>268311_GHDD_3_CSV File 1m Bins</v>
      </c>
      <c r="D2613">
        <v>268311</v>
      </c>
      <c r="E2613" t="s">
        <v>2163</v>
      </c>
      <c r="F2613" t="str">
        <f>HYPERLINK("https://drillhole.pir.sa.gov.au/Details.aspx?DRILLHOLE_NO=268311","Geol Survey Link")</f>
        <v>Geol Survey Link</v>
      </c>
      <c r="I2613">
        <v>-31.568000000000001</v>
      </c>
      <c r="J2613">
        <v>137.489</v>
      </c>
      <c r="K2613" t="str">
        <f>HYPERLINK("https://sarigdata.pir.sa.gov.au/nvcl/NVCLDataServices/mosaic.html?datasetid=0886ec8b-3e94-4b40-a9c5-7f043070ac1","268311_GHDD_3_Core Image")</f>
        <v>268311_GHDD_3_Core Image</v>
      </c>
    </row>
    <row r="2614" spans="1:11" x14ac:dyDescent="0.25">
      <c r="A2614" t="str">
        <f>HYPERLINK("http://www.corstruth.com.au/SA/268312_WDDD2_cs.png","268312_WDDD2_A4")</f>
        <v>268312_WDDD2_A4</v>
      </c>
      <c r="B2614" t="str">
        <f>HYPERLINK("http://www.corstruth.com.au/SA/PNG2/268312_WDDD2_cs.png","268312_WDDD2_0.25m Bins")</f>
        <v>268312_WDDD2_0.25m Bins</v>
      </c>
      <c r="C2614" t="str">
        <f>HYPERLINK("http://www.corstruth.com.au/SA/CSV/268312_WDDD2.csv","268312_WDDD2_CSV File 1m Bins")</f>
        <v>268312_WDDD2_CSV File 1m Bins</v>
      </c>
      <c r="D2614">
        <v>268312</v>
      </c>
      <c r="E2614" t="s">
        <v>2163</v>
      </c>
      <c r="F2614" t="str">
        <f>HYPERLINK("https://drillhole.pir.sa.gov.au/Details.aspx?DRILLHOLE_NO=268312","Geol Survey Link")</f>
        <v>Geol Survey Link</v>
      </c>
      <c r="I2614">
        <v>-31.5748</v>
      </c>
      <c r="J2614">
        <v>137.505</v>
      </c>
      <c r="K2614" t="str">
        <f>HYPERLINK("https://sarigdata.pir.sa.gov.au/nvcl/NVCLDataServices/mosaic.html?datasetid=6cb3fc9f-263f-4030-8b37-c7c6e7f2f9b","268312_WDDD2_Core Image")</f>
        <v>268312_WDDD2_Core Image</v>
      </c>
    </row>
    <row r="2615" spans="1:11" x14ac:dyDescent="0.25">
      <c r="A2615" t="str">
        <f>HYPERLINK("http://www.corstruth.com.au/SA/268313_HODD3_cs.png","268313_HODD3_A4")</f>
        <v>268313_HODD3_A4</v>
      </c>
      <c r="B2615" t="str">
        <f>HYPERLINK("http://www.corstruth.com.au/SA/PNG2/268313_HODD3_cs.png","268313_HODD3_0.25m Bins")</f>
        <v>268313_HODD3_0.25m Bins</v>
      </c>
      <c r="C2615" t="str">
        <f>HYPERLINK("http://www.corstruth.com.au/SA/CSV/268313_HODD3.csv","268313_HODD3_CSV File 1m Bins")</f>
        <v>268313_HODD3_CSV File 1m Bins</v>
      </c>
      <c r="D2615">
        <v>268313</v>
      </c>
      <c r="E2615" t="s">
        <v>2163</v>
      </c>
      <c r="F2615" t="str">
        <f>HYPERLINK("https://drillhole.pir.sa.gov.au/Details.aspx?DRILLHOLE_NO=268313","Geol Survey Link")</f>
        <v>Geol Survey Link</v>
      </c>
      <c r="I2615">
        <v>-31.630199999999999</v>
      </c>
      <c r="J2615">
        <v>137.56800000000001</v>
      </c>
      <c r="K2615" t="str">
        <f>HYPERLINK("https://sarigdata.pir.sa.gov.au/nvcl/NVCLDataServices/mosaic.html?datasetid=44c14020-7310-41cd-ad42-dc79959467e","268313_HODD3_Core Image")</f>
        <v>268313_HODD3_Core Image</v>
      </c>
    </row>
    <row r="2616" spans="1:11" x14ac:dyDescent="0.25">
      <c r="A2616" t="str">
        <f>HYPERLINK("http://www.corstruth.com.au/SA/268314_GHDD4_cs.png","268314_GHDD4_A4")</f>
        <v>268314_GHDD4_A4</v>
      </c>
      <c r="B2616" t="str">
        <f>HYPERLINK("http://www.corstruth.com.au/SA/PNG2/268314_GHDD4_cs.png","268314_GHDD4_0.25m Bins")</f>
        <v>268314_GHDD4_0.25m Bins</v>
      </c>
      <c r="C2616" t="str">
        <f>HYPERLINK("http://www.corstruth.com.au/SA/CSV/268314_GHDD4.csv","268314_GHDD4_CSV File 1m Bins")</f>
        <v>268314_GHDD4_CSV File 1m Bins</v>
      </c>
      <c r="D2616">
        <v>268314</v>
      </c>
      <c r="E2616" t="s">
        <v>2163</v>
      </c>
      <c r="F2616" t="str">
        <f>HYPERLINK("https://drillhole.pir.sa.gov.au/Details.aspx?DRILLHOLE_NO=268314","Geol Survey Link")</f>
        <v>Geol Survey Link</v>
      </c>
      <c r="I2616">
        <v>-31.567299999999999</v>
      </c>
      <c r="J2616">
        <v>137.49100000000001</v>
      </c>
      <c r="K2616" t="str">
        <f>HYPERLINK("https://sarigdata.pir.sa.gov.au/nvcl/NVCLDataServices/mosaic.html?datasetid=298162b9-fed3-40fd-be08-40fb3e0461b","268314_GHDD4_Core Image")</f>
        <v>268314_GHDD4_Core Image</v>
      </c>
    </row>
    <row r="2617" spans="1:11" x14ac:dyDescent="0.25">
      <c r="A2617" t="str">
        <f>HYPERLINK("http://www.corstruth.com.au/SA/268315_GHDD5_cs.png","268315_GHDD5_A4")</f>
        <v>268315_GHDD5_A4</v>
      </c>
      <c r="B2617" t="str">
        <f>HYPERLINK("http://www.corstruth.com.au/SA/PNG2/268315_GHDD5_cs.png","268315_GHDD5_0.25m Bins")</f>
        <v>268315_GHDD5_0.25m Bins</v>
      </c>
      <c r="C2617" t="str">
        <f>HYPERLINK("http://www.corstruth.com.au/SA/CSV/268315_GHDD5.csv","268315_GHDD5_CSV File 1m Bins")</f>
        <v>268315_GHDD5_CSV File 1m Bins</v>
      </c>
      <c r="D2617">
        <v>268315</v>
      </c>
      <c r="E2617" t="s">
        <v>2163</v>
      </c>
      <c r="F2617" t="str">
        <f>HYPERLINK("https://drillhole.pir.sa.gov.au/Details.aspx?DRILLHOLE_NO=268315","Geol Survey Link")</f>
        <v>Geol Survey Link</v>
      </c>
      <c r="I2617">
        <v>-31.5702</v>
      </c>
      <c r="J2617">
        <v>137.495</v>
      </c>
      <c r="K2617" t="str">
        <f>HYPERLINK("https://sarigdata.pir.sa.gov.au/nvcl/NVCLDataServices/mosaic.html?datasetid=e81aa4c9-8217-483b-9997-57abaf971d0","268315_GHDD5_Core Image")</f>
        <v>268315_GHDD5_Core Image</v>
      </c>
    </row>
    <row r="2618" spans="1:11" x14ac:dyDescent="0.25">
      <c r="A2618" t="str">
        <f>HYPERLINK("http://www.corstruth.com.au/SA/269223_DDHURAN1_cs.png","269223_DDHURAN1_A4")</f>
        <v>269223_DDHURAN1_A4</v>
      </c>
      <c r="B2618" t="str">
        <f>HYPERLINK("http://www.corstruth.com.au/SA/PNG2/269223_DDHURAN1_cs.png","269223_DDHURAN1_0.25m Bins")</f>
        <v>269223_DDHURAN1_0.25m Bins</v>
      </c>
      <c r="C2618" t="str">
        <f>HYPERLINK("http://www.corstruth.com.au/SA/CSV/269223_DDHURAN1.csv","269223_DDHURAN1_CSV File 1m Bins")</f>
        <v>269223_DDHURAN1_CSV File 1m Bins</v>
      </c>
      <c r="D2618">
        <v>269223</v>
      </c>
      <c r="E2618" t="s">
        <v>2163</v>
      </c>
      <c r="F2618" t="str">
        <f>HYPERLINK("https://drillhole.pir.sa.gov.au/Details.aspx?DRILLHOLE_NO=269223","Geol Survey Link")</f>
        <v>Geol Survey Link</v>
      </c>
      <c r="I2618">
        <v>-29.7194</v>
      </c>
      <c r="J2618">
        <v>135.57599999999999</v>
      </c>
      <c r="K2618" t="str">
        <f>HYPERLINK("https://sarigdata.pir.sa.gov.au/nvcl/NVCLDataServices/mosaic.html?datasetid=d99114eb-3ff4-4b92-a154-0f185547326","269223_DDHURAN1_Core Image")</f>
        <v>269223_DDHURAN1_Core Image</v>
      </c>
    </row>
    <row r="2619" spans="1:11" x14ac:dyDescent="0.25">
      <c r="A2619" t="str">
        <f>HYPERLINK("http://www.corstruth.com.au/SA/270096_WDDH01_cs.png","270096_WDDH01_A4")</f>
        <v>270096_WDDH01_A4</v>
      </c>
      <c r="B2619" t="str">
        <f>HYPERLINK("http://www.corstruth.com.au/SA/PNG2/270096_WDDH01_cs.png","270096_WDDH01_0.25m Bins")</f>
        <v>270096_WDDH01_0.25m Bins</v>
      </c>
      <c r="C2619" t="str">
        <f>HYPERLINK("http://www.corstruth.com.au/SA/CSV/270096_WDDH01.csv","270096_WDDH01_CSV File 1m Bins")</f>
        <v>270096_WDDH01_CSV File 1m Bins</v>
      </c>
      <c r="D2619">
        <v>270096</v>
      </c>
      <c r="E2619" t="s">
        <v>2163</v>
      </c>
      <c r="F2619" t="str">
        <f>HYPERLINK("https://drillhole.pir.sa.gov.au/Details.aspx?DRILLHOLE_NO=270096","Geol Survey Link")</f>
        <v>Geol Survey Link</v>
      </c>
      <c r="I2619">
        <v>-32.841500000000003</v>
      </c>
      <c r="J2619">
        <v>136.26499999999999</v>
      </c>
      <c r="K2619" t="str">
        <f>HYPERLINK("https://sarigdata.pir.sa.gov.au/nvcl/NVCLDataServices/mosaic.html?datasetid=75cfcf37-dafd-4e6c-b041-ba199f30a21","270096_WDDH01_Core Image")</f>
        <v>270096_WDDH01_Core Image</v>
      </c>
    </row>
    <row r="2620" spans="1:11" x14ac:dyDescent="0.25">
      <c r="A2620" t="str">
        <f>HYPERLINK("http://www.corstruth.com.au/SA/270294_IRD204_cs.png","270294_IRD204_A4")</f>
        <v>270294_IRD204_A4</v>
      </c>
      <c r="B2620" t="str">
        <f>HYPERLINK("http://www.corstruth.com.au/SA/PNG2/270294_IRD204_cs.png","270294_IRD204_0.25m Bins")</f>
        <v>270294_IRD204_0.25m Bins</v>
      </c>
      <c r="C2620" t="str">
        <f>HYPERLINK("http://www.corstruth.com.au/SA/CSV/270294_IRD204.csv","270294_IRD204_CSV File 1m Bins")</f>
        <v>270294_IRD204_CSV File 1m Bins</v>
      </c>
      <c r="D2620">
        <v>270294</v>
      </c>
      <c r="E2620" t="s">
        <v>2163</v>
      </c>
      <c r="F2620" t="str">
        <f>HYPERLINK("https://drillhole.pir.sa.gov.au/Details.aspx?DRILLHOLE_NO=270294","Geol Survey Link")</f>
        <v>Geol Survey Link</v>
      </c>
      <c r="I2620">
        <v>-33.244199999999999</v>
      </c>
      <c r="J2620">
        <v>135.66900000000001</v>
      </c>
      <c r="K2620" t="str">
        <f>HYPERLINK("https://sarigdata.pir.sa.gov.au/nvcl/NVCLDataServices/mosaic.html?datasetid=f5c465c0-c413-4193-b379-5ae0dc076f3","270294_IRD204_Core Image")</f>
        <v>270294_IRD204_Core Image</v>
      </c>
    </row>
    <row r="2621" spans="1:11" x14ac:dyDescent="0.25">
      <c r="A2621" t="str">
        <f>HYPERLINK("http://www.corstruth.com.au/SA/270295_IRD224_cs.png","270295_IRD224_A4")</f>
        <v>270295_IRD224_A4</v>
      </c>
      <c r="B2621" t="str">
        <f>HYPERLINK("http://www.corstruth.com.au/SA/PNG2/270295_IRD224_cs.png","270295_IRD224_0.25m Bins")</f>
        <v>270295_IRD224_0.25m Bins</v>
      </c>
      <c r="C2621" t="str">
        <f>HYPERLINK("http://www.corstruth.com.au/SA/CSV/270295_IRD224.csv","270295_IRD224_CSV File 1m Bins")</f>
        <v>270295_IRD224_CSV File 1m Bins</v>
      </c>
      <c r="D2621">
        <v>270295</v>
      </c>
      <c r="E2621" t="s">
        <v>2163</v>
      </c>
      <c r="F2621" t="str">
        <f>HYPERLINK("https://drillhole.pir.sa.gov.au/Details.aspx?DRILLHOLE_NO=270295","Geol Survey Link")</f>
        <v>Geol Survey Link</v>
      </c>
      <c r="I2621">
        <v>-33.242400000000004</v>
      </c>
      <c r="J2621">
        <v>135.66900000000001</v>
      </c>
      <c r="K2621" t="str">
        <f>HYPERLINK("https://sarigdata.pir.sa.gov.au/nvcl/NVCLDataServices/mosaic.html?datasetid=d21e1766-b222-4dc7-b6f4-7204db7bc1e","270295_IRD224_Core Image")</f>
        <v>270295_IRD224_Core Image</v>
      </c>
    </row>
    <row r="2622" spans="1:11" x14ac:dyDescent="0.25">
      <c r="A2622" t="str">
        <f>HYPERLINK("http://www.corstruth.com.au/SA/270296_IRD274_cs.png","270296_IRD274_A4")</f>
        <v>270296_IRD274_A4</v>
      </c>
      <c r="B2622" t="str">
        <f>HYPERLINK("http://www.corstruth.com.au/SA/PNG2/270296_IRD274_cs.png","270296_IRD274_0.25m Bins")</f>
        <v>270296_IRD274_0.25m Bins</v>
      </c>
      <c r="C2622" t="str">
        <f>HYPERLINK("http://www.corstruth.com.au/SA/CSV/270296_IRD274.csv","270296_IRD274_CSV File 1m Bins")</f>
        <v>270296_IRD274_CSV File 1m Bins</v>
      </c>
      <c r="D2622">
        <v>270296</v>
      </c>
      <c r="E2622" t="s">
        <v>2163</v>
      </c>
      <c r="F2622" t="str">
        <f>HYPERLINK("https://drillhole.pir.sa.gov.au/Details.aspx?DRILLHOLE_NO=270296","Geol Survey Link")</f>
        <v>Geol Survey Link</v>
      </c>
      <c r="I2622">
        <v>-33.247799999999998</v>
      </c>
      <c r="J2622">
        <v>135.66499999999999</v>
      </c>
      <c r="K2622" t="str">
        <f>HYPERLINK("https://sarigdata.pir.sa.gov.au/nvcl/NVCLDataServices/mosaic.html?datasetid=d1122870-18ed-479a-be87-cbc14152325","270296_IRD274_Core Image")</f>
        <v>270296_IRD274_Core Image</v>
      </c>
    </row>
    <row r="2623" spans="1:11" x14ac:dyDescent="0.25">
      <c r="A2623" t="str">
        <f>HYPERLINK("http://www.corstruth.com.au/SA/272687_GHDD7_cs.png","272687_GHDD7_A4")</f>
        <v>272687_GHDD7_A4</v>
      </c>
      <c r="B2623" t="str">
        <f>HYPERLINK("http://www.corstruth.com.au/SA/PNG2/272687_GHDD7_cs.png","272687_GHDD7_0.25m Bins")</f>
        <v>272687_GHDD7_0.25m Bins</v>
      </c>
      <c r="C2623" t="str">
        <f>HYPERLINK("http://www.corstruth.com.au/SA/CSV/272687_GHDD7.csv","272687_GHDD7_CSV File 1m Bins")</f>
        <v>272687_GHDD7_CSV File 1m Bins</v>
      </c>
      <c r="D2623">
        <v>272687</v>
      </c>
      <c r="E2623" t="s">
        <v>2163</v>
      </c>
      <c r="F2623" t="str">
        <f>HYPERLINK("https://drillhole.pir.sa.gov.au/Details.aspx?DRILLHOLE_NO=272687","Geol Survey Link")</f>
        <v>Geol Survey Link</v>
      </c>
      <c r="I2623">
        <v>-31.5687</v>
      </c>
      <c r="J2623">
        <v>137.49299999999999</v>
      </c>
      <c r="K2623" t="str">
        <f>HYPERLINK("https://sarigdata.pir.sa.gov.au/nvcl/NVCLDataServices/mosaic.html?datasetid=1d6e0129-76d9-4404-bf56-ab8aac7198d","272687_GHDD7_Core Image")</f>
        <v>272687_GHDD7_Core Image</v>
      </c>
    </row>
    <row r="2624" spans="1:11" x14ac:dyDescent="0.25">
      <c r="A2624" t="str">
        <f>HYPERLINK("http://www.corstruth.com.au/SA/272688_OCDD01_cs.png","272688_OCDD01_A4")</f>
        <v>272688_OCDD01_A4</v>
      </c>
      <c r="B2624" t="str">
        <f>HYPERLINK("http://www.corstruth.com.au/SA/PNG2/272688_OCDD01_cs.png","272688_OCDD01_0.25m Bins")</f>
        <v>272688_OCDD01_0.25m Bins</v>
      </c>
      <c r="C2624" t="str">
        <f>HYPERLINK("http://www.corstruth.com.au/SA/CSV/272688_OCDD01.csv","272688_OCDD01_CSV File 1m Bins")</f>
        <v>272688_OCDD01_CSV File 1m Bins</v>
      </c>
      <c r="D2624">
        <v>272688</v>
      </c>
      <c r="E2624" t="s">
        <v>2163</v>
      </c>
      <c r="F2624" t="str">
        <f>HYPERLINK("https://drillhole.pir.sa.gov.au/Details.aspx?DRILLHOLE_NO=272688","Geol Survey Link")</f>
        <v>Geol Survey Link</v>
      </c>
      <c r="I2624">
        <v>-31.503900000000002</v>
      </c>
      <c r="J2624">
        <v>137.47399999999999</v>
      </c>
      <c r="K2624" t="str">
        <f>HYPERLINK("https://sarigdata.pir.sa.gov.au/nvcl/NVCLDataServices/mosaic.html?datasetid=3b27c3f6-7fbb-4591-bae7-4442f0236ff","272688_OCDD01_Core Image")</f>
        <v>272688_OCDD01_Core Image</v>
      </c>
    </row>
    <row r="2625" spans="1:11" x14ac:dyDescent="0.25">
      <c r="A2625" t="str">
        <f>HYPERLINK("http://www.corstruth.com.au/SA/272689_WPDD1_cs.png","272689_WPDD1_A4")</f>
        <v>272689_WPDD1_A4</v>
      </c>
      <c r="B2625" t="str">
        <f>HYPERLINK("http://www.corstruth.com.au/SA/PNG2/272689_WPDD1_cs.png","272689_WPDD1_0.25m Bins")</f>
        <v>272689_WPDD1_0.25m Bins</v>
      </c>
      <c r="C2625" t="str">
        <f>HYPERLINK("http://www.corstruth.com.au/SA/CSV/272689_WPDD1.csv","272689_WPDD1_CSV File 1m Bins")</f>
        <v>272689_WPDD1_CSV File 1m Bins</v>
      </c>
      <c r="D2625">
        <v>272689</v>
      </c>
      <c r="E2625" t="s">
        <v>2163</v>
      </c>
      <c r="F2625" t="str">
        <f>HYPERLINK("https://drillhole.pir.sa.gov.au/Details.aspx?DRILLHOLE_NO=272689","Geol Survey Link")</f>
        <v>Geol Survey Link</v>
      </c>
      <c r="I2625">
        <v>-31.590800000000002</v>
      </c>
      <c r="J2625">
        <v>137.51400000000001</v>
      </c>
      <c r="K2625" t="str">
        <f>HYPERLINK("https://sarigdata.pir.sa.gov.au/nvcl/NVCLDataServices/mosaic.html?datasetid=3457666c-b87f-4d9b-808d-c67e189cdd3","272689_WPDD1_Core Image")</f>
        <v>272689_WPDD1_Core Image</v>
      </c>
    </row>
    <row r="2626" spans="1:11" x14ac:dyDescent="0.25">
      <c r="A2626" t="str">
        <f>HYPERLINK("http://www.corstruth.com.au/SA/273112_COD008_cs.png","273112_COD008_A4")</f>
        <v>273112_COD008_A4</v>
      </c>
      <c r="B2626" t="str">
        <f>HYPERLINK("http://www.corstruth.com.au/SA/PNG2/273112_COD008_cs.png","273112_COD008_0.25m Bins")</f>
        <v>273112_COD008_0.25m Bins</v>
      </c>
      <c r="C2626" t="str">
        <f>HYPERLINK("http://www.corstruth.com.au/SA/CSV/273112_COD008.csv","273112_COD008_CSV File 1m Bins")</f>
        <v>273112_COD008_CSV File 1m Bins</v>
      </c>
      <c r="D2626">
        <v>273112</v>
      </c>
      <c r="E2626" t="s">
        <v>2163</v>
      </c>
      <c r="F2626" t="str">
        <f>HYPERLINK("https://drillhole.pir.sa.gov.au/Details.aspx?DRILLHOLE_NO=273112","Geol Survey Link")</f>
        <v>Geol Survey Link</v>
      </c>
      <c r="I2626">
        <v>-33.548200000000001</v>
      </c>
      <c r="J2626">
        <v>137.25200000000001</v>
      </c>
      <c r="K2626" t="str">
        <f>HYPERLINK("https://sarigdata.pir.sa.gov.au/nvcl/NVCLDataServices/mosaic.html?datasetid=a0a00e02-3da0-415d-b52c-3590037a7c4","273112_COD008_Core Image")</f>
        <v>273112_COD008_Core Image</v>
      </c>
    </row>
    <row r="2627" spans="1:11" x14ac:dyDescent="0.25">
      <c r="A2627" t="str">
        <f>HYPERLINK("http://www.corstruth.com.au/SA/2740_DU1_cs.png","2740_DU1_A4")</f>
        <v>2740_DU1_A4</v>
      </c>
      <c r="D2627">
        <v>2740</v>
      </c>
      <c r="E2627" t="s">
        <v>2163</v>
      </c>
      <c r="F2627" t="str">
        <f>HYPERLINK("https://drillhole.pir.sa.gov.au/Details.aspx?DRILLHOLE_NO=2740","Geol Survey Link")</f>
        <v>Geol Survey Link</v>
      </c>
      <c r="I2627">
        <v>-26.5672</v>
      </c>
      <c r="J2627">
        <v>133.41399999999999</v>
      </c>
    </row>
    <row r="2628" spans="1:11" x14ac:dyDescent="0.25">
      <c r="A2628" t="str">
        <f>HYPERLINK("http://www.corstruth.com.au/SA/2741_DU2_cs.png","2741_DU2_A4")</f>
        <v>2741_DU2_A4</v>
      </c>
      <c r="D2628">
        <v>2741</v>
      </c>
      <c r="E2628" t="s">
        <v>2163</v>
      </c>
      <c r="F2628" t="str">
        <f>HYPERLINK("https://drillhole.pir.sa.gov.au/Details.aspx?DRILLHOLE_NO=2741","Geol Survey Link")</f>
        <v>Geol Survey Link</v>
      </c>
      <c r="I2628">
        <v>-26.567900000000002</v>
      </c>
      <c r="J2628">
        <v>133.41800000000001</v>
      </c>
    </row>
    <row r="2629" spans="1:11" x14ac:dyDescent="0.25">
      <c r="A2629" t="str">
        <f>HYPERLINK("http://www.corstruth.com.au/SA/2742_DU3_cs.png","2742_DU3_A4")</f>
        <v>2742_DU3_A4</v>
      </c>
      <c r="D2629">
        <v>2742</v>
      </c>
      <c r="E2629" t="s">
        <v>2163</v>
      </c>
      <c r="F2629" t="str">
        <f>HYPERLINK("https://drillhole.pir.sa.gov.au/Details.aspx?DRILLHOLE_NO=2742","Geol Survey Link")</f>
        <v>Geol Survey Link</v>
      </c>
      <c r="I2629">
        <v>-26.567900000000002</v>
      </c>
      <c r="J2629">
        <v>133.417</v>
      </c>
    </row>
    <row r="2630" spans="1:11" x14ac:dyDescent="0.25">
      <c r="A2630" t="str">
        <f>HYPERLINK("http://www.corstruth.com.au/SA/2743_DU4_cs.png","2743_DU4_A4")</f>
        <v>2743_DU4_A4</v>
      </c>
      <c r="D2630">
        <v>2743</v>
      </c>
      <c r="E2630" t="s">
        <v>2163</v>
      </c>
      <c r="F2630" t="str">
        <f>HYPERLINK("https://drillhole.pir.sa.gov.au/Details.aspx?DRILLHOLE_NO=2743","Geol Survey Link")</f>
        <v>Geol Survey Link</v>
      </c>
      <c r="I2630">
        <v>-26.568300000000001</v>
      </c>
      <c r="J2630">
        <v>133.41800000000001</v>
      </c>
    </row>
    <row r="2631" spans="1:11" x14ac:dyDescent="0.25">
      <c r="A2631" t="str">
        <f>HYPERLINK("http://www.corstruth.com.au/SA/274447_CHDCU02_cs.png","274447_CHDCU02_A4")</f>
        <v>274447_CHDCU02_A4</v>
      </c>
      <c r="B2631" t="str">
        <f>HYPERLINK("http://www.corstruth.com.au/SA/PNG2/274447_CHDCU02_cs.png","274447_CHDCU02_0.25m Bins")</f>
        <v>274447_CHDCU02_0.25m Bins</v>
      </c>
      <c r="C2631" t="str">
        <f>HYPERLINK("http://www.corstruth.com.au/SA/CSV/274447_CHDCU02.csv","274447_CHDCU02_CSV File 1m Bins")</f>
        <v>274447_CHDCU02_CSV File 1m Bins</v>
      </c>
      <c r="D2631">
        <v>274447</v>
      </c>
      <c r="E2631" t="s">
        <v>2163</v>
      </c>
      <c r="F2631" t="str">
        <f>HYPERLINK("https://drillhole.pir.sa.gov.au/Details.aspx?DRILLHOLE_NO=274447","Geol Survey Link")</f>
        <v>Geol Survey Link</v>
      </c>
      <c r="I2631">
        <v>-29.3035</v>
      </c>
      <c r="J2631">
        <v>135.11799999999999</v>
      </c>
      <c r="K2631" t="str">
        <f>HYPERLINK("https://sarigdata.pir.sa.gov.au/nvcl/NVCLDataServices/mosaic.html?datasetid=d66d36a5-a7eb-4814-80ee-407154ed0fb","274447_CHDCU02_Core Image")</f>
        <v>274447_CHDCU02_Core Image</v>
      </c>
    </row>
    <row r="2632" spans="1:11" x14ac:dyDescent="0.25">
      <c r="A2632" t="str">
        <f>HYPERLINK("http://www.corstruth.com.au/SA/2744_DU5_cs.png","2744_DU5_A4")</f>
        <v>2744_DU5_A4</v>
      </c>
      <c r="D2632">
        <v>2744</v>
      </c>
      <c r="E2632" t="s">
        <v>2163</v>
      </c>
      <c r="F2632" t="str">
        <f>HYPERLINK("https://drillhole.pir.sa.gov.au/Details.aspx?DRILLHOLE_NO=2744","Geol Survey Link")</f>
        <v>Geol Survey Link</v>
      </c>
      <c r="I2632">
        <v>-26.5688</v>
      </c>
      <c r="J2632">
        <v>133.41800000000001</v>
      </c>
    </row>
    <row r="2633" spans="1:11" x14ac:dyDescent="0.25">
      <c r="A2633" t="str">
        <f>HYPERLINK("http://www.corstruth.com.au/SA/275050_DD07HAR002_cs.png","275050_DD07HAR002_A4")</f>
        <v>275050_DD07HAR002_A4</v>
      </c>
      <c r="B2633" t="str">
        <f>HYPERLINK("http://www.corstruth.com.au/SA/PNG2/275050_DD07HAR002_cs.png","275050_DD07HAR002_0.25m Bins")</f>
        <v>275050_DD07HAR002_0.25m Bins</v>
      </c>
      <c r="C2633" t="str">
        <f>HYPERLINK("http://www.corstruth.com.au/SA/CSV/275050_DD07HAR002.csv","275050_DD07HAR002_CSV File 1m Bins")</f>
        <v>275050_DD07HAR002_CSV File 1m Bins</v>
      </c>
      <c r="D2633">
        <v>275050</v>
      </c>
      <c r="E2633" t="s">
        <v>2163</v>
      </c>
      <c r="F2633" t="str">
        <f>HYPERLINK("https://drillhole.pir.sa.gov.au/Details.aspx?DRILLHOLE_NO=275050","Geol Survey Link")</f>
        <v>Geol Survey Link</v>
      </c>
      <c r="I2633">
        <v>-26.905799999999999</v>
      </c>
      <c r="J2633">
        <v>129.71299999999999</v>
      </c>
      <c r="K2633" t="str">
        <f>HYPERLINK("https://sarigdata.pir.sa.gov.au/nvcl/NVCLDataServices/mosaic.html?datasetid=d0788a46-8835-4f76-a2ed-76d0d85ab23","275050_DD07HAR002_Core Image")</f>
        <v>275050_DD07HAR002_Core Image</v>
      </c>
    </row>
    <row r="2634" spans="1:11" x14ac:dyDescent="0.25">
      <c r="A2634" t="str">
        <f>HYPERLINK("http://www.corstruth.com.au/SA/275113_PYD001_cs.png","275113_PYD001_A4")</f>
        <v>275113_PYD001_A4</v>
      </c>
      <c r="B2634" t="str">
        <f>HYPERLINK("http://www.corstruth.com.au/SA/PNG2/275113_PYD001_cs.png","275113_PYD001_0.25m Bins")</f>
        <v>275113_PYD001_0.25m Bins</v>
      </c>
      <c r="C2634" t="str">
        <f>HYPERLINK("http://www.corstruth.com.au/SA/CSV/275113_PYD001.csv","275113_PYD001_CSV File 1m Bins")</f>
        <v>275113_PYD001_CSV File 1m Bins</v>
      </c>
      <c r="D2634">
        <v>275113</v>
      </c>
      <c r="E2634" t="s">
        <v>2163</v>
      </c>
      <c r="F2634" t="str">
        <f>HYPERLINK("https://drillhole.pir.sa.gov.au/Details.aspx?DRILLHOLE_NO=275113","Geol Survey Link")</f>
        <v>Geol Survey Link</v>
      </c>
      <c r="I2634">
        <v>-34.582599999999999</v>
      </c>
      <c r="J2634">
        <v>137.73599999999999</v>
      </c>
      <c r="K2634" t="str">
        <f>HYPERLINK("https://sarigdata.pir.sa.gov.au/nvcl/NVCLDataServices/mosaic.html?datasetid=ed138961-b10e-49e1-b3c4-7b5e024a983","275113_PYD001_Core Image")</f>
        <v>275113_PYD001_Core Image</v>
      </c>
    </row>
    <row r="2635" spans="1:11" x14ac:dyDescent="0.25">
      <c r="A2635" t="str">
        <f>HYPERLINK("http://www.corstruth.com.au/SA/275114_PYD002_cs.png","275114_PYD002_A4")</f>
        <v>275114_PYD002_A4</v>
      </c>
      <c r="B2635" t="str">
        <f>HYPERLINK("http://www.corstruth.com.au/SA/PNG2/275114_PYD002_cs.png","275114_PYD002_0.25m Bins")</f>
        <v>275114_PYD002_0.25m Bins</v>
      </c>
      <c r="C2635" t="str">
        <f>HYPERLINK("http://www.corstruth.com.au/SA/CSV/275114_PYD002.csv","275114_PYD002_CSV File 1m Bins")</f>
        <v>275114_PYD002_CSV File 1m Bins</v>
      </c>
      <c r="D2635">
        <v>275114</v>
      </c>
      <c r="E2635" t="s">
        <v>2163</v>
      </c>
      <c r="F2635" t="str">
        <f>HYPERLINK("https://drillhole.pir.sa.gov.au/Details.aspx?DRILLHOLE_NO=275114","Geol Survey Link")</f>
        <v>Geol Survey Link</v>
      </c>
      <c r="I2635">
        <v>-34.582599999999999</v>
      </c>
      <c r="J2635">
        <v>137.73599999999999</v>
      </c>
      <c r="K2635" t="str">
        <f>HYPERLINK("https://sarigdata.pir.sa.gov.au/nvcl/NVCLDataServices/mosaic.html?datasetid=053b1469-7be5-4541-abc0-fe051b85d3c","275114_PYD002_Core Image")</f>
        <v>275114_PYD002_Core Image</v>
      </c>
    </row>
    <row r="2636" spans="1:11" x14ac:dyDescent="0.25">
      <c r="A2636" t="str">
        <f>HYPERLINK("http://www.corstruth.com.au/SA/275115_PYD003_cs.png","275115_PYD003_A4")</f>
        <v>275115_PYD003_A4</v>
      </c>
      <c r="B2636" t="str">
        <f>HYPERLINK("http://www.corstruth.com.au/SA/PNG2/275115_PYD003_cs.png","275115_PYD003_0.25m Bins")</f>
        <v>275115_PYD003_0.25m Bins</v>
      </c>
      <c r="C2636" t="str">
        <f>HYPERLINK("http://www.corstruth.com.au/SA/CSV/275115_PYD003.csv","275115_PYD003_CSV File 1m Bins")</f>
        <v>275115_PYD003_CSV File 1m Bins</v>
      </c>
      <c r="D2636">
        <v>275115</v>
      </c>
      <c r="E2636" t="s">
        <v>2163</v>
      </c>
      <c r="F2636" t="str">
        <f>HYPERLINK("https://drillhole.pir.sa.gov.au/Details.aspx?DRILLHOLE_NO=275115","Geol Survey Link")</f>
        <v>Geol Survey Link</v>
      </c>
      <c r="I2636">
        <v>-34.612000000000002</v>
      </c>
      <c r="J2636">
        <v>137.71100000000001</v>
      </c>
      <c r="K2636" t="str">
        <f>HYPERLINK("https://sarigdata.pir.sa.gov.au/nvcl/NVCLDataServices/mosaic.html?datasetid=25c37828-63f0-466d-b258-f4459a2f534","275115_PYD003_Core Image")</f>
        <v>275115_PYD003_Core Image</v>
      </c>
    </row>
    <row r="2637" spans="1:11" x14ac:dyDescent="0.25">
      <c r="A2637" t="str">
        <f>HYPERLINK("http://www.corstruth.com.au/SA/275116_PYD004_cs.png","275116_PYD004_A4")</f>
        <v>275116_PYD004_A4</v>
      </c>
      <c r="B2637" t="str">
        <f>HYPERLINK("http://www.corstruth.com.au/SA/PNG2/275116_PYD004_cs.png","275116_PYD004_0.25m Bins")</f>
        <v>275116_PYD004_0.25m Bins</v>
      </c>
      <c r="C2637" t="str">
        <f>HYPERLINK("http://www.corstruth.com.au/SA/CSV/275116_PYD004.csv","275116_PYD004_CSV File 1m Bins")</f>
        <v>275116_PYD004_CSV File 1m Bins</v>
      </c>
      <c r="D2637">
        <v>275116</v>
      </c>
      <c r="E2637" t="s">
        <v>2163</v>
      </c>
      <c r="F2637" t="str">
        <f>HYPERLINK("https://drillhole.pir.sa.gov.au/Details.aspx?DRILLHOLE_NO=275116","Geol Survey Link")</f>
        <v>Geol Survey Link</v>
      </c>
      <c r="I2637">
        <v>-34.611899999999999</v>
      </c>
      <c r="J2637">
        <v>137.71600000000001</v>
      </c>
      <c r="K2637" t="str">
        <f>HYPERLINK("https://sarigdata.pir.sa.gov.au/nvcl/NVCLDataServices/mosaic.html?datasetid=d8ba380e-42cc-4721-9686-2013110526f","275116_PYD004_Core Image")</f>
        <v>275116_PYD004_Core Image</v>
      </c>
    </row>
    <row r="2638" spans="1:11" x14ac:dyDescent="0.25">
      <c r="A2638" t="str">
        <f>HYPERLINK("http://www.corstruth.com.au/SA/275117_PYD005_cs.png","275117_PYD005_A4")</f>
        <v>275117_PYD005_A4</v>
      </c>
      <c r="B2638" t="str">
        <f>HYPERLINK("http://www.corstruth.com.au/SA/PNG2/275117_PYD005_cs.png","275117_PYD005_0.25m Bins")</f>
        <v>275117_PYD005_0.25m Bins</v>
      </c>
      <c r="C2638" t="str">
        <f>HYPERLINK("http://www.corstruth.com.au/SA/CSV/275117_PYD005.csv","275117_PYD005_CSV File 1m Bins")</f>
        <v>275117_PYD005_CSV File 1m Bins</v>
      </c>
      <c r="D2638">
        <v>275117</v>
      </c>
      <c r="E2638" t="s">
        <v>2163</v>
      </c>
      <c r="F2638" t="str">
        <f>HYPERLINK("https://drillhole.pir.sa.gov.au/Details.aspx?DRILLHOLE_NO=275117","Geol Survey Link")</f>
        <v>Geol Survey Link</v>
      </c>
      <c r="I2638">
        <v>-34.493499999999997</v>
      </c>
      <c r="J2638">
        <v>137.52099999999999</v>
      </c>
      <c r="K2638" t="str">
        <f>HYPERLINK("https://sarigdata.pir.sa.gov.au/nvcl/NVCLDataServices/mosaic.html?datasetid=3094ab94-4f6d-46fb-a954-cfcf400e650","275117_PYD005_Core Image")</f>
        <v>275117_PYD005_Core Image</v>
      </c>
    </row>
    <row r="2639" spans="1:11" x14ac:dyDescent="0.25">
      <c r="A2639" t="str">
        <f>HYPERLINK("http://www.corstruth.com.au/SA/275118_PYD006_cs.png","275118_PYD006_A4")</f>
        <v>275118_PYD006_A4</v>
      </c>
      <c r="B2639" t="str">
        <f>HYPERLINK("http://www.corstruth.com.au/SA/PNG2/275118_PYD006_cs.png","275118_PYD006_0.25m Bins")</f>
        <v>275118_PYD006_0.25m Bins</v>
      </c>
      <c r="C2639" t="str">
        <f>HYPERLINK("http://www.corstruth.com.au/SA/CSV/275118_PYD006.csv","275118_PYD006_CSV File 1m Bins")</f>
        <v>275118_PYD006_CSV File 1m Bins</v>
      </c>
      <c r="D2639">
        <v>275118</v>
      </c>
      <c r="E2639" t="s">
        <v>2163</v>
      </c>
      <c r="F2639" t="str">
        <f>HYPERLINK("https://drillhole.pir.sa.gov.au/Details.aspx?DRILLHOLE_NO=275118","Geol Survey Link")</f>
        <v>Geol Survey Link</v>
      </c>
      <c r="I2639">
        <v>-34.493600000000001</v>
      </c>
      <c r="J2639">
        <v>137.517</v>
      </c>
    </row>
    <row r="2640" spans="1:11" x14ac:dyDescent="0.25">
      <c r="A2640" t="str">
        <f>HYPERLINK("http://www.corstruth.com.au/SA/276136_CHDCU01_cs.png","276136_CHDCU01_A4")</f>
        <v>276136_CHDCU01_A4</v>
      </c>
      <c r="B2640" t="str">
        <f>HYPERLINK("http://www.corstruth.com.au/SA/PNG2/276136_CHDCU01_cs.png","276136_CHDCU01_0.25m Bins")</f>
        <v>276136_CHDCU01_0.25m Bins</v>
      </c>
      <c r="C2640" t="str">
        <f>HYPERLINK("http://www.corstruth.com.au/SA/CSV/276136_CHDCU01.csv","276136_CHDCU01_CSV File 1m Bins")</f>
        <v>276136_CHDCU01_CSV File 1m Bins</v>
      </c>
      <c r="D2640">
        <v>276136</v>
      </c>
      <c r="E2640" t="s">
        <v>2163</v>
      </c>
      <c r="F2640" t="str">
        <f>HYPERLINK("https://drillhole.pir.sa.gov.au/Details.aspx?DRILLHOLE_NO=276136","Geol Survey Link")</f>
        <v>Geol Survey Link</v>
      </c>
      <c r="I2640">
        <v>-29.3018</v>
      </c>
      <c r="J2640">
        <v>135.12100000000001</v>
      </c>
      <c r="K2640" t="str">
        <f>HYPERLINK("https://sarigdata.pir.sa.gov.au/nvcl/NVCLDataServices/mosaic.html?datasetid=212a29f1-e2a6-4657-a1fd-9ebdb83eae2","276136_CHDCU01_Core Image")</f>
        <v>276136_CHDCU01_Core Image</v>
      </c>
    </row>
    <row r="2641" spans="1:11" x14ac:dyDescent="0.25">
      <c r="A2641" t="str">
        <f>HYPERLINK("http://www.corstruth.com.au/SA/276137_CHDCU03_cs.png","276137_CHDCU03_A4")</f>
        <v>276137_CHDCU03_A4</v>
      </c>
      <c r="B2641" t="str">
        <f>HYPERLINK("http://www.corstruth.com.au/SA/PNG2/276137_CHDCU03_cs.png","276137_CHDCU03_0.25m Bins")</f>
        <v>276137_CHDCU03_0.25m Bins</v>
      </c>
      <c r="C2641" t="str">
        <f>HYPERLINK("http://www.corstruth.com.au/SA/CSV/276137_CHDCU03.csv","276137_CHDCU03_CSV File 1m Bins")</f>
        <v>276137_CHDCU03_CSV File 1m Bins</v>
      </c>
      <c r="D2641">
        <v>276137</v>
      </c>
      <c r="E2641" t="s">
        <v>2163</v>
      </c>
      <c r="F2641" t="str">
        <f>HYPERLINK("https://drillhole.pir.sa.gov.au/Details.aspx?DRILLHOLE_NO=276137","Geol Survey Link")</f>
        <v>Geol Survey Link</v>
      </c>
      <c r="I2641">
        <v>-29.308199999999999</v>
      </c>
      <c r="J2641">
        <v>135.10599999999999</v>
      </c>
      <c r="K2641" t="str">
        <f>HYPERLINK("https://sarigdata.pir.sa.gov.au/nvcl/NVCLDataServices/mosaic.html?datasetid=dded8987-8ba8-4d86-9a73-8dc9483b632","276137_CHDCU03_Core Image")</f>
        <v>276137_CHDCU03_Core Image</v>
      </c>
    </row>
    <row r="2642" spans="1:11" x14ac:dyDescent="0.25">
      <c r="A2642" t="str">
        <f>HYPERLINK("http://www.corstruth.com.au/SA/277548_AD1_cs.png","277548_AD1_A4")</f>
        <v>277548_AD1_A4</v>
      </c>
      <c r="B2642" t="str">
        <f>HYPERLINK("http://www.corstruth.com.au/SA/PNG2/277548_AD1_cs.png","277548_AD1_0.25m Bins")</f>
        <v>277548_AD1_0.25m Bins</v>
      </c>
      <c r="C2642" t="str">
        <f>HYPERLINK("http://www.corstruth.com.au/SA/CSV/277548_AD1.csv","277548_AD1_CSV File 1m Bins")</f>
        <v>277548_AD1_CSV File 1m Bins</v>
      </c>
      <c r="D2642">
        <v>277548</v>
      </c>
      <c r="E2642" t="s">
        <v>2163</v>
      </c>
      <c r="F2642" t="str">
        <f>HYPERLINK("https://drillhole.pir.sa.gov.au/Details.aspx?DRILLHOLE_NO=277548","Geol Survey Link")</f>
        <v>Geol Survey Link</v>
      </c>
      <c r="I2642">
        <v>-30.979800000000001</v>
      </c>
      <c r="J2642">
        <v>137.24600000000001</v>
      </c>
      <c r="K2642" t="str">
        <f>HYPERLINK("https://sarigdata.pir.sa.gov.au/nvcl/NVCLDataServices/mosaic.html?datasetid=220fcf3f-a3ac-4448-860f-5b19fd48780","277548_AD1_Core Image")</f>
        <v>277548_AD1_Core Image</v>
      </c>
    </row>
    <row r="2643" spans="1:11" x14ac:dyDescent="0.25">
      <c r="A2643" t="str">
        <f>HYPERLINK("http://www.corstruth.com.au/SA/277551_AD_6_cs.png","277551_AD_6_A4")</f>
        <v>277551_AD_6_A4</v>
      </c>
      <c r="B2643" t="str">
        <f>HYPERLINK("http://www.corstruth.com.au/SA/PNG2/277551_AD_6_cs.png","277551_AD_6_0.25m Bins")</f>
        <v>277551_AD_6_0.25m Bins</v>
      </c>
      <c r="C2643" t="str">
        <f>HYPERLINK("http://www.corstruth.com.au/SA/CSV/277551_AD_6.csv","277551_AD_6_CSV File 1m Bins")</f>
        <v>277551_AD_6_CSV File 1m Bins</v>
      </c>
      <c r="D2643">
        <v>277551</v>
      </c>
      <c r="E2643" t="s">
        <v>2163</v>
      </c>
      <c r="F2643" t="str">
        <f>HYPERLINK("https://drillhole.pir.sa.gov.au/Details.aspx?DRILLHOLE_NO=277551","Geol Survey Link")</f>
        <v>Geol Survey Link</v>
      </c>
      <c r="I2643">
        <v>-30.974299999999999</v>
      </c>
      <c r="J2643">
        <v>137.24600000000001</v>
      </c>
      <c r="K2643" t="str">
        <f>HYPERLINK("https://sarigdata.pir.sa.gov.au/nvcl/NVCLDataServices/mosaic.html?datasetid=da33fb08-748c-47d5-a302-b38e12c2d4c","277551_AD_6_Core Image")</f>
        <v>277551_AD_6_Core Image</v>
      </c>
    </row>
    <row r="2644" spans="1:11" x14ac:dyDescent="0.25">
      <c r="A2644" t="str">
        <f>HYPERLINK("http://www.corstruth.com.au/SA/279520_WD_DD15_cs.png","279520_WD_DD15_A4")</f>
        <v>279520_WD_DD15_A4</v>
      </c>
      <c r="D2644">
        <v>279520</v>
      </c>
      <c r="E2644" t="s">
        <v>2163</v>
      </c>
      <c r="F2644" t="str">
        <f>HYPERLINK("https://drillhole.pir.sa.gov.au/Details.aspx?DRILLHOLE_NO=279520","Geol Survey Link")</f>
        <v>Geol Survey Link</v>
      </c>
      <c r="I2644">
        <v>-32.094099999999997</v>
      </c>
      <c r="J2644">
        <v>140.577</v>
      </c>
    </row>
    <row r="2645" spans="1:11" x14ac:dyDescent="0.25">
      <c r="A2645" t="str">
        <f>HYPERLINK("http://www.corstruth.com.au/SA/279521_WD_DD16_cs.png","279521_WD_DD16_A4")</f>
        <v>279521_WD_DD16_A4</v>
      </c>
      <c r="D2645">
        <v>279521</v>
      </c>
      <c r="E2645" t="s">
        <v>2163</v>
      </c>
      <c r="F2645" t="str">
        <f>HYPERLINK("https://drillhole.pir.sa.gov.au/Details.aspx?DRILLHOLE_NO=279521","Geol Survey Link")</f>
        <v>Geol Survey Link</v>
      </c>
      <c r="I2645">
        <v>-32.094099999999997</v>
      </c>
      <c r="J2645">
        <v>140.577</v>
      </c>
    </row>
    <row r="2646" spans="1:11" x14ac:dyDescent="0.25">
      <c r="A2646" t="str">
        <f>HYPERLINK("http://www.corstruth.com.au/SA/279522_WD_DD17_cs.png","279522_WD_DD17_A4")</f>
        <v>279522_WD_DD17_A4</v>
      </c>
      <c r="D2646">
        <v>279522</v>
      </c>
      <c r="E2646" t="s">
        <v>2163</v>
      </c>
      <c r="F2646" t="str">
        <f>HYPERLINK("https://drillhole.pir.sa.gov.au/Details.aspx?DRILLHOLE_NO=279522","Geol Survey Link")</f>
        <v>Geol Survey Link</v>
      </c>
      <c r="I2646">
        <v>-32.094099999999997</v>
      </c>
      <c r="J2646">
        <v>140.577</v>
      </c>
    </row>
    <row r="2647" spans="1:11" x14ac:dyDescent="0.25">
      <c r="A2647" t="str">
        <f>HYPERLINK("http://www.corstruth.com.au/SA/279523_WD_DD18_cs.png","279523_WD_DD18_A4")</f>
        <v>279523_WD_DD18_A4</v>
      </c>
      <c r="D2647">
        <v>279523</v>
      </c>
      <c r="E2647" t="s">
        <v>2163</v>
      </c>
      <c r="F2647" t="str">
        <f>HYPERLINK("https://drillhole.pir.sa.gov.au/Details.aspx?DRILLHOLE_NO=279523","Geol Survey Link")</f>
        <v>Geol Survey Link</v>
      </c>
      <c r="I2647">
        <v>-32.094200000000001</v>
      </c>
      <c r="J2647">
        <v>140.578</v>
      </c>
    </row>
    <row r="2648" spans="1:11" x14ac:dyDescent="0.25">
      <c r="A2648" t="str">
        <f>HYPERLINK("http://www.corstruth.com.au/SA/279524_WD_DD19_cs.png","279524_WD_DD19_A4")</f>
        <v>279524_WD_DD19_A4</v>
      </c>
      <c r="D2648">
        <v>279524</v>
      </c>
      <c r="E2648" t="s">
        <v>2163</v>
      </c>
      <c r="F2648" t="str">
        <f>HYPERLINK("https://drillhole.pir.sa.gov.au/Details.aspx?DRILLHOLE_NO=279524","Geol Survey Link")</f>
        <v>Geol Survey Link</v>
      </c>
      <c r="I2648">
        <v>-32.093200000000003</v>
      </c>
      <c r="J2648">
        <v>140.577</v>
      </c>
    </row>
    <row r="2649" spans="1:11" x14ac:dyDescent="0.25">
      <c r="A2649" t="str">
        <f>HYPERLINK("http://www.corstruth.com.au/SA/279534_WD_DD29_cs.png","279534_WD_DD29_A4")</f>
        <v>279534_WD_DD29_A4</v>
      </c>
      <c r="D2649">
        <v>279534</v>
      </c>
      <c r="E2649" t="s">
        <v>2163</v>
      </c>
      <c r="F2649" t="str">
        <f>HYPERLINK("https://drillhole.pir.sa.gov.au/Details.aspx?DRILLHOLE_NO=279534","Geol Survey Link")</f>
        <v>Geol Survey Link</v>
      </c>
      <c r="I2649">
        <v>-32.093899999999998</v>
      </c>
      <c r="J2649">
        <v>140.57499999999999</v>
      </c>
    </row>
    <row r="2650" spans="1:11" x14ac:dyDescent="0.25">
      <c r="A2650" t="str">
        <f>HYPERLINK("http://www.corstruth.com.au/SA/279536_WD_DD31_cs.png","279536_WD_DD31_A4")</f>
        <v>279536_WD_DD31_A4</v>
      </c>
      <c r="D2650">
        <v>279536</v>
      </c>
      <c r="E2650" t="s">
        <v>2163</v>
      </c>
      <c r="F2650" t="str">
        <f>HYPERLINK("https://drillhole.pir.sa.gov.au/Details.aspx?DRILLHOLE_NO=279536","Geol Survey Link")</f>
        <v>Geol Survey Link</v>
      </c>
      <c r="I2650">
        <v>-32.093400000000003</v>
      </c>
      <c r="J2650">
        <v>140.57499999999999</v>
      </c>
    </row>
    <row r="2651" spans="1:11" x14ac:dyDescent="0.25">
      <c r="A2651" t="str">
        <f>HYPERLINK("http://www.corstruth.com.au/SA/281135_RD49_cs.png","281135_RD49_A4")</f>
        <v>281135_RD49_A4</v>
      </c>
      <c r="B2651" t="str">
        <f>HYPERLINK("http://www.corstruth.com.au/SA/PNG2/281135_RD49_cs.png","281135_RD49_0.25m Bins")</f>
        <v>281135_RD49_0.25m Bins</v>
      </c>
      <c r="C2651" t="str">
        <f>HYPERLINK("http://www.corstruth.com.au/SA/CSV/281135_RD49.csv","281135_RD49_CSV File 1m Bins")</f>
        <v>281135_RD49_CSV File 1m Bins</v>
      </c>
      <c r="D2651">
        <v>281135</v>
      </c>
      <c r="E2651" t="s">
        <v>2163</v>
      </c>
      <c r="F2651" t="str">
        <f>HYPERLINK("https://drillhole.pir.sa.gov.au/Details.aspx?DRILLHOLE_NO=281135","Geol Survey Link")</f>
        <v>Geol Survey Link</v>
      </c>
      <c r="I2651">
        <v>-30.437999999999999</v>
      </c>
      <c r="J2651">
        <v>136.89099999999999</v>
      </c>
      <c r="K2651" t="str">
        <f>HYPERLINK("https://sarigdata.pir.sa.gov.au/nvcl/NVCLDataServices/mosaic.html?datasetid=42a3966d-9ddd-4602-9163-bbb0b3935dd","281135_RD49_Core Image")</f>
        <v>281135_RD49_Core Image</v>
      </c>
    </row>
    <row r="2652" spans="1:11" x14ac:dyDescent="0.25">
      <c r="A2652" t="str">
        <f>HYPERLINK("http://www.corstruth.com.au/SA/281137_RD1614_cs.png","281137_RD1614_A4")</f>
        <v>281137_RD1614_A4</v>
      </c>
      <c r="B2652" t="str">
        <f>HYPERLINK("http://www.corstruth.com.au/SA/PNG2/281137_RD1614_cs.png","281137_RD1614_0.25m Bins")</f>
        <v>281137_RD1614_0.25m Bins</v>
      </c>
      <c r="C2652" t="str">
        <f>HYPERLINK("http://www.corstruth.com.au/SA/CSV/281137_RD1614.csv","281137_RD1614_CSV File 1m Bins")</f>
        <v>281137_RD1614_CSV File 1m Bins</v>
      </c>
      <c r="D2652">
        <v>281137</v>
      </c>
      <c r="E2652" t="s">
        <v>2163</v>
      </c>
      <c r="F2652" t="str">
        <f>HYPERLINK("https://drillhole.pir.sa.gov.au/Details.aspx?DRILLHOLE_NO=281137","Geol Survey Link")</f>
        <v>Geol Survey Link</v>
      </c>
      <c r="I2652">
        <v>-30.437000000000001</v>
      </c>
      <c r="J2652">
        <v>136.892</v>
      </c>
      <c r="K2652" t="str">
        <f>HYPERLINK("https://sarigdata.pir.sa.gov.au/nvcl/NVCLDataServices/mosaic.html?datasetid=7bb41563-25c4-47c5-9732-a335a9bb895","281137_RD1614_Core Image")</f>
        <v>281137_RD1614_Core Image</v>
      </c>
    </row>
    <row r="2653" spans="1:11" x14ac:dyDescent="0.25">
      <c r="A2653" t="str">
        <f>HYPERLINK("http://www.corstruth.com.au/SA/281138_RD2715_cs.png","281138_RD2715_A4")</f>
        <v>281138_RD2715_A4</v>
      </c>
      <c r="B2653" t="str">
        <f>HYPERLINK("http://www.corstruth.com.au/SA/PNG2/281138_RD2715_cs.png","281138_RD2715_0.25m Bins")</f>
        <v>281138_RD2715_0.25m Bins</v>
      </c>
      <c r="C2653" t="str">
        <f>HYPERLINK("http://www.corstruth.com.au/SA/CSV/281138_RD2715.csv","281138_RD2715_CSV File 1m Bins")</f>
        <v>281138_RD2715_CSV File 1m Bins</v>
      </c>
      <c r="D2653">
        <v>281138</v>
      </c>
      <c r="E2653" t="s">
        <v>2163</v>
      </c>
      <c r="F2653" t="str">
        <f>HYPERLINK("https://drillhole.pir.sa.gov.au/Details.aspx?DRILLHOLE_NO=281138","Geol Survey Link")</f>
        <v>Geol Survey Link</v>
      </c>
      <c r="I2653">
        <v>-30.4376</v>
      </c>
      <c r="J2653">
        <v>136.89099999999999</v>
      </c>
      <c r="K2653" t="str">
        <f>HYPERLINK("https://sarigdata.pir.sa.gov.au/nvcl/NVCLDataServices/mosaic.html?datasetid=32f91f32-bb0a-44ac-8e89-bb51486cc0b","281138_RD2715_Core Image")</f>
        <v>281138_RD2715_Core Image</v>
      </c>
    </row>
    <row r="2654" spans="1:11" x14ac:dyDescent="0.25">
      <c r="A2654" t="str">
        <f>HYPERLINK("http://www.corstruth.com.au/SA/281139_RD2751_cs.png","281139_RD2751_A4")</f>
        <v>281139_RD2751_A4</v>
      </c>
      <c r="B2654" t="str">
        <f>HYPERLINK("http://www.corstruth.com.au/SA/PNG2/281139_RD2751_cs.png","281139_RD2751_0.25m Bins")</f>
        <v>281139_RD2751_0.25m Bins</v>
      </c>
      <c r="C2654" t="str">
        <f>HYPERLINK("http://www.corstruth.com.au/SA/CSV/281139_RD2751.csv","281139_RD2751_CSV File 1m Bins")</f>
        <v>281139_RD2751_CSV File 1m Bins</v>
      </c>
      <c r="D2654">
        <v>281139</v>
      </c>
      <c r="E2654" t="s">
        <v>2163</v>
      </c>
      <c r="F2654" t="str">
        <f>HYPERLINK("https://drillhole.pir.sa.gov.au/Details.aspx?DRILLHOLE_NO=281139","Geol Survey Link")</f>
        <v>Geol Survey Link</v>
      </c>
      <c r="I2654">
        <v>-30.448599999999999</v>
      </c>
      <c r="J2654">
        <v>136.89400000000001</v>
      </c>
      <c r="K2654" t="str">
        <f>HYPERLINK("https://sarigdata.pir.sa.gov.au/nvcl/NVCLDataServices/mosaic.html?datasetid=254aef4e-b18a-48c2-ad4e-5109edbab6d","281139_RD2751_Core Image")</f>
        <v>281139_RD2751_Core Image</v>
      </c>
    </row>
    <row r="2655" spans="1:11" x14ac:dyDescent="0.25">
      <c r="A2655" t="str">
        <f>HYPERLINK("http://www.corstruth.com.au/SA/281140_RD33_cs.png","281140_RD33_A4")</f>
        <v>281140_RD33_A4</v>
      </c>
      <c r="B2655" t="str">
        <f>HYPERLINK("http://www.corstruth.com.au/SA/PNG2/281140_RD33_cs.png","281140_RD33_0.25m Bins")</f>
        <v>281140_RD33_0.25m Bins</v>
      </c>
      <c r="C2655" t="str">
        <f>HYPERLINK("http://www.corstruth.com.au/SA/CSV/281140_RD33.csv","281140_RD33_CSV File 1m Bins")</f>
        <v>281140_RD33_CSV File 1m Bins</v>
      </c>
      <c r="D2655">
        <v>281140</v>
      </c>
      <c r="E2655" t="s">
        <v>2163</v>
      </c>
      <c r="F2655" t="str">
        <f>HYPERLINK("https://drillhole.pir.sa.gov.au/Details.aspx?DRILLHOLE_NO=281140","Geol Survey Link")</f>
        <v>Geol Survey Link</v>
      </c>
      <c r="I2655">
        <v>-30.440200000000001</v>
      </c>
      <c r="J2655">
        <v>136.88900000000001</v>
      </c>
      <c r="K2655" t="str">
        <f>HYPERLINK("https://sarigdata.pir.sa.gov.au/nvcl/NVCLDataServices/mosaic.html?datasetid=5a914923-7d68-49e5-bd6a-77051a3de17","281140_RD33_Core Image")</f>
        <v>281140_RD33_Core Image</v>
      </c>
    </row>
    <row r="2656" spans="1:11" x14ac:dyDescent="0.25">
      <c r="A2656" t="str">
        <f>HYPERLINK("http://www.corstruth.com.au/SA/281141_RD76_cs.png","281141_RD76_A4")</f>
        <v>281141_RD76_A4</v>
      </c>
      <c r="B2656" t="str">
        <f>HYPERLINK("http://www.corstruth.com.au/SA/PNG2/281141_RD76_cs.png","281141_RD76_0.25m Bins")</f>
        <v>281141_RD76_0.25m Bins</v>
      </c>
      <c r="C2656" t="str">
        <f>HYPERLINK("http://www.corstruth.com.au/SA/CSV/281141_RD76.csv","281141_RD76_CSV File 1m Bins")</f>
        <v>281141_RD76_CSV File 1m Bins</v>
      </c>
      <c r="D2656">
        <v>281141</v>
      </c>
      <c r="E2656" t="s">
        <v>2163</v>
      </c>
      <c r="F2656" t="str">
        <f>HYPERLINK("https://drillhole.pir.sa.gov.au/Details.aspx?DRILLHOLE_NO=281141","Geol Survey Link")</f>
        <v>Geol Survey Link</v>
      </c>
      <c r="I2656">
        <v>-30.442399999999999</v>
      </c>
      <c r="J2656">
        <v>136.88800000000001</v>
      </c>
      <c r="K2656" t="str">
        <f>HYPERLINK("https://sarigdata.pir.sa.gov.au/nvcl/NVCLDataServices/mosaic.html?datasetid=23f55c62-0349-41e1-803d-d90257a6c8a","281141_RD76_Core Image")</f>
        <v>281141_RD76_Core Image</v>
      </c>
    </row>
    <row r="2657" spans="1:11" x14ac:dyDescent="0.25">
      <c r="A2657" t="str">
        <f>HYPERLINK("http://www.corstruth.com.au/SA/281142_RD252_cs.png","281142_RD252_A4")</f>
        <v>281142_RD252_A4</v>
      </c>
      <c r="B2657" t="str">
        <f>HYPERLINK("http://www.corstruth.com.au/SA/PNG2/281142_RD252_cs.png","281142_RD252_0.25m Bins")</f>
        <v>281142_RD252_0.25m Bins</v>
      </c>
      <c r="C2657" t="str">
        <f>HYPERLINK("http://www.corstruth.com.au/SA/CSV/281142_RD252.csv","281142_RD252_CSV File 1m Bins")</f>
        <v>281142_RD252_CSV File 1m Bins</v>
      </c>
      <c r="D2657">
        <v>281142</v>
      </c>
      <c r="E2657" t="s">
        <v>2163</v>
      </c>
      <c r="F2657" t="str">
        <f>HYPERLINK("https://drillhole.pir.sa.gov.au/Details.aspx?DRILLHOLE_NO=281142","Geol Survey Link")</f>
        <v>Geol Survey Link</v>
      </c>
      <c r="I2657">
        <v>-30.441299999999998</v>
      </c>
      <c r="J2657">
        <v>136.88900000000001</v>
      </c>
      <c r="K2657" t="str">
        <f>HYPERLINK("https://sarigdata.pir.sa.gov.au/nvcl/NVCLDataServices/mosaic.html?datasetid=b6906ead-6584-4a25-995e-2a7908f6a1a","281142_RD252_Core Image")</f>
        <v>281142_RD252_Core Image</v>
      </c>
    </row>
    <row r="2658" spans="1:11" x14ac:dyDescent="0.25">
      <c r="A2658" t="str">
        <f>HYPERLINK("http://www.corstruth.com.au/SA/281143_RD2773_cs.png","281143_RD2773_A4")</f>
        <v>281143_RD2773_A4</v>
      </c>
      <c r="B2658" t="str">
        <f>HYPERLINK("http://www.corstruth.com.au/SA/PNG2/281143_RD2773_cs.png","281143_RD2773_0.25m Bins")</f>
        <v>281143_RD2773_0.25m Bins</v>
      </c>
      <c r="C2658" t="str">
        <f>HYPERLINK("http://www.corstruth.com.au/SA/CSV/281143_RD2773.csv","281143_RD2773_CSV File 1m Bins")</f>
        <v>281143_RD2773_CSV File 1m Bins</v>
      </c>
      <c r="D2658">
        <v>281143</v>
      </c>
      <c r="E2658" t="s">
        <v>2163</v>
      </c>
      <c r="F2658" t="str">
        <f>HYPERLINK("https://drillhole.pir.sa.gov.au/Details.aspx?DRILLHOLE_NO=281143","Geol Survey Link")</f>
        <v>Geol Survey Link</v>
      </c>
      <c r="I2658">
        <v>-30.447900000000001</v>
      </c>
      <c r="J2658">
        <v>136.91300000000001</v>
      </c>
      <c r="K2658" t="str">
        <f>HYPERLINK("https://sarigdata.pir.sa.gov.au/nvcl/NVCLDataServices/mosaic.html?datasetid=a39dfe8f-0d9f-4a75-bd96-50d157429f2","281143_RD2773_Core Image")</f>
        <v>281143_RD2773_Core Image</v>
      </c>
    </row>
    <row r="2659" spans="1:11" x14ac:dyDescent="0.25">
      <c r="A2659" t="str">
        <f>HYPERLINK("http://www.corstruth.com.au/SA/281144_RD2786A_cs.png","281144_RD2786A_A4")</f>
        <v>281144_RD2786A_A4</v>
      </c>
      <c r="B2659" t="str">
        <f>HYPERLINK("http://www.corstruth.com.au/SA/PNG2/281144_RD2786A_cs.png","281144_RD2786A_0.25m Bins")</f>
        <v>281144_RD2786A_0.25m Bins</v>
      </c>
      <c r="C2659" t="str">
        <f>HYPERLINK("http://www.corstruth.com.au/SA/CSV/281144_RD2786A.csv","281144_RD2786A_CSV File 1m Bins")</f>
        <v>281144_RD2786A_CSV File 1m Bins</v>
      </c>
      <c r="D2659">
        <v>281144</v>
      </c>
      <c r="E2659" t="s">
        <v>2163</v>
      </c>
      <c r="F2659" t="str">
        <f>HYPERLINK("https://drillhole.pir.sa.gov.au/Details.aspx?DRILLHOLE_NO=281144","Geol Survey Link")</f>
        <v>Geol Survey Link</v>
      </c>
      <c r="I2659">
        <v>-30.4587</v>
      </c>
      <c r="J2659">
        <v>136.89699999999999</v>
      </c>
      <c r="K2659" t="str">
        <f>HYPERLINK("https://sarigdata.pir.sa.gov.au/nvcl/NVCLDataServices/mosaic.html?datasetid=31667804-e0bc-464c-b44b-f7d6b365ec2","281144_RD2786A_Core Image")</f>
        <v>281144_RD2786A_Core Image</v>
      </c>
    </row>
    <row r="2660" spans="1:11" x14ac:dyDescent="0.25">
      <c r="A2660" t="str">
        <f>HYPERLINK("http://www.corstruth.com.au/SA/281145_RD2923_cs.png","281145_RD2923_A4")</f>
        <v>281145_RD2923_A4</v>
      </c>
      <c r="B2660" t="str">
        <f>HYPERLINK("http://www.corstruth.com.au/SA/PNG2/281145_RD2923_cs.png","281145_RD2923_0.25m Bins")</f>
        <v>281145_RD2923_0.25m Bins</v>
      </c>
      <c r="C2660" t="str">
        <f>HYPERLINK("http://www.corstruth.com.au/SA/CSV/281145_RD2923.csv","281145_RD2923_CSV File 1m Bins")</f>
        <v>281145_RD2923_CSV File 1m Bins</v>
      </c>
      <c r="D2660">
        <v>281145</v>
      </c>
      <c r="E2660" t="s">
        <v>2163</v>
      </c>
      <c r="F2660" t="str">
        <f>HYPERLINK("https://drillhole.pir.sa.gov.au/Details.aspx?DRILLHOLE_NO=281145","Geol Survey Link")</f>
        <v>Geol Survey Link</v>
      </c>
      <c r="I2660">
        <v>-30.451499999999999</v>
      </c>
      <c r="J2660">
        <v>136.89500000000001</v>
      </c>
      <c r="K2660" t="str">
        <f>HYPERLINK("https://sarigdata.pir.sa.gov.au/nvcl/NVCLDataServices/mosaic.html?datasetid=7fed434b-8bf0-4f89-9875-42f5329f6f2","281145_RD2923_Core Image")</f>
        <v>281145_RD2923_Core Image</v>
      </c>
    </row>
    <row r="2661" spans="1:11" x14ac:dyDescent="0.25">
      <c r="A2661" t="str">
        <f>HYPERLINK("http://www.corstruth.com.au/SA/281146_RD16_Total_cs.png","281146_RD16_Total_A4")</f>
        <v>281146_RD16_Total_A4</v>
      </c>
      <c r="B2661" t="str">
        <f>HYPERLINK("http://www.corstruth.com.au/SA/PNG2/281146_RD16_Total_cs.png","281146_RD16_Total_0.25m Bins")</f>
        <v>281146_RD16_Total_0.25m Bins</v>
      </c>
      <c r="C2661" t="str">
        <f>HYPERLINK("http://www.corstruth.com.au/SA/CSV/281146_RD16_Total.csv","281146_RD16_Total_CSV File 1m Bins")</f>
        <v>281146_RD16_Total_CSV File 1m Bins</v>
      </c>
      <c r="D2661">
        <v>281146</v>
      </c>
      <c r="E2661" t="s">
        <v>2163</v>
      </c>
      <c r="F2661" t="str">
        <f>HYPERLINK("https://drillhole.pir.sa.gov.au/Details.aspx?DRILLHOLE_NO=281146","Geol Survey Link")</f>
        <v>Geol Survey Link</v>
      </c>
      <c r="I2661">
        <v>-30.444199999999999</v>
      </c>
      <c r="J2661">
        <v>136.886</v>
      </c>
      <c r="K2661" t="str">
        <f>HYPERLINK("https://sarigdata.pir.sa.gov.au/nvcl/NVCLDataServices/mosaic.html?datasetid=d7ae651c-dab9-4383-8095-1efada2ac63","281146_RD16_Total_Core Image")</f>
        <v>281146_RD16_Total_Core Image</v>
      </c>
    </row>
    <row r="2662" spans="1:11" x14ac:dyDescent="0.25">
      <c r="A2662" t="str">
        <f>HYPERLINK("http://www.corstruth.com.au/SA/281148_RD1603_cs.png","281148_RD1603_A4")</f>
        <v>281148_RD1603_A4</v>
      </c>
      <c r="B2662" t="str">
        <f>HYPERLINK("http://www.corstruth.com.au/SA/PNG2/281148_RD1603_cs.png","281148_RD1603_0.25m Bins")</f>
        <v>281148_RD1603_0.25m Bins</v>
      </c>
      <c r="C2662" t="str">
        <f>HYPERLINK("http://www.corstruth.com.au/SA/CSV/281148_RD1603.csv","281148_RD1603_CSV File 1m Bins")</f>
        <v>281148_RD1603_CSV File 1m Bins</v>
      </c>
      <c r="D2662">
        <v>281148</v>
      </c>
      <c r="E2662" t="s">
        <v>2163</v>
      </c>
      <c r="F2662" t="str">
        <f>HYPERLINK("https://drillhole.pir.sa.gov.au/Details.aspx?DRILLHOLE_NO=281148","Geol Survey Link")</f>
        <v>Geol Survey Link</v>
      </c>
      <c r="I2662">
        <v>-30.4512</v>
      </c>
      <c r="J2662">
        <v>136.88200000000001</v>
      </c>
      <c r="K2662" t="str">
        <f>HYPERLINK("https://sarigdata.pir.sa.gov.au/nvcl/NVCLDataServices/mosaic.html?datasetid=351da9ad-77fc-46a5-884d-769054c7a05","281148_RD1603_Core Image")</f>
        <v>281148_RD1603_Core Image</v>
      </c>
    </row>
    <row r="2663" spans="1:11" x14ac:dyDescent="0.25">
      <c r="A2663" t="str">
        <f>HYPERLINK("http://www.corstruth.com.au/SA/281149_RD1604_cs.png","281149_RD1604_A4")</f>
        <v>281149_RD1604_A4</v>
      </c>
      <c r="B2663" t="str">
        <f>HYPERLINK("http://www.corstruth.com.au/SA/PNG2/281149_RD1604_cs.png","281149_RD1604_0.25m Bins")</f>
        <v>281149_RD1604_0.25m Bins</v>
      </c>
      <c r="C2663" t="str">
        <f>HYPERLINK("http://www.corstruth.com.au/SA/CSV/281149_RD1604.csv","281149_RD1604_CSV File 1m Bins")</f>
        <v>281149_RD1604_CSV File 1m Bins</v>
      </c>
      <c r="D2663">
        <v>281149</v>
      </c>
      <c r="E2663" t="s">
        <v>2163</v>
      </c>
      <c r="F2663" t="str">
        <f>HYPERLINK("https://drillhole.pir.sa.gov.au/Details.aspx?DRILLHOLE_NO=281149","Geol Survey Link")</f>
        <v>Geol Survey Link</v>
      </c>
      <c r="I2663">
        <v>-30.450199999999999</v>
      </c>
      <c r="J2663">
        <v>136.881</v>
      </c>
      <c r="K2663" t="str">
        <f>HYPERLINK("https://sarigdata.pir.sa.gov.au/nvcl/NVCLDataServices/mosaic.html?datasetid=8cd4c577-299a-443f-9cda-93b26a0ef80","281149_RD1604_Core Image")</f>
        <v>281149_RD1604_Core Image</v>
      </c>
    </row>
    <row r="2664" spans="1:11" x14ac:dyDescent="0.25">
      <c r="A2664" t="str">
        <f>HYPERLINK("http://www.corstruth.com.au/SA/281150_RD1605_cs.png","281150_RD1605_A4")</f>
        <v>281150_RD1605_A4</v>
      </c>
      <c r="B2664" t="str">
        <f>HYPERLINK("http://www.corstruth.com.au/SA/PNG2/281150_RD1605_cs.png","281150_RD1605_0.25m Bins")</f>
        <v>281150_RD1605_0.25m Bins</v>
      </c>
      <c r="C2664" t="str">
        <f>HYPERLINK("http://www.corstruth.com.au/SA/CSV/281150_RD1605.csv","281150_RD1605_CSV File 1m Bins")</f>
        <v>281150_RD1605_CSV File 1m Bins</v>
      </c>
      <c r="D2664">
        <v>281150</v>
      </c>
      <c r="E2664" t="s">
        <v>2163</v>
      </c>
      <c r="F2664" t="str">
        <f>HYPERLINK("https://drillhole.pir.sa.gov.au/Details.aspx?DRILLHOLE_NO=281150","Geol Survey Link")</f>
        <v>Geol Survey Link</v>
      </c>
      <c r="I2664">
        <v>-30.45</v>
      </c>
      <c r="J2664">
        <v>136.88200000000001</v>
      </c>
      <c r="K2664" t="str">
        <f>HYPERLINK("https://sarigdata.pir.sa.gov.au/nvcl/NVCLDataServices/mosaic.html?datasetid=f6225e3e-7f54-4258-ad92-84a58a68a14","281150_RD1605_Core Image")</f>
        <v>281150_RD1605_Core Image</v>
      </c>
    </row>
    <row r="2665" spans="1:11" x14ac:dyDescent="0.25">
      <c r="A2665" t="str">
        <f>HYPERLINK("http://www.corstruth.com.au/SA/281151_RD1606_cs.png","281151_RD1606_A4")</f>
        <v>281151_RD1606_A4</v>
      </c>
      <c r="B2665" t="str">
        <f>HYPERLINK("http://www.corstruth.com.au/SA/PNG2/281151_RD1606_cs.png","281151_RD1606_0.25m Bins")</f>
        <v>281151_RD1606_0.25m Bins</v>
      </c>
      <c r="C2665" t="str">
        <f>HYPERLINK("http://www.corstruth.com.au/SA/CSV/281151_RD1606.csv","281151_RD1606_CSV File 1m Bins")</f>
        <v>281151_RD1606_CSV File 1m Bins</v>
      </c>
      <c r="D2665">
        <v>281151</v>
      </c>
      <c r="E2665" t="s">
        <v>2163</v>
      </c>
      <c r="F2665" t="str">
        <f>HYPERLINK("https://drillhole.pir.sa.gov.au/Details.aspx?DRILLHOLE_NO=281151","Geol Survey Link")</f>
        <v>Geol Survey Link</v>
      </c>
      <c r="I2665">
        <v>-30.449100000000001</v>
      </c>
      <c r="J2665">
        <v>136.88200000000001</v>
      </c>
      <c r="K2665" t="str">
        <f>HYPERLINK("https://sarigdata.pir.sa.gov.au/nvcl/NVCLDataServices/mosaic.html?datasetid=5ab84513-103b-4769-823c-39fd838febf","281151_RD1606_Core Image")</f>
        <v>281151_RD1606_Core Image</v>
      </c>
    </row>
    <row r="2666" spans="1:11" x14ac:dyDescent="0.25">
      <c r="A2666" t="str">
        <f>HYPERLINK("http://www.corstruth.com.au/SA/281152_RD2137_cs.png","281152_RD2137_A4")</f>
        <v>281152_RD2137_A4</v>
      </c>
      <c r="B2666" t="str">
        <f>HYPERLINK("http://www.corstruth.com.au/SA/PNG2/281152_RD2137_cs.png","281152_RD2137_0.25m Bins")</f>
        <v>281152_RD2137_0.25m Bins</v>
      </c>
      <c r="C2666" t="str">
        <f>HYPERLINK("http://www.corstruth.com.au/SA/CSV/281152_RD2137.csv","281152_RD2137_CSV File 1m Bins")</f>
        <v>281152_RD2137_CSV File 1m Bins</v>
      </c>
      <c r="D2666">
        <v>281152</v>
      </c>
      <c r="E2666" t="s">
        <v>2163</v>
      </c>
      <c r="F2666" t="str">
        <f>HYPERLINK("https://drillhole.pir.sa.gov.au/Details.aspx?DRILLHOLE_NO=281152","Geol Survey Link")</f>
        <v>Geol Survey Link</v>
      </c>
      <c r="I2666">
        <v>-30.4544</v>
      </c>
      <c r="J2666">
        <v>136.87899999999999</v>
      </c>
      <c r="K2666" t="str">
        <f>HYPERLINK("https://sarigdata.pir.sa.gov.au/nvcl/NVCLDataServices/mosaic.html?datasetid=dc039778-6305-45cd-b88b-b6d86bc0f76","281152_RD2137_Core Image")</f>
        <v>281152_RD2137_Core Image</v>
      </c>
    </row>
    <row r="2667" spans="1:11" x14ac:dyDescent="0.25">
      <c r="A2667" t="str">
        <f>HYPERLINK("http://www.corstruth.com.au/SA/281153_RD2151_cs.png","281153_RD2151_A4")</f>
        <v>281153_RD2151_A4</v>
      </c>
      <c r="B2667" t="str">
        <f>HYPERLINK("http://www.corstruth.com.au/SA/PNG2/281153_RD2151_cs.png","281153_RD2151_0.25m Bins")</f>
        <v>281153_RD2151_0.25m Bins</v>
      </c>
      <c r="C2667" t="str">
        <f>HYPERLINK("http://www.corstruth.com.au/SA/CSV/281153_RD2151.csv","281153_RD2151_CSV File 1m Bins")</f>
        <v>281153_RD2151_CSV File 1m Bins</v>
      </c>
      <c r="D2667">
        <v>281153</v>
      </c>
      <c r="E2667" t="s">
        <v>2163</v>
      </c>
      <c r="F2667" t="str">
        <f>HYPERLINK("https://drillhole.pir.sa.gov.au/Details.aspx?DRILLHOLE_NO=281153","Geol Survey Link")</f>
        <v>Geol Survey Link</v>
      </c>
      <c r="I2667">
        <v>-30.4513</v>
      </c>
      <c r="J2667">
        <v>136.881</v>
      </c>
      <c r="K2667" t="str">
        <f>HYPERLINK("https://sarigdata.pir.sa.gov.au/nvcl/NVCLDataServices/mosaic.html?datasetid=1c0540b3-4f72-4f69-a189-c9479df9894","281153_RD2151_Core Image")</f>
        <v>281153_RD2151_Core Image</v>
      </c>
    </row>
    <row r="2668" spans="1:11" x14ac:dyDescent="0.25">
      <c r="A2668" t="str">
        <f>HYPERLINK("http://www.corstruth.com.au/SA/281154_RD2153_cs.png","281154_RD2153_A4")</f>
        <v>281154_RD2153_A4</v>
      </c>
      <c r="B2668" t="str">
        <f>HYPERLINK("http://www.corstruth.com.au/SA/PNG2/281154_RD2153_cs.png","281154_RD2153_0.25m Bins")</f>
        <v>281154_RD2153_0.25m Bins</v>
      </c>
      <c r="C2668" t="str">
        <f>HYPERLINK("http://www.corstruth.com.au/SA/CSV/281154_RD2153.csv","281154_RD2153_CSV File 1m Bins")</f>
        <v>281154_RD2153_CSV File 1m Bins</v>
      </c>
      <c r="D2668">
        <v>281154</v>
      </c>
      <c r="E2668" t="s">
        <v>2163</v>
      </c>
      <c r="F2668" t="str">
        <f>HYPERLINK("https://drillhole.pir.sa.gov.au/Details.aspx?DRILLHOLE_NO=281154","Geol Survey Link")</f>
        <v>Geol Survey Link</v>
      </c>
      <c r="I2668">
        <v>-30.4512</v>
      </c>
      <c r="J2668">
        <v>136.881</v>
      </c>
      <c r="K2668" t="str">
        <f>HYPERLINK("https://sarigdata.pir.sa.gov.au/nvcl/NVCLDataServices/mosaic.html?datasetid=ff0714fe-854f-4e6f-a46e-426823dbf33","281154_RD2153_Core Image")</f>
        <v>281154_RD2153_Core Image</v>
      </c>
    </row>
    <row r="2669" spans="1:11" x14ac:dyDescent="0.25">
      <c r="A2669" t="str">
        <f>HYPERLINK("http://www.corstruth.com.au/SA/281155_RD2162_cs.png","281155_RD2162_A4")</f>
        <v>281155_RD2162_A4</v>
      </c>
      <c r="B2669" t="str">
        <f>HYPERLINK("http://www.corstruth.com.au/SA/PNG2/281155_RD2162_cs.png","281155_RD2162_0.25m Bins")</f>
        <v>281155_RD2162_0.25m Bins</v>
      </c>
      <c r="C2669" t="str">
        <f>HYPERLINK("http://www.corstruth.com.au/SA/CSV/281155_RD2162.csv","281155_RD2162_CSV File 1m Bins")</f>
        <v>281155_RD2162_CSV File 1m Bins</v>
      </c>
      <c r="D2669">
        <v>281155</v>
      </c>
      <c r="E2669" t="s">
        <v>2163</v>
      </c>
      <c r="F2669" t="str">
        <f>HYPERLINK("https://drillhole.pir.sa.gov.au/Details.aspx?DRILLHOLE_NO=281155","Geol Survey Link")</f>
        <v>Geol Survey Link</v>
      </c>
      <c r="I2669">
        <v>-30.4481</v>
      </c>
      <c r="J2669">
        <v>136.88300000000001</v>
      </c>
      <c r="K2669" t="str">
        <f>HYPERLINK("https://sarigdata.pir.sa.gov.au/nvcl/NVCLDataServices/mosaic.html?datasetid=da38660a-4045-455e-ba06-41bc33cc159","281155_RD2162_Core Image")</f>
        <v>281155_RD2162_Core Image</v>
      </c>
    </row>
    <row r="2670" spans="1:11" x14ac:dyDescent="0.25">
      <c r="A2670" t="str">
        <f>HYPERLINK("http://www.corstruth.com.au/SA/281156_RD2568_cs.png","281156_RD2568_A4")</f>
        <v>281156_RD2568_A4</v>
      </c>
      <c r="B2670" t="str">
        <f>HYPERLINK("http://www.corstruth.com.au/SA/PNG2/281156_RD2568_cs.png","281156_RD2568_0.25m Bins")</f>
        <v>281156_RD2568_0.25m Bins</v>
      </c>
      <c r="C2670" t="str">
        <f>HYPERLINK("http://www.corstruth.com.au/SA/CSV/281156_RD2568.csv","281156_RD2568_CSV File 1m Bins")</f>
        <v>281156_RD2568_CSV File 1m Bins</v>
      </c>
      <c r="D2670">
        <v>281156</v>
      </c>
      <c r="E2670" t="s">
        <v>2163</v>
      </c>
      <c r="F2670" t="str">
        <f>HYPERLINK("https://drillhole.pir.sa.gov.au/Details.aspx?DRILLHOLE_NO=281156","Geol Survey Link")</f>
        <v>Geol Survey Link</v>
      </c>
      <c r="I2670">
        <v>-30.457000000000001</v>
      </c>
      <c r="J2670">
        <v>136.88</v>
      </c>
      <c r="K2670" t="str">
        <f>HYPERLINK("https://sarigdata.pir.sa.gov.au/nvcl/NVCLDataServices/mosaic.html?datasetid=4d9f4b03-f337-426c-ad44-9446e6aebba","281156_RD2568_Core Image")</f>
        <v>281156_RD2568_Core Image</v>
      </c>
    </row>
    <row r="2671" spans="1:11" x14ac:dyDescent="0.25">
      <c r="A2671" t="str">
        <f>HYPERLINK("http://www.corstruth.com.au/SA/281157_RD302_cs.png","281157_RD302_A4")</f>
        <v>281157_RD302_A4</v>
      </c>
      <c r="B2671" t="str">
        <f>HYPERLINK("http://www.corstruth.com.au/SA/PNG2/281157_RD302_cs.png","281157_RD302_0.25m Bins")</f>
        <v>281157_RD302_0.25m Bins</v>
      </c>
      <c r="C2671" t="str">
        <f>HYPERLINK("http://www.corstruth.com.au/SA/CSV/281157_RD302.csv","281157_RD302_CSV File 1m Bins")</f>
        <v>281157_RD302_CSV File 1m Bins</v>
      </c>
      <c r="D2671">
        <v>281157</v>
      </c>
      <c r="E2671" t="s">
        <v>2163</v>
      </c>
      <c r="F2671" t="str">
        <f>HYPERLINK("https://drillhole.pir.sa.gov.au/Details.aspx?DRILLHOLE_NO=281157","Geol Survey Link")</f>
        <v>Geol Survey Link</v>
      </c>
      <c r="I2671">
        <v>-30.462800000000001</v>
      </c>
      <c r="J2671">
        <v>136.87</v>
      </c>
      <c r="K2671" t="str">
        <f>HYPERLINK("https://sarigdata.pir.sa.gov.au/nvcl/NVCLDataServices/mosaic.html?datasetid=6c379cf6-6f6b-44c1-943a-9d8d0d7eeb2","281157_RD302_Core Image")</f>
        <v>281157_RD302_Core Image</v>
      </c>
    </row>
    <row r="2672" spans="1:11" x14ac:dyDescent="0.25">
      <c r="A2672" t="str">
        <f>HYPERLINK("http://www.corstruth.com.au/SA/281158_RD451_cs.png","281158_RD451_A4")</f>
        <v>281158_RD451_A4</v>
      </c>
      <c r="B2672" t="str">
        <f>HYPERLINK("http://www.corstruth.com.au/SA/PNG2/281158_RD451_cs.png","281158_RD451_0.25m Bins")</f>
        <v>281158_RD451_0.25m Bins</v>
      </c>
      <c r="C2672" t="str">
        <f>HYPERLINK("http://www.corstruth.com.au/SA/CSV/281158_RD451.csv","281158_RD451_CSV File 1m Bins")</f>
        <v>281158_RD451_CSV File 1m Bins</v>
      </c>
      <c r="D2672">
        <v>281158</v>
      </c>
      <c r="E2672" t="s">
        <v>2163</v>
      </c>
      <c r="F2672" t="str">
        <f>HYPERLINK("https://drillhole.pir.sa.gov.au/Details.aspx?DRILLHOLE_NO=281158","Geol Survey Link")</f>
        <v>Geol Survey Link</v>
      </c>
      <c r="I2672">
        <v>-30.469799999999999</v>
      </c>
      <c r="J2672">
        <v>136.87200000000001</v>
      </c>
      <c r="K2672" t="str">
        <f>HYPERLINK("https://sarigdata.pir.sa.gov.au/nvcl/NVCLDataServices/mosaic.html?datasetid=9a08d8a0-4304-492a-acab-875985352d7","281158_RD451_Core Image")</f>
        <v>281158_RD451_Core Image</v>
      </c>
    </row>
    <row r="2673" spans="1:11" x14ac:dyDescent="0.25">
      <c r="A2673" t="str">
        <f>HYPERLINK("http://www.corstruth.com.au/SA/281159_RD480_cs.png","281159_RD480_A4")</f>
        <v>281159_RD480_A4</v>
      </c>
      <c r="B2673" t="str">
        <f>HYPERLINK("http://www.corstruth.com.au/SA/PNG2/281159_RD480_cs.png","281159_RD480_0.25m Bins")</f>
        <v>281159_RD480_0.25m Bins</v>
      </c>
      <c r="C2673" t="str">
        <f>HYPERLINK("http://www.corstruth.com.au/SA/CSV/281159_RD480.csv","281159_RD480_CSV File 1m Bins")</f>
        <v>281159_RD480_CSV File 1m Bins</v>
      </c>
      <c r="D2673">
        <v>281159</v>
      </c>
      <c r="E2673" t="s">
        <v>2163</v>
      </c>
      <c r="F2673" t="str">
        <f>HYPERLINK("https://drillhole.pir.sa.gov.au/Details.aspx?DRILLHOLE_NO=281159","Geol Survey Link")</f>
        <v>Geol Survey Link</v>
      </c>
      <c r="I2673">
        <v>-30.426300000000001</v>
      </c>
      <c r="J2673">
        <v>136.90299999999999</v>
      </c>
      <c r="K2673" t="str">
        <f>HYPERLINK("https://sarigdata.pir.sa.gov.au/nvcl/NVCLDataServices/mosaic.html?datasetid=7d865ea9-e964-458b-b188-f7e259146c0","281159_RD480_Core Image")</f>
        <v>281159_RD480_Core Image</v>
      </c>
    </row>
    <row r="2674" spans="1:11" x14ac:dyDescent="0.25">
      <c r="A2674" t="str">
        <f>HYPERLINK("http://www.corstruth.com.au/SA/281160_RD2326_cs.png","281160_RD2326_A4")</f>
        <v>281160_RD2326_A4</v>
      </c>
      <c r="B2674" t="str">
        <f>HYPERLINK("http://www.corstruth.com.au/SA/PNG2/281160_RD2326_cs.png","281160_RD2326_0.25m Bins")</f>
        <v>281160_RD2326_0.25m Bins</v>
      </c>
      <c r="C2674" t="str">
        <f>HYPERLINK("http://www.corstruth.com.au/SA/CSV/281160_RD2326.csv","281160_RD2326_CSV File 1m Bins")</f>
        <v>281160_RD2326_CSV File 1m Bins</v>
      </c>
      <c r="D2674">
        <v>281160</v>
      </c>
      <c r="E2674" t="s">
        <v>2163</v>
      </c>
      <c r="F2674" t="str">
        <f>HYPERLINK("https://drillhole.pir.sa.gov.au/Details.aspx?DRILLHOLE_NO=281160","Geol Survey Link")</f>
        <v>Geol Survey Link</v>
      </c>
      <c r="I2674">
        <v>-30.407299999999999</v>
      </c>
      <c r="J2674">
        <v>136.91399999999999</v>
      </c>
      <c r="K2674" t="str">
        <f>HYPERLINK("https://sarigdata.pir.sa.gov.au/nvcl/NVCLDataServices/mosaic.html?datasetid=834c3db1-7bf2-43f7-ad6e-d5c39f5a617","281160_RD2326_Core Image")</f>
        <v>281160_RD2326_Core Image</v>
      </c>
    </row>
    <row r="2675" spans="1:11" x14ac:dyDescent="0.25">
      <c r="A2675" t="str">
        <f>HYPERLINK("http://www.corstruth.com.au/SA/281161_RD2336_cs.png","281161_RD2336_A4")</f>
        <v>281161_RD2336_A4</v>
      </c>
      <c r="B2675" t="str">
        <f>HYPERLINK("http://www.corstruth.com.au/SA/PNG2/281161_RD2336_cs.png","281161_RD2336_0.25m Bins")</f>
        <v>281161_RD2336_0.25m Bins</v>
      </c>
      <c r="C2675" t="str">
        <f>HYPERLINK("http://www.corstruth.com.au/SA/CSV/281161_RD2336.csv","281161_RD2336_CSV File 1m Bins")</f>
        <v>281161_RD2336_CSV File 1m Bins</v>
      </c>
      <c r="D2675">
        <v>281161</v>
      </c>
      <c r="E2675" t="s">
        <v>2163</v>
      </c>
      <c r="F2675" t="str">
        <f>HYPERLINK("https://drillhole.pir.sa.gov.au/Details.aspx?DRILLHOLE_NO=281161","Geol Survey Link")</f>
        <v>Geol Survey Link</v>
      </c>
      <c r="I2675">
        <v>-30.401199999999999</v>
      </c>
      <c r="J2675">
        <v>136.91800000000001</v>
      </c>
      <c r="K2675" t="str">
        <f>HYPERLINK("https://sarigdata.pir.sa.gov.au/nvcl/NVCLDataServices/mosaic.html?datasetid=46e871b5-94c7-4f97-b8d5-44098866572","281161_RD2336_Core Image")</f>
        <v>281161_RD2336_Core Image</v>
      </c>
    </row>
    <row r="2676" spans="1:11" x14ac:dyDescent="0.25">
      <c r="A2676" t="str">
        <f>HYPERLINK("http://www.corstruth.com.au/SA/281162_RD2347_cs.png","281162_RD2347_A4")</f>
        <v>281162_RD2347_A4</v>
      </c>
      <c r="B2676" t="str">
        <f>HYPERLINK("http://www.corstruth.com.au/SA/PNG2/281162_RD2347_cs.png","281162_RD2347_0.25m Bins")</f>
        <v>281162_RD2347_0.25m Bins</v>
      </c>
      <c r="C2676" t="str">
        <f>HYPERLINK("http://www.corstruth.com.au/SA/CSV/281162_RD2347.csv","281162_RD2347_CSV File 1m Bins")</f>
        <v>281162_RD2347_CSV File 1m Bins</v>
      </c>
      <c r="D2676">
        <v>281162</v>
      </c>
      <c r="E2676" t="s">
        <v>2163</v>
      </c>
      <c r="F2676" t="str">
        <f>HYPERLINK("https://drillhole.pir.sa.gov.au/Details.aspx?DRILLHOLE_NO=281162","Geol Survey Link")</f>
        <v>Geol Survey Link</v>
      </c>
      <c r="I2676">
        <v>-30.3842</v>
      </c>
      <c r="J2676">
        <v>136.92500000000001</v>
      </c>
      <c r="K2676" t="str">
        <f>HYPERLINK("https://sarigdata.pir.sa.gov.au/nvcl/NVCLDataServices/mosaic.html?datasetid=973aa8be-8fcb-473a-9232-891de25c46f","281162_RD2347_Core Image")</f>
        <v>281162_RD2347_Core Image</v>
      </c>
    </row>
    <row r="2677" spans="1:11" x14ac:dyDescent="0.25">
      <c r="A2677" t="str">
        <f>HYPERLINK("http://www.corstruth.com.au/SA/281163_RD2488_cs.png","281163_RD2488_A4")</f>
        <v>281163_RD2488_A4</v>
      </c>
      <c r="B2677" t="str">
        <f>HYPERLINK("http://www.corstruth.com.au/SA/PNG2/281163_RD2488_cs.png","281163_RD2488_0.25m Bins")</f>
        <v>281163_RD2488_0.25m Bins</v>
      </c>
      <c r="C2677" t="str">
        <f>HYPERLINK("http://www.corstruth.com.au/SA/CSV/281163_RD2488.csv","281163_RD2488_CSV File 1m Bins")</f>
        <v>281163_RD2488_CSV File 1m Bins</v>
      </c>
      <c r="D2677">
        <v>281163</v>
      </c>
      <c r="E2677" t="s">
        <v>2163</v>
      </c>
      <c r="F2677" t="str">
        <f>HYPERLINK("https://drillhole.pir.sa.gov.au/Details.aspx?DRILLHOLE_NO=281163","Geol Survey Link")</f>
        <v>Geol Survey Link</v>
      </c>
      <c r="I2677">
        <v>-30.4941</v>
      </c>
      <c r="J2677">
        <v>136.84800000000001</v>
      </c>
      <c r="K2677" t="str">
        <f>HYPERLINK("https://sarigdata.pir.sa.gov.au/nvcl/NVCLDataServices/mosaic.html?datasetid=1522f6ff-2a6e-4e48-851b-46546935328","281163_RD2488_Core Image")</f>
        <v>281163_RD2488_Core Image</v>
      </c>
    </row>
    <row r="2678" spans="1:11" x14ac:dyDescent="0.25">
      <c r="A2678" t="str">
        <f>HYPERLINK("http://www.corstruth.com.au/SA/281164_RD2499_cs.png","281164_RD2499_A4")</f>
        <v>281164_RD2499_A4</v>
      </c>
      <c r="B2678" t="str">
        <f>HYPERLINK("http://www.corstruth.com.au/SA/PNG2/281164_RD2499_cs.png","281164_RD2499_0.25m Bins")</f>
        <v>281164_RD2499_0.25m Bins</v>
      </c>
      <c r="C2678" t="str">
        <f>HYPERLINK("http://www.corstruth.com.au/SA/CSV/281164_RD2499.csv","281164_RD2499_CSV File 1m Bins")</f>
        <v>281164_RD2499_CSV File 1m Bins</v>
      </c>
      <c r="D2678">
        <v>281164</v>
      </c>
      <c r="E2678" t="s">
        <v>2163</v>
      </c>
      <c r="F2678" t="str">
        <f>HYPERLINK("https://drillhole.pir.sa.gov.au/Details.aspx?DRILLHOLE_NO=281164","Geol Survey Link")</f>
        <v>Geol Survey Link</v>
      </c>
      <c r="I2678">
        <v>-30.4727</v>
      </c>
      <c r="J2678">
        <v>136.86600000000001</v>
      </c>
      <c r="K2678" t="str">
        <f>HYPERLINK("https://sarigdata.pir.sa.gov.au/nvcl/NVCLDataServices/mosaic.html?datasetid=29a82113-6639-42af-9a7a-32dc4a751a3","281164_RD2499_Core Image")</f>
        <v>281164_RD2499_Core Image</v>
      </c>
    </row>
    <row r="2679" spans="1:11" x14ac:dyDescent="0.25">
      <c r="A2679" t="str">
        <f>HYPERLINK("http://www.corstruth.com.au/SA/281165_RD2684_cs.png","281165_RD2684_A4")</f>
        <v>281165_RD2684_A4</v>
      </c>
      <c r="B2679" t="str">
        <f>HYPERLINK("http://www.corstruth.com.au/SA/PNG2/281165_RD2684_cs.png","281165_RD2684_0.25m Bins")</f>
        <v>281165_RD2684_0.25m Bins</v>
      </c>
      <c r="C2679" t="str">
        <f>HYPERLINK("http://www.corstruth.com.au/SA/CSV/281165_RD2684.csv","281165_RD2684_CSV File 1m Bins")</f>
        <v>281165_RD2684_CSV File 1m Bins</v>
      </c>
      <c r="D2679">
        <v>281165</v>
      </c>
      <c r="E2679" t="s">
        <v>2163</v>
      </c>
      <c r="F2679" t="str">
        <f>HYPERLINK("https://drillhole.pir.sa.gov.au/Details.aspx?DRILLHOLE_NO=281165","Geol Survey Link")</f>
        <v>Geol Survey Link</v>
      </c>
      <c r="I2679">
        <v>-30.433700000000002</v>
      </c>
      <c r="J2679">
        <v>136.89400000000001</v>
      </c>
      <c r="K2679" t="str">
        <f>HYPERLINK("https://sarigdata.pir.sa.gov.au/nvcl/NVCLDataServices/mosaic.html?datasetid=2493fcba-1309-4ac3-ba94-f428214f4d0","281165_RD2684_Core Image")</f>
        <v>281165_RD2684_Core Image</v>
      </c>
    </row>
    <row r="2680" spans="1:11" x14ac:dyDescent="0.25">
      <c r="A2680" t="str">
        <f>HYPERLINK("http://www.corstruth.com.au/SA/283712_GraniteDowns_DH01_cs.png","283712_GraniteDowns_DH01_A4")</f>
        <v>283712_GraniteDowns_DH01_A4</v>
      </c>
      <c r="D2680">
        <v>283712</v>
      </c>
      <c r="E2680" t="s">
        <v>2163</v>
      </c>
      <c r="F2680" t="str">
        <f>HYPERLINK("https://drillhole.pir.sa.gov.au/Details.aspx?DRILLHOLE_NO=283712","Geol Survey Link")</f>
        <v>Geol Survey Link</v>
      </c>
      <c r="I2680">
        <v>-26.8964</v>
      </c>
      <c r="J2680">
        <v>133.40700000000001</v>
      </c>
    </row>
    <row r="2681" spans="1:11" x14ac:dyDescent="0.25">
      <c r="A2681" t="str">
        <f>HYPERLINK("http://www.corstruth.com.au/SA/283713_GraniteDowns_DH02_cs.png","283713_GraniteDowns_DH02_A4")</f>
        <v>283713_GraniteDowns_DH02_A4</v>
      </c>
      <c r="D2681">
        <v>283713</v>
      </c>
      <c r="E2681" t="s">
        <v>2163</v>
      </c>
      <c r="F2681" t="str">
        <f>HYPERLINK("https://drillhole.pir.sa.gov.au/Details.aspx?DRILLHOLE_NO=283713","Geol Survey Link")</f>
        <v>Geol Survey Link</v>
      </c>
      <c r="I2681">
        <v>-26.8965</v>
      </c>
      <c r="J2681">
        <v>133.40700000000001</v>
      </c>
    </row>
    <row r="2682" spans="1:11" x14ac:dyDescent="0.25">
      <c r="A2682" t="str">
        <f>HYPERLINK("http://www.corstruth.com.au/SA/283714_GraniteDowns_DH05_cs.png","283714_GraniteDowns_DH05_A4")</f>
        <v>283714_GraniteDowns_DH05_A4</v>
      </c>
      <c r="D2682">
        <v>283714</v>
      </c>
      <c r="E2682" t="s">
        <v>2163</v>
      </c>
      <c r="F2682" t="str">
        <f>HYPERLINK("https://drillhole.pir.sa.gov.au/Details.aspx?DRILLHOLE_NO=283714","Geol Survey Link")</f>
        <v>Geol Survey Link</v>
      </c>
      <c r="I2682">
        <v>-26.895700000000001</v>
      </c>
      <c r="J2682">
        <v>133.405</v>
      </c>
    </row>
    <row r="2683" spans="1:11" x14ac:dyDescent="0.25">
      <c r="A2683" t="str">
        <f>HYPERLINK("http://www.corstruth.com.au/SA/283715_GraniteDowns_DH06_cs.png","283715_GraniteDowns_DH06_A4")</f>
        <v>283715_GraniteDowns_DH06_A4</v>
      </c>
      <c r="D2683">
        <v>283715</v>
      </c>
      <c r="E2683" t="s">
        <v>2163</v>
      </c>
      <c r="F2683" t="str">
        <f>HYPERLINK("https://drillhole.pir.sa.gov.au/Details.aspx?DRILLHOLE_NO=283715","Geol Survey Link")</f>
        <v>Geol Survey Link</v>
      </c>
      <c r="I2683">
        <v>-26.895499999999998</v>
      </c>
      <c r="J2683">
        <v>133.405</v>
      </c>
    </row>
    <row r="2684" spans="1:11" x14ac:dyDescent="0.25">
      <c r="A2684" t="str">
        <f>HYPERLINK("http://www.corstruth.com.au/SA/283716_GraniteDowns_DH07_cs.png","283716_GraniteDowns_DH07_A4")</f>
        <v>283716_GraniteDowns_DH07_A4</v>
      </c>
      <c r="D2684">
        <v>283716</v>
      </c>
      <c r="E2684" t="s">
        <v>2163</v>
      </c>
      <c r="F2684" t="str">
        <f>HYPERLINK("https://drillhole.pir.sa.gov.au/Details.aspx?DRILLHOLE_NO=283716","Geol Survey Link")</f>
        <v>Geol Survey Link</v>
      </c>
      <c r="I2684">
        <v>-26.895299999999999</v>
      </c>
      <c r="J2684">
        <v>133.405</v>
      </c>
    </row>
    <row r="2685" spans="1:11" x14ac:dyDescent="0.25">
      <c r="A2685" t="str">
        <f>HYPERLINK("http://www.corstruth.com.au/SA/283717_GraniteDowns_DH09_cs.png","283717_GraniteDowns_DH09_A4")</f>
        <v>283717_GraniteDowns_DH09_A4</v>
      </c>
      <c r="D2685">
        <v>283717</v>
      </c>
      <c r="E2685" t="s">
        <v>2163</v>
      </c>
      <c r="F2685" t="str">
        <f>HYPERLINK("https://drillhole.pir.sa.gov.au/Details.aspx?DRILLHOLE_NO=283717","Geol Survey Link")</f>
        <v>Geol Survey Link</v>
      </c>
      <c r="I2685">
        <v>-26.8948</v>
      </c>
      <c r="J2685">
        <v>133.404</v>
      </c>
    </row>
    <row r="2686" spans="1:11" x14ac:dyDescent="0.25">
      <c r="A2686" t="str">
        <f>HYPERLINK("http://www.corstruth.com.au/SA/283718_GraniteDowns_DH10_cs.png","283718_GraniteDowns_DH10_A4")</f>
        <v>283718_GraniteDowns_DH10_A4</v>
      </c>
      <c r="D2686">
        <v>283718</v>
      </c>
      <c r="E2686" t="s">
        <v>2163</v>
      </c>
      <c r="F2686" t="str">
        <f>HYPERLINK("https://drillhole.pir.sa.gov.au/Details.aspx?DRILLHOLE_NO=283718","Geol Survey Link")</f>
        <v>Geol Survey Link</v>
      </c>
      <c r="I2686">
        <v>-26.895</v>
      </c>
      <c r="J2686">
        <v>133.404</v>
      </c>
    </row>
    <row r="2687" spans="1:11" x14ac:dyDescent="0.25">
      <c r="A2687" t="str">
        <f>HYPERLINK("http://www.corstruth.com.au/SA/284381_PJD1_cs.png","284381_PJD1_A4")</f>
        <v>284381_PJD1_A4</v>
      </c>
      <c r="D2687">
        <v>284381</v>
      </c>
      <c r="E2687" t="s">
        <v>2163</v>
      </c>
      <c r="F2687" t="str">
        <f>HYPERLINK("https://drillhole.pir.sa.gov.au/Details.aspx?DRILLHOLE_NO=284381","Geol Survey Link")</f>
        <v>Geol Survey Link</v>
      </c>
      <c r="I2687">
        <v>-34.670200000000001</v>
      </c>
      <c r="J2687">
        <v>137.85900000000001</v>
      </c>
    </row>
    <row r="2688" spans="1:11" x14ac:dyDescent="0.25">
      <c r="A2688" t="str">
        <f>HYPERLINK("http://www.corstruth.com.au/SA/284382_PJD2_cs.png","284382_PJD2_A4")</f>
        <v>284382_PJD2_A4</v>
      </c>
      <c r="D2688">
        <v>284382</v>
      </c>
      <c r="E2688" t="s">
        <v>2163</v>
      </c>
      <c r="F2688" t="str">
        <f>HYPERLINK("https://drillhole.pir.sa.gov.au/Details.aspx?DRILLHOLE_NO=284382","Geol Survey Link")</f>
        <v>Geol Survey Link</v>
      </c>
      <c r="I2688">
        <v>-34.656500000000001</v>
      </c>
      <c r="J2688">
        <v>137.87</v>
      </c>
    </row>
    <row r="2689" spans="1:11" x14ac:dyDescent="0.25">
      <c r="A2689" t="str">
        <f>HYPERLINK("http://www.corstruth.com.au/SA/284465_DD12COP014_cs.png","284465_DD12COP014_A4")</f>
        <v>284465_DD12COP014_A4</v>
      </c>
      <c r="B2689" t="str">
        <f>HYPERLINK("http://www.corstruth.com.au/SA/PNG2/284465_DD12COP014_cs.png","284465_DD12COP014_0.25m Bins")</f>
        <v>284465_DD12COP014_0.25m Bins</v>
      </c>
      <c r="C2689" t="str">
        <f>HYPERLINK("http://www.corstruth.com.au/SA/CSV/284465_DD12COP014.csv","284465_DD12COP014_CSV File 1m Bins")</f>
        <v>284465_DD12COP014_CSV File 1m Bins</v>
      </c>
      <c r="D2689">
        <v>284465</v>
      </c>
      <c r="E2689" t="s">
        <v>2163</v>
      </c>
      <c r="F2689" t="str">
        <f>HYPERLINK("https://drillhole.pir.sa.gov.au/Details.aspx?DRILLHOLE_NO=284465","Geol Survey Link")</f>
        <v>Geol Survey Link</v>
      </c>
      <c r="I2689">
        <v>-26.334700000000002</v>
      </c>
      <c r="J2689">
        <v>129.87200000000001</v>
      </c>
    </row>
    <row r="2690" spans="1:11" x14ac:dyDescent="0.25">
      <c r="A2690" t="str">
        <f>HYPERLINK("http://www.corstruth.com.au/SA/284469_DD13COP018_cs.png","284469_DD13COP018_A4")</f>
        <v>284469_DD13COP018_A4</v>
      </c>
      <c r="B2690" t="str">
        <f>HYPERLINK("http://www.corstruth.com.au/SA/PNG2/284469_DD13COP018_cs.png","284469_DD13COP018_0.25m Bins")</f>
        <v>284469_DD13COP018_0.25m Bins</v>
      </c>
      <c r="C2690" t="str">
        <f>HYPERLINK("http://www.corstruth.com.au/SA/CSV/284469_DD13COP018.csv","284469_DD13COP018_CSV File 1m Bins")</f>
        <v>284469_DD13COP018_CSV File 1m Bins</v>
      </c>
      <c r="D2690">
        <v>284469</v>
      </c>
      <c r="E2690" t="s">
        <v>2163</v>
      </c>
      <c r="F2690" t="str">
        <f>HYPERLINK("https://drillhole.pir.sa.gov.au/Details.aspx?DRILLHOLE_NO=284469","Geol Survey Link")</f>
        <v>Geol Survey Link</v>
      </c>
      <c r="I2690">
        <v>-26.3659</v>
      </c>
      <c r="J2690">
        <v>129.90199999999999</v>
      </c>
    </row>
    <row r="2691" spans="1:11" x14ac:dyDescent="0.25">
      <c r="A2691" t="str">
        <f>HYPERLINK("http://www.corstruth.com.au/SA/284733_WRD19_cs.png","284733_WRD19_A4")</f>
        <v>284733_WRD19_A4</v>
      </c>
      <c r="B2691" t="str">
        <f>HYPERLINK("http://www.corstruth.com.au/SA/PNG2/284733_WRD19_cs.png","284733_WRD19_0.25m Bins")</f>
        <v>284733_WRD19_0.25m Bins</v>
      </c>
      <c r="C2691" t="str">
        <f>HYPERLINK("http://www.corstruth.com.au/SA/CSV/284733_WRD19.csv","284733_WRD19_CSV File 1m Bins")</f>
        <v>284733_WRD19_CSV File 1m Bins</v>
      </c>
      <c r="D2691">
        <v>284733</v>
      </c>
      <c r="E2691" t="s">
        <v>2163</v>
      </c>
      <c r="F2691" t="str">
        <f>HYPERLINK("https://drillhole.pir.sa.gov.au/Details.aspx?DRILLHOLE_NO=284733","Geol Survey Link")</f>
        <v>Geol Survey Link</v>
      </c>
      <c r="I2691">
        <v>-30.6448</v>
      </c>
      <c r="J2691">
        <v>136.95400000000001</v>
      </c>
      <c r="K2691" t="str">
        <f>HYPERLINK("https://sarigdata.pir.sa.gov.au/nvcl/NVCLDataServices/mosaic.html?datasetid=011c51d5-6159-47fb-bdf5-25f237b9844","284733_WRD19_Core Image")</f>
        <v>284733_WRD19_Core Image</v>
      </c>
    </row>
    <row r="2692" spans="1:11" x14ac:dyDescent="0.25">
      <c r="A2692" t="str">
        <f>HYPERLINK("http://www.corstruth.com.au/SA/284734_WRD33_cs.png","284734_WRD33_A4")</f>
        <v>284734_WRD33_A4</v>
      </c>
      <c r="B2692" t="str">
        <f>HYPERLINK("http://www.corstruth.com.au/SA/PNG2/284734_WRD33_cs.png","284734_WRD33_0.25m Bins")</f>
        <v>284734_WRD33_0.25m Bins</v>
      </c>
      <c r="C2692" t="str">
        <f>HYPERLINK("http://www.corstruth.com.au/SA/CSV/284734_WRD33.csv","284734_WRD33_CSV File 1m Bins")</f>
        <v>284734_WRD33_CSV File 1m Bins</v>
      </c>
      <c r="D2692">
        <v>284734</v>
      </c>
      <c r="E2692" t="s">
        <v>2163</v>
      </c>
      <c r="F2692" t="str">
        <f>HYPERLINK("https://drillhole.pir.sa.gov.au/Details.aspx?DRILLHOLE_NO=284734","Geol Survey Link")</f>
        <v>Geol Survey Link</v>
      </c>
      <c r="I2692">
        <v>-30.639399999999998</v>
      </c>
      <c r="J2692">
        <v>136.94399999999999</v>
      </c>
      <c r="K2692" t="str">
        <f>HYPERLINK("https://sarigdata.pir.sa.gov.au/nvcl/NVCLDataServices/mosaic.html?datasetid=90970e83-5959-4330-ab92-45552d51ec7","284734_WRD33_Core Image")</f>
        <v>284734_WRD33_Core Image</v>
      </c>
    </row>
    <row r="2693" spans="1:11" x14ac:dyDescent="0.25">
      <c r="A2693" t="str">
        <f>HYPERLINK("http://www.corstruth.com.au/SA/284735_WRD36_cs.png","284735_WRD36_A4")</f>
        <v>284735_WRD36_A4</v>
      </c>
      <c r="B2693" t="str">
        <f>HYPERLINK("http://www.corstruth.com.au/SA/PNG2/284735_WRD36_cs.png","284735_WRD36_0.25m Bins")</f>
        <v>284735_WRD36_0.25m Bins</v>
      </c>
      <c r="C2693" t="str">
        <f>HYPERLINK("http://www.corstruth.com.au/SA/CSV/284735_WRD36.csv","284735_WRD36_CSV File 1m Bins")</f>
        <v>284735_WRD36_CSV File 1m Bins</v>
      </c>
      <c r="D2693">
        <v>284735</v>
      </c>
      <c r="E2693" t="s">
        <v>2163</v>
      </c>
      <c r="F2693" t="str">
        <f>HYPERLINK("https://drillhole.pir.sa.gov.au/Details.aspx?DRILLHOLE_NO=284735","Geol Survey Link")</f>
        <v>Geol Survey Link</v>
      </c>
      <c r="I2693">
        <v>-30.649799999999999</v>
      </c>
      <c r="J2693">
        <v>136.96199999999999</v>
      </c>
      <c r="K2693" t="str">
        <f>HYPERLINK("https://sarigdata.pir.sa.gov.au/nvcl/NVCLDataServices/mosaic.html?datasetid=9c339e71-cb49-481d-a2a5-9f5a093b452","284735_WRD36_Core Image")</f>
        <v>284735_WRD36_Core Image</v>
      </c>
    </row>
    <row r="2694" spans="1:11" x14ac:dyDescent="0.25">
      <c r="A2694" t="str">
        <f>HYPERLINK("http://www.corstruth.com.au/SA/284736_WRD37A_cs.png","284736_WRD37A_A4")</f>
        <v>284736_WRD37A_A4</v>
      </c>
      <c r="B2694" t="str">
        <f>HYPERLINK("http://www.corstruth.com.au/SA/PNG2/284736_WRD37A_cs.png","284736_WRD37A_0.25m Bins")</f>
        <v>284736_WRD37A_0.25m Bins</v>
      </c>
      <c r="C2694" t="str">
        <f>HYPERLINK("http://www.corstruth.com.au/SA/CSV/284736_WRD37A.csv","284736_WRD37A_CSV File 1m Bins")</f>
        <v>284736_WRD37A_CSV File 1m Bins</v>
      </c>
      <c r="D2694">
        <v>284736</v>
      </c>
      <c r="E2694" t="s">
        <v>2163</v>
      </c>
      <c r="F2694" t="str">
        <f>HYPERLINK("https://drillhole.pir.sa.gov.au/Details.aspx?DRILLHOLE_NO=284736","Geol Survey Link")</f>
        <v>Geol Survey Link</v>
      </c>
      <c r="I2694">
        <v>-30.649899999999999</v>
      </c>
      <c r="J2694">
        <v>136.96899999999999</v>
      </c>
      <c r="K2694" t="str">
        <f>HYPERLINK("https://sarigdata.pir.sa.gov.au/nvcl/NVCLDataServices/mosaic.html?datasetid=bd615786-8366-4570-8ef2-0dca26e21dc","284736_WRD37A_Core Image")</f>
        <v>284736_WRD37A_Core Image</v>
      </c>
    </row>
    <row r="2695" spans="1:11" x14ac:dyDescent="0.25">
      <c r="A2695" t="str">
        <f>HYPERLINK("http://www.corstruth.com.au/SA/284737_WRD49_cs.png","284737_WRD49_A4")</f>
        <v>284737_WRD49_A4</v>
      </c>
      <c r="B2695" t="str">
        <f>HYPERLINK("http://www.corstruth.com.au/SA/PNG2/284737_WRD49_cs.png","284737_WRD49_0.25m Bins")</f>
        <v>284737_WRD49_0.25m Bins</v>
      </c>
      <c r="C2695" t="str">
        <f>HYPERLINK("http://www.corstruth.com.au/SA/CSV/284737_WRD49.csv","284737_WRD49_CSV File 1m Bins")</f>
        <v>284737_WRD49_CSV File 1m Bins</v>
      </c>
      <c r="D2695">
        <v>284737</v>
      </c>
      <c r="E2695" t="s">
        <v>2163</v>
      </c>
      <c r="F2695" t="str">
        <f>HYPERLINK("https://drillhole.pir.sa.gov.au/Details.aspx?DRILLHOLE_NO=284737","Geol Survey Link")</f>
        <v>Geol Survey Link</v>
      </c>
      <c r="I2695">
        <v>-30.65</v>
      </c>
      <c r="J2695">
        <v>136.958</v>
      </c>
      <c r="K2695" t="str">
        <f>HYPERLINK("https://sarigdata.pir.sa.gov.au/nvcl/NVCLDataServices/mosaic.html?datasetid=d7721cc8-b2fe-49e8-a3f3-97b00cf49b3","284737_WRD49_Core Image")</f>
        <v>284737_WRD49_Core Image</v>
      </c>
    </row>
    <row r="2696" spans="1:11" x14ac:dyDescent="0.25">
      <c r="A2696" t="str">
        <f>HYPERLINK("http://www.corstruth.com.au/SA/284738_WRD50A_cs.png","284738_WRD50A_A4")</f>
        <v>284738_WRD50A_A4</v>
      </c>
      <c r="B2696" t="str">
        <f>HYPERLINK("http://www.corstruth.com.au/SA/PNG2/284738_WRD50A_cs.png","284738_WRD50A_0.25m Bins")</f>
        <v>284738_WRD50A_0.25m Bins</v>
      </c>
      <c r="C2696" t="str">
        <f>HYPERLINK("http://www.corstruth.com.au/SA/CSV/284738_WRD50A.csv","284738_WRD50A_CSV File 1m Bins")</f>
        <v>284738_WRD50A_CSV File 1m Bins</v>
      </c>
      <c r="D2696">
        <v>284738</v>
      </c>
      <c r="E2696" t="s">
        <v>2163</v>
      </c>
      <c r="F2696" t="str">
        <f>HYPERLINK("https://drillhole.pir.sa.gov.au/Details.aspx?DRILLHOLE_NO=284738","Geol Survey Link")</f>
        <v>Geol Survey Link</v>
      </c>
      <c r="I2696">
        <v>-30.642800000000001</v>
      </c>
      <c r="J2696">
        <v>136.94300000000001</v>
      </c>
      <c r="K2696" t="str">
        <f>HYPERLINK("https://sarigdata.pir.sa.gov.au/nvcl/NVCLDataServices/mosaic.html?datasetid=c5393540-6695-4cfd-ada7-7c0ea17f5bd","284738_WRD50A_Core Image")</f>
        <v>284738_WRD50A_Core Image</v>
      </c>
    </row>
    <row r="2697" spans="1:11" x14ac:dyDescent="0.25">
      <c r="A2697" t="str">
        <f>HYPERLINK("http://www.corstruth.com.au/SA/284739_WRD51_cs.png","284739_WRD51_A4")</f>
        <v>284739_WRD51_A4</v>
      </c>
      <c r="B2697" t="str">
        <f>HYPERLINK("http://www.corstruth.com.au/SA/PNG2/284739_WRD51_cs.png","284739_WRD51_0.25m Bins")</f>
        <v>284739_WRD51_0.25m Bins</v>
      </c>
      <c r="C2697" t="str">
        <f>HYPERLINK("http://www.corstruth.com.au/SA/CSV/284739_WRD51.csv","284739_WRD51_CSV File 1m Bins")</f>
        <v>284739_WRD51_CSV File 1m Bins</v>
      </c>
      <c r="D2697">
        <v>284739</v>
      </c>
      <c r="E2697" t="s">
        <v>2163</v>
      </c>
      <c r="F2697" t="str">
        <f>HYPERLINK("https://drillhole.pir.sa.gov.au/Details.aspx?DRILLHOLE_NO=284739","Geol Survey Link")</f>
        <v>Geol Survey Link</v>
      </c>
      <c r="I2697">
        <v>-30.645199999999999</v>
      </c>
      <c r="J2697">
        <v>136.94900000000001</v>
      </c>
      <c r="K2697" t="str">
        <f>HYPERLINK("https://sarigdata.pir.sa.gov.au/nvcl/NVCLDataServices/mosaic.html?datasetid=4c48cd0b-34ee-4d13-a086-f55361b761c","284739_WRD51_Core Image")</f>
        <v>284739_WRD51_Core Image</v>
      </c>
    </row>
    <row r="2698" spans="1:11" x14ac:dyDescent="0.25">
      <c r="A2698" t="str">
        <f>HYPERLINK("http://www.corstruth.com.au/SA/284740_WRD52_cs.png","284740_WRD52_A4")</f>
        <v>284740_WRD52_A4</v>
      </c>
      <c r="B2698" t="str">
        <f>HYPERLINK("http://www.corstruth.com.au/SA/PNG2/284740_WRD52_cs.png","284740_WRD52_0.25m Bins")</f>
        <v>284740_WRD52_0.25m Bins</v>
      </c>
      <c r="C2698" t="str">
        <f>HYPERLINK("http://www.corstruth.com.au/SA/CSV/284740_WRD52.csv","284740_WRD52_CSV File 1m Bins")</f>
        <v>284740_WRD52_CSV File 1m Bins</v>
      </c>
      <c r="D2698">
        <v>284740</v>
      </c>
      <c r="E2698" t="s">
        <v>2163</v>
      </c>
      <c r="F2698" t="str">
        <f>HYPERLINK("https://drillhole.pir.sa.gov.au/Details.aspx?DRILLHOLE_NO=284740","Geol Survey Link")</f>
        <v>Geol Survey Link</v>
      </c>
      <c r="I2698">
        <v>-30.645199999999999</v>
      </c>
      <c r="J2698">
        <v>136.946</v>
      </c>
      <c r="K2698" t="str">
        <f>HYPERLINK("https://sarigdata.pir.sa.gov.au/nvcl/NVCLDataServices/mosaic.html?datasetid=0b2f3776-ffaa-4010-aa35-46169f041e8","284740_WRD52_Core Image")</f>
        <v>284740_WRD52_Core Image</v>
      </c>
    </row>
    <row r="2699" spans="1:11" x14ac:dyDescent="0.25">
      <c r="A2699" t="str">
        <f>HYPERLINK("http://www.corstruth.com.au/SA/284741_WRD53_cs.png","284741_WRD53_A4")</f>
        <v>284741_WRD53_A4</v>
      </c>
      <c r="B2699" t="str">
        <f>HYPERLINK("http://www.corstruth.com.au/SA/PNG2/284741_WRD53_cs.png","284741_WRD53_0.25m Bins")</f>
        <v>284741_WRD53_0.25m Bins</v>
      </c>
      <c r="C2699" t="str">
        <f>HYPERLINK("http://www.corstruth.com.au/SA/CSV/284741_WRD53.csv","284741_WRD53_CSV File 1m Bins")</f>
        <v>284741_WRD53_CSV File 1m Bins</v>
      </c>
      <c r="D2699">
        <v>284741</v>
      </c>
      <c r="E2699" t="s">
        <v>2163</v>
      </c>
      <c r="F2699" t="str">
        <f>HYPERLINK("https://drillhole.pir.sa.gov.au/Details.aspx?DRILLHOLE_NO=284741","Geol Survey Link")</f>
        <v>Geol Survey Link</v>
      </c>
      <c r="I2699">
        <v>-30.6403</v>
      </c>
      <c r="J2699">
        <v>136.94200000000001</v>
      </c>
      <c r="K2699" t="str">
        <f>HYPERLINK("https://sarigdata.pir.sa.gov.au/nvcl/NVCLDataServices/mosaic.html?datasetid=61746f29-6147-4c76-a9af-6d4d59552dc","284741_WRD53_Core Image")</f>
        <v>284741_WRD53_Core Image</v>
      </c>
    </row>
    <row r="2700" spans="1:11" x14ac:dyDescent="0.25">
      <c r="A2700" t="str">
        <f>HYPERLINK("http://www.corstruth.com.au/SA/285005_AD_10_cs.png","285005_AD_10_A4")</f>
        <v>285005_AD_10_A4</v>
      </c>
      <c r="B2700" t="str">
        <f>HYPERLINK("http://www.corstruth.com.au/SA/PNG2/285005_AD_10_cs.png","285005_AD_10_0.25m Bins")</f>
        <v>285005_AD_10_0.25m Bins</v>
      </c>
      <c r="C2700" t="str">
        <f>HYPERLINK("http://www.corstruth.com.au/SA/CSV/285005_AD_10.csv","285005_AD_10_CSV File 1m Bins")</f>
        <v>285005_AD_10_CSV File 1m Bins</v>
      </c>
      <c r="D2700">
        <v>285005</v>
      </c>
      <c r="E2700" t="s">
        <v>2163</v>
      </c>
      <c r="F2700" t="str">
        <f>HYPERLINK("https://drillhole.pir.sa.gov.au/Details.aspx?DRILLHOLE_NO=285005","Geol Survey Link")</f>
        <v>Geol Survey Link</v>
      </c>
      <c r="I2700">
        <v>-30.9816</v>
      </c>
      <c r="J2700">
        <v>137.24600000000001</v>
      </c>
      <c r="K2700" t="str">
        <f>HYPERLINK("https://sarigdata.pir.sa.gov.au/nvcl/NVCLDataServices/mosaic.html?datasetid=b36d59d9-efd7-484e-8b00-5c37fbcdf39","285005_AD_10_Core Image")</f>
        <v>285005_AD_10_Core Image</v>
      </c>
    </row>
    <row r="2701" spans="1:11" x14ac:dyDescent="0.25">
      <c r="A2701" t="str">
        <f>HYPERLINK("http://www.corstruth.com.au/SA/285006_AD17_cs.png","285006_AD17_A4")</f>
        <v>285006_AD17_A4</v>
      </c>
      <c r="B2701" t="str">
        <f>HYPERLINK("http://www.corstruth.com.au/SA/PNG2/285006_AD17_cs.png","285006_AD17_0.25m Bins")</f>
        <v>285006_AD17_0.25m Bins</v>
      </c>
      <c r="C2701" t="str">
        <f>HYPERLINK("http://www.corstruth.com.au/SA/CSV/285006_AD17.csv","285006_AD17_CSV File 1m Bins")</f>
        <v>285006_AD17_CSV File 1m Bins</v>
      </c>
      <c r="D2701">
        <v>285006</v>
      </c>
      <c r="E2701" t="s">
        <v>2163</v>
      </c>
      <c r="F2701" t="str">
        <f>HYPERLINK("https://drillhole.pir.sa.gov.au/Details.aspx?DRILLHOLE_NO=285006","Geol Survey Link")</f>
        <v>Geol Survey Link</v>
      </c>
      <c r="I2701">
        <v>-30.970700000000001</v>
      </c>
      <c r="J2701">
        <v>137.24600000000001</v>
      </c>
      <c r="K2701" t="str">
        <f>HYPERLINK("https://sarigdata.pir.sa.gov.au/nvcl/NVCLDataServices/mosaic.html?datasetid=7f38f7c0-cb80-4ad8-a6ed-922b5fc45f7","285006_AD17_Core Image")</f>
        <v>285006_AD17_Core Image</v>
      </c>
    </row>
    <row r="2702" spans="1:11" x14ac:dyDescent="0.25">
      <c r="A2702" t="str">
        <f>HYPERLINK("http://www.corstruth.com.au/SA/285007_AD9_cs.png","285007_AD9_A4")</f>
        <v>285007_AD9_A4</v>
      </c>
      <c r="B2702" t="str">
        <f>HYPERLINK("http://www.corstruth.com.au/SA/PNG2/285007_AD9_cs.png","285007_AD9_0.25m Bins")</f>
        <v>285007_AD9_0.25m Bins</v>
      </c>
      <c r="C2702" t="str">
        <f>HYPERLINK("http://www.corstruth.com.au/SA/CSV/285007_AD9.csv","285007_AD9_CSV File 1m Bins")</f>
        <v>285007_AD9_CSV File 1m Bins</v>
      </c>
      <c r="D2702">
        <v>285007</v>
      </c>
      <c r="E2702" t="s">
        <v>2163</v>
      </c>
      <c r="F2702" t="str">
        <f>HYPERLINK("https://drillhole.pir.sa.gov.au/Details.aspx?DRILLHOLE_NO=285007","Geol Survey Link")</f>
        <v>Geol Survey Link</v>
      </c>
      <c r="I2702">
        <v>-30.9771</v>
      </c>
      <c r="J2702">
        <v>137.24600000000001</v>
      </c>
      <c r="K2702" t="str">
        <f>HYPERLINK("https://sarigdata.pir.sa.gov.au/nvcl/NVCLDataServices/mosaic.html?datasetid=e5606fa8-0a1b-456d-b103-1dfe37d6e08","285007_AD9_Core Image")</f>
        <v>285007_AD9_Core Image</v>
      </c>
    </row>
    <row r="2703" spans="1:11" x14ac:dyDescent="0.25">
      <c r="A2703" t="str">
        <f>HYPERLINK("http://www.corstruth.com.au/SA/285454_WOMDD001_cs.png","285454_WOMDD001_A4")</f>
        <v>285454_WOMDD001_A4</v>
      </c>
      <c r="B2703" t="str">
        <f>HYPERLINK("http://www.corstruth.com.au/SA/PNG2/285454_WOMDD001_cs.png","285454_WOMDD001_0.25m Bins")</f>
        <v>285454_WOMDD001_0.25m Bins</v>
      </c>
      <c r="C2703" t="str">
        <f>HYPERLINK("http://www.corstruth.com.au/SA/CSV/285454_WOMDD001.csv","285454_WOMDD001_CSV File 1m Bins")</f>
        <v>285454_WOMDD001_CSV File 1m Bins</v>
      </c>
      <c r="D2703">
        <v>285454</v>
      </c>
      <c r="E2703" t="s">
        <v>2163</v>
      </c>
      <c r="F2703" t="str">
        <f>HYPERLINK("https://drillhole.pir.sa.gov.au/Details.aspx?DRILLHOLE_NO=285454","Geol Survey Link")</f>
        <v>Geol Survey Link</v>
      </c>
      <c r="I2703">
        <v>-33.874200000000002</v>
      </c>
      <c r="J2703">
        <v>137.90700000000001</v>
      </c>
      <c r="K2703" t="str">
        <f>HYPERLINK("https://sarigdata.pir.sa.gov.au/nvcl/NVCLDataServices/mosaic.html?datasetid=3ec63f17-38c4-40d6-816a-7fcb1875107","285454_WOMDD001_Core Image")</f>
        <v>285454_WOMDD001_Core Image</v>
      </c>
    </row>
    <row r="2704" spans="1:11" x14ac:dyDescent="0.25">
      <c r="A2704" t="str">
        <f>HYPERLINK("http://www.corstruth.com.au/SA/285455_WOMDD002_cs.png","285455_WOMDD002_A4")</f>
        <v>285455_WOMDD002_A4</v>
      </c>
      <c r="B2704" t="str">
        <f>HYPERLINK("http://www.corstruth.com.au/SA/PNG2/285455_WOMDD002_cs.png","285455_WOMDD002_0.25m Bins")</f>
        <v>285455_WOMDD002_0.25m Bins</v>
      </c>
      <c r="C2704" t="str">
        <f>HYPERLINK("http://www.corstruth.com.au/SA/CSV/285455_WOMDD002.csv","285455_WOMDD002_CSV File 1m Bins")</f>
        <v>285455_WOMDD002_CSV File 1m Bins</v>
      </c>
      <c r="D2704">
        <v>285455</v>
      </c>
      <c r="E2704" t="s">
        <v>2163</v>
      </c>
      <c r="F2704" t="str">
        <f>HYPERLINK("https://drillhole.pir.sa.gov.au/Details.aspx?DRILLHOLE_NO=285455","Geol Survey Link")</f>
        <v>Geol Survey Link</v>
      </c>
      <c r="I2704">
        <v>-33.878900000000002</v>
      </c>
      <c r="J2704">
        <v>137.69200000000001</v>
      </c>
      <c r="K2704" t="str">
        <f>HYPERLINK("https://sarigdata.pir.sa.gov.au/nvcl/NVCLDataServices/mosaic.html?datasetid=f57a6840-7e28-400e-b59d-260c9448dd5","285455_WOMDD002_Core Image")</f>
        <v>285455_WOMDD002_Core Image</v>
      </c>
    </row>
    <row r="2705" spans="1:11" x14ac:dyDescent="0.25">
      <c r="A2705" t="str">
        <f>HYPERLINK("http://www.corstruth.com.au/SA/287995_MSDP01_cs.png","287995_MSDP01_A4")</f>
        <v>287995_MSDP01_A4</v>
      </c>
      <c r="B2705" t="str">
        <f>HYPERLINK("http://www.corstruth.com.au/SA/PNG2/287995_MSDP01_cs.png","287995_MSDP01_0.25m Bins")</f>
        <v>287995_MSDP01_0.25m Bins</v>
      </c>
      <c r="C2705" t="str">
        <f>HYPERLINK("http://www.corstruth.com.au/SA/CSV/287995_MSDP01.csv","287995_MSDP01_CSV File 1m Bins")</f>
        <v>287995_MSDP01_CSV File 1m Bins</v>
      </c>
      <c r="D2705">
        <v>287995</v>
      </c>
      <c r="E2705" t="s">
        <v>2163</v>
      </c>
      <c r="F2705" t="str">
        <f>HYPERLINK("https://drillhole.pir.sa.gov.au/Details.aspx?DRILLHOLE_NO=287995","Geol Survey Link")</f>
        <v>Geol Survey Link</v>
      </c>
      <c r="I2705">
        <v>-32.439300000000003</v>
      </c>
      <c r="J2705">
        <v>137.38999999999999</v>
      </c>
      <c r="K2705" t="str">
        <f>HYPERLINK("https://sarigdata.pir.sa.gov.au/nvcl/NVCLDataServices/mosaic.html?datasetid=1be5e5b3-2ad3-46b7-b703-3e4f034ad94","287995_MSDP01_Core Image")</f>
        <v>287995_MSDP01_Core Image</v>
      </c>
    </row>
    <row r="2706" spans="1:11" x14ac:dyDescent="0.25">
      <c r="A2706" t="str">
        <f>HYPERLINK("http://www.corstruth.com.au/SA/287996_MSDP02_cs.png","287996_MSDP02_A4")</f>
        <v>287996_MSDP02_A4</v>
      </c>
      <c r="B2706" t="str">
        <f>HYPERLINK("http://www.corstruth.com.au/SA/PNG2/287996_MSDP02_cs.png","287996_MSDP02_0.25m Bins")</f>
        <v>287996_MSDP02_0.25m Bins</v>
      </c>
      <c r="C2706" t="str">
        <f>HYPERLINK("http://www.corstruth.com.au/SA/CSV/287996_MSDP02.csv","287996_MSDP02_CSV File 1m Bins")</f>
        <v>287996_MSDP02_CSV File 1m Bins</v>
      </c>
      <c r="D2706">
        <v>287996</v>
      </c>
      <c r="E2706" t="s">
        <v>2163</v>
      </c>
      <c r="F2706" t="str">
        <f>HYPERLINK("https://drillhole.pir.sa.gov.au/Details.aspx?DRILLHOLE_NO=287996","Geol Survey Link")</f>
        <v>Geol Survey Link</v>
      </c>
      <c r="I2706">
        <v>-32.474499999999999</v>
      </c>
      <c r="J2706">
        <v>137.553</v>
      </c>
      <c r="K2706" t="str">
        <f>HYPERLINK("https://sarigdata.pir.sa.gov.au/nvcl/NVCLDataServices/mosaic.html?datasetid=e653379d-2957-4b6b-bbc6-7b6bf4eaad1","287996_MSDP02_Core Image")</f>
        <v>287996_MSDP02_Core Image</v>
      </c>
    </row>
    <row r="2707" spans="1:11" x14ac:dyDescent="0.25">
      <c r="A2707" t="str">
        <f>HYPERLINK("http://www.corstruth.com.au/SA/287997_MSDP03_cs.png","287997_MSDP03_A4")</f>
        <v>287997_MSDP03_A4</v>
      </c>
      <c r="B2707" t="str">
        <f>HYPERLINK("http://www.corstruth.com.au/SA/PNG2/287997_MSDP03_cs.png","287997_MSDP03_0.25m Bins")</f>
        <v>287997_MSDP03_0.25m Bins</v>
      </c>
      <c r="C2707" t="str">
        <f>HYPERLINK("http://www.corstruth.com.au/SA/CSV/287997_MSDP03.csv","287997_MSDP03_CSV File 1m Bins")</f>
        <v>287997_MSDP03_CSV File 1m Bins</v>
      </c>
      <c r="D2707">
        <v>287997</v>
      </c>
      <c r="E2707" t="s">
        <v>2163</v>
      </c>
      <c r="F2707" t="str">
        <f>HYPERLINK("https://drillhole.pir.sa.gov.au/Details.aspx?DRILLHOLE_NO=287997","Geol Survey Link")</f>
        <v>Geol Survey Link</v>
      </c>
      <c r="I2707">
        <v>-32.460299999999997</v>
      </c>
      <c r="J2707">
        <v>137.376</v>
      </c>
      <c r="K2707" t="str">
        <f>HYPERLINK("https://sarigdata.pir.sa.gov.au/nvcl/NVCLDataServices/mosaic.html?datasetid=21e16d63-cf0b-479c-953b-acdb4caf0b8","287997_MSDP03_Core Image")</f>
        <v>287997_MSDP03_Core Image</v>
      </c>
    </row>
    <row r="2708" spans="1:11" x14ac:dyDescent="0.25">
      <c r="A2708" t="str">
        <f>HYPERLINK("http://www.corstruth.com.au/SA/287998_MSDP04_cs.png","287998_MSDP04_A4")</f>
        <v>287998_MSDP04_A4</v>
      </c>
      <c r="B2708" t="str">
        <f>HYPERLINK("http://www.corstruth.com.au/SA/PNG2/287998_MSDP04_cs.png","287998_MSDP04_0.25m Bins")</f>
        <v>287998_MSDP04_0.25m Bins</v>
      </c>
      <c r="C2708" t="str">
        <f>HYPERLINK("http://www.corstruth.com.au/SA/CSV/287998_MSDP04.csv","287998_MSDP04_CSV File 1m Bins")</f>
        <v>287998_MSDP04_CSV File 1m Bins</v>
      </c>
      <c r="D2708">
        <v>287998</v>
      </c>
      <c r="E2708" t="s">
        <v>2163</v>
      </c>
      <c r="F2708" t="str">
        <f>HYPERLINK("https://drillhole.pir.sa.gov.au/Details.aspx?DRILLHOLE_NO=287998","Geol Survey Link")</f>
        <v>Geol Survey Link</v>
      </c>
      <c r="I2708">
        <v>-32.436900000000001</v>
      </c>
      <c r="J2708">
        <v>137.315</v>
      </c>
      <c r="K2708" t="str">
        <f>HYPERLINK("https://sarigdata.pir.sa.gov.au/nvcl/NVCLDataServices/mosaic.html?datasetid=8375a66c-5397-4b33-ae8e-66ae886c278","287998_MSDP04_Core Image")</f>
        <v>287998_MSDP04_Core Image</v>
      </c>
    </row>
    <row r="2709" spans="1:11" x14ac:dyDescent="0.25">
      <c r="A2709" t="str">
        <f>HYPERLINK("http://www.corstruth.com.au/SA/288238_PN_07_06_cs.png","288238_PN_07_06_A4")</f>
        <v>288238_PN_07_06_A4</v>
      </c>
      <c r="B2709" t="str">
        <f>HYPERLINK("http://www.corstruth.com.au/SA/PNG2/288238_PN_07_06_cs.png","288238_PN_07_06_0.25m Bins")</f>
        <v>288238_PN_07_06_0.25m Bins</v>
      </c>
      <c r="C2709" t="str">
        <f>HYPERLINK("http://www.corstruth.com.au/SA/CSV/288238_PN_07_06.csv","288238_PN_07_06_CSV File 1m Bins")</f>
        <v>288238_PN_07_06_CSV File 1m Bins</v>
      </c>
      <c r="D2709">
        <v>288238</v>
      </c>
      <c r="E2709" t="s">
        <v>2163</v>
      </c>
      <c r="F2709" t="str">
        <f>HYPERLINK("https://drillhole.pir.sa.gov.au/Details.aspx?DRILLHOLE_NO=288238","Geol Survey Link")</f>
        <v>Geol Survey Link</v>
      </c>
      <c r="I2709">
        <v>-31.5869</v>
      </c>
      <c r="J2709">
        <v>137.428</v>
      </c>
      <c r="K2709" t="str">
        <f>HYPERLINK("https://sarigdata.pir.sa.gov.au/nvcl/NVCLDataServices/mosaic.html?datasetid=7e0b13cb-3132-4349-a994-c391a89ae1a","288238_PN_07_06_Core Image")</f>
        <v>288238_PN_07_06_Core Image</v>
      </c>
    </row>
    <row r="2710" spans="1:11" x14ac:dyDescent="0.25">
      <c r="A2710" t="str">
        <f>HYPERLINK("http://www.corstruth.com.au/SA/288239_PN_07_07_cs.png","288239_PN_07_07_A4")</f>
        <v>288239_PN_07_07_A4</v>
      </c>
      <c r="B2710" t="str">
        <f>HYPERLINK("http://www.corstruth.com.au/SA/PNG2/288239_PN_07_07_cs.png","288239_PN_07_07_0.25m Bins")</f>
        <v>288239_PN_07_07_0.25m Bins</v>
      </c>
      <c r="C2710" t="str">
        <f>HYPERLINK("http://www.corstruth.com.au/SA/CSV/288239_PN_07_07.csv","288239_PN_07_07_CSV File 1m Bins")</f>
        <v>288239_PN_07_07_CSV File 1m Bins</v>
      </c>
      <c r="D2710">
        <v>288239</v>
      </c>
      <c r="E2710" t="s">
        <v>2163</v>
      </c>
      <c r="F2710" t="str">
        <f>HYPERLINK("https://drillhole.pir.sa.gov.au/Details.aspx?DRILLHOLE_NO=288239","Geol Survey Link")</f>
        <v>Geol Survey Link</v>
      </c>
      <c r="I2710">
        <v>-31.631699999999999</v>
      </c>
      <c r="J2710">
        <v>137.50899999999999</v>
      </c>
      <c r="K2710" t="str">
        <f>HYPERLINK("https://sarigdata.pir.sa.gov.au/nvcl/NVCLDataServices/mosaic.html?datasetid=b3a51d97-b816-4f28-9e1e-d720e42cfb5","288239_PN_07_07_Core Image")</f>
        <v>288239_PN_07_07_Core Image</v>
      </c>
    </row>
    <row r="2711" spans="1:11" x14ac:dyDescent="0.25">
      <c r="A2711" t="str">
        <f>HYPERLINK("http://www.corstruth.com.au/SA/288240_PN_07_08_cs.png","288240_PN_07_08_A4")</f>
        <v>288240_PN_07_08_A4</v>
      </c>
      <c r="B2711" t="str">
        <f>HYPERLINK("http://www.corstruth.com.au/SA/PNG2/288240_PN_07_08_cs.png","288240_PN_07_08_0.25m Bins")</f>
        <v>288240_PN_07_08_0.25m Bins</v>
      </c>
      <c r="C2711" t="str">
        <f>HYPERLINK("http://www.corstruth.com.au/SA/CSV/288240_PN_07_08.csv","288240_PN_07_08_CSV File 1m Bins")</f>
        <v>288240_PN_07_08_CSV File 1m Bins</v>
      </c>
      <c r="D2711">
        <v>288240</v>
      </c>
      <c r="E2711" t="s">
        <v>2163</v>
      </c>
      <c r="F2711" t="str">
        <f>HYPERLINK("https://drillhole.pir.sa.gov.au/Details.aspx?DRILLHOLE_NO=288240","Geol Survey Link")</f>
        <v>Geol Survey Link</v>
      </c>
      <c r="I2711">
        <v>-31.616399999999999</v>
      </c>
      <c r="J2711">
        <v>137.458</v>
      </c>
      <c r="K2711" t="str">
        <f>HYPERLINK("https://sarigdata.pir.sa.gov.au/nvcl/NVCLDataServices/mosaic.html?datasetid=1fb7fa1e-359b-4107-b0c8-d6d7b1b84f6","288240_PN_07_08_Core Image")</f>
        <v>288240_PN_07_08_Core Image</v>
      </c>
    </row>
    <row r="2712" spans="1:11" x14ac:dyDescent="0.25">
      <c r="A2712" t="str">
        <f>HYPERLINK("http://www.corstruth.com.au/SA/288241_PN-07-09_cs.png","288241_PN-07-09_A4")</f>
        <v>288241_PN-07-09_A4</v>
      </c>
      <c r="B2712" t="str">
        <f>HYPERLINK("http://www.corstruth.com.au/SA/PNG2/288241_PN-07-09_cs.png","288241_PN-07-09_0.25m Bins")</f>
        <v>288241_PN-07-09_0.25m Bins</v>
      </c>
      <c r="C2712" t="str">
        <f>HYPERLINK("http://www.corstruth.com.au/SA/CSV/288241_PN-07-09.csv","288241_PN-07-09_CSV File 1m Bins")</f>
        <v>288241_PN-07-09_CSV File 1m Bins</v>
      </c>
      <c r="D2712">
        <v>288241</v>
      </c>
      <c r="E2712" t="s">
        <v>2163</v>
      </c>
      <c r="F2712" t="str">
        <f>HYPERLINK("https://drillhole.pir.sa.gov.au/Details.aspx?DRILLHOLE_NO=288241","Geol Survey Link")</f>
        <v>Geol Survey Link</v>
      </c>
      <c r="I2712">
        <v>-31.556899999999999</v>
      </c>
      <c r="J2712">
        <v>137.346</v>
      </c>
      <c r="K2712" t="str">
        <f>HYPERLINK("https://sarigdata.pir.sa.gov.au/nvcl/NVCLDataServices/mosaic.html?datasetid=74b2b0d9-a0aa-4e42-b1d8-cf6df480316","288241_PN-07-09_Core Image")</f>
        <v>288241_PN-07-09_Core Image</v>
      </c>
    </row>
    <row r="2713" spans="1:11" x14ac:dyDescent="0.25">
      <c r="A2713" t="str">
        <f>HYPERLINK("http://www.corstruth.com.au/SA/288242_PN-07-10_cs.png","288242_PN-07-10_A4")</f>
        <v>288242_PN-07-10_A4</v>
      </c>
      <c r="B2713" t="str">
        <f>HYPERLINK("http://www.corstruth.com.au/SA/PNG2/288242_PN-07-10_cs.png","288242_PN-07-10_0.25m Bins")</f>
        <v>288242_PN-07-10_0.25m Bins</v>
      </c>
      <c r="C2713" t="str">
        <f>HYPERLINK("http://www.corstruth.com.au/SA/CSV/288242_PN-07-10.csv","288242_PN-07-10_CSV File 1m Bins")</f>
        <v>288242_PN-07-10_CSV File 1m Bins</v>
      </c>
      <c r="D2713">
        <v>288242</v>
      </c>
      <c r="E2713" t="s">
        <v>2163</v>
      </c>
      <c r="F2713" t="str">
        <f>HYPERLINK("https://drillhole.pir.sa.gov.au/Details.aspx?DRILLHOLE_NO=288242","Geol Survey Link")</f>
        <v>Geol Survey Link</v>
      </c>
      <c r="I2713">
        <v>-31.578199999999999</v>
      </c>
      <c r="J2713">
        <v>137.41999999999999</v>
      </c>
      <c r="K2713" t="str">
        <f>HYPERLINK("https://sarigdata.pir.sa.gov.au/nvcl/NVCLDataServices/mosaic.html?datasetid=4d05b4a0-d38d-4614-8ef1-aa4f95648a1","288242_PN-07-10_Core Image")</f>
        <v>288242_PN-07-10_Core Image</v>
      </c>
    </row>
    <row r="2714" spans="1:11" x14ac:dyDescent="0.25">
      <c r="A2714" t="str">
        <f>HYPERLINK("http://www.corstruth.com.au/SA/288243_PN-07-11_cs.png","288243_PN-07-11_A4")</f>
        <v>288243_PN-07-11_A4</v>
      </c>
      <c r="B2714" t="str">
        <f>HYPERLINK("http://www.corstruth.com.au/SA/PNG2/288243_PN-07-11_cs.png","288243_PN-07-11_0.25m Bins")</f>
        <v>288243_PN-07-11_0.25m Bins</v>
      </c>
      <c r="C2714" t="str">
        <f>HYPERLINK("http://www.corstruth.com.au/SA/CSV/288243_PN-07-11.csv","288243_PN-07-11_CSV File 1m Bins")</f>
        <v>288243_PN-07-11_CSV File 1m Bins</v>
      </c>
      <c r="D2714">
        <v>288243</v>
      </c>
      <c r="E2714" t="s">
        <v>2163</v>
      </c>
      <c r="F2714" t="str">
        <f>HYPERLINK("https://drillhole.pir.sa.gov.au/Details.aspx?DRILLHOLE_NO=288243","Geol Survey Link")</f>
        <v>Geol Survey Link</v>
      </c>
      <c r="I2714">
        <v>-31.642499999999998</v>
      </c>
      <c r="J2714">
        <v>137.523</v>
      </c>
      <c r="K2714" t="str">
        <f>HYPERLINK("https://sarigdata.pir.sa.gov.au/nvcl/NVCLDataServices/mosaic.html?datasetid=260be4c6-37f7-46f7-bc8a-88c07e97d11","288243_PN-07-11_Core Image")</f>
        <v>288243_PN-07-11_Core Image</v>
      </c>
    </row>
    <row r="2715" spans="1:11" x14ac:dyDescent="0.25">
      <c r="A2715" t="str">
        <f>HYPERLINK("http://www.corstruth.com.au/SA/2882_DRHS-DDH2_cs.png","2882_DRHS-DDH2_A4")</f>
        <v>2882_DRHS-DDH2_A4</v>
      </c>
      <c r="D2715">
        <v>2882</v>
      </c>
      <c r="E2715" t="s">
        <v>2163</v>
      </c>
      <c r="F2715" t="str">
        <f>HYPERLINK("https://drillhole.pir.sa.gov.au/Details.aspx?DRILLHOLE_NO=2882","Geol Survey Link")</f>
        <v>Geol Survey Link</v>
      </c>
      <c r="I2715">
        <v>-26.384699999999999</v>
      </c>
      <c r="J2715">
        <v>133.185</v>
      </c>
    </row>
    <row r="2716" spans="1:11" x14ac:dyDescent="0.25">
      <c r="A2716" t="str">
        <f>HYPERLINK("http://www.corstruth.com.au/SA/2883_DRHS-DDH3_cs.png","2883_DRHS-DDH3_A4")</f>
        <v>2883_DRHS-DDH3_A4</v>
      </c>
      <c r="D2716">
        <v>2883</v>
      </c>
      <c r="E2716" t="s">
        <v>2163</v>
      </c>
      <c r="F2716" t="str">
        <f>HYPERLINK("https://drillhole.pir.sa.gov.au/Details.aspx?DRILLHOLE_NO=2883","Geol Survey Link")</f>
        <v>Geol Survey Link</v>
      </c>
      <c r="I2716">
        <v>-26.3842</v>
      </c>
      <c r="J2716">
        <v>133.185</v>
      </c>
    </row>
    <row r="2717" spans="1:11" x14ac:dyDescent="0.25">
      <c r="A2717" t="str">
        <f>HYPERLINK("http://www.corstruth.com.au/SA/288771_MSDP05_cs.png","288771_MSDP05_A4")</f>
        <v>288771_MSDP05_A4</v>
      </c>
      <c r="B2717" t="str">
        <f>HYPERLINK("http://www.corstruth.com.au/SA/PNG2/288771_MSDP05_cs.png","288771_MSDP05_0.25m Bins")</f>
        <v>288771_MSDP05_0.25m Bins</v>
      </c>
      <c r="C2717" t="str">
        <f>HYPERLINK("http://www.corstruth.com.au/SA/CSV/288771_MSDP05.csv","288771_MSDP05_CSV File 1m Bins")</f>
        <v>288771_MSDP05_CSV File 1m Bins</v>
      </c>
      <c r="D2717">
        <v>288771</v>
      </c>
      <c r="E2717" t="s">
        <v>2163</v>
      </c>
      <c r="F2717" t="str">
        <f>HYPERLINK("https://drillhole.pir.sa.gov.au/Details.aspx?DRILLHOLE_NO=288771","Geol Survey Link")</f>
        <v>Geol Survey Link</v>
      </c>
      <c r="I2717">
        <v>-32.3947</v>
      </c>
      <c r="J2717">
        <v>135.38900000000001</v>
      </c>
      <c r="K2717" t="str">
        <f>HYPERLINK("https://sarigdata.pir.sa.gov.au/nvcl/NVCLDataServices/mosaic.html?datasetid=d5ec0f22-9cba-4335-b788-f11a240de99","288771_MSDP05_Core Image")</f>
        <v>288771_MSDP05_Core Image</v>
      </c>
    </row>
    <row r="2718" spans="1:11" x14ac:dyDescent="0.25">
      <c r="A2718" t="str">
        <f>HYPERLINK("http://www.corstruth.com.au/SA/288772_MSDP06_cs.png","288772_MSDP06_A4")</f>
        <v>288772_MSDP06_A4</v>
      </c>
      <c r="B2718" t="str">
        <f>HYPERLINK("http://www.corstruth.com.au/SA/PNG2/288772_MSDP06_cs.png","288772_MSDP06_0.25m Bins")</f>
        <v>288772_MSDP06_0.25m Bins</v>
      </c>
      <c r="C2718" t="str">
        <f>HYPERLINK("http://www.corstruth.com.au/SA/CSV/288772_MSDP06.csv","288772_MSDP06_CSV File 1m Bins")</f>
        <v>288772_MSDP06_CSV File 1m Bins</v>
      </c>
      <c r="D2718">
        <v>288772</v>
      </c>
      <c r="E2718" t="s">
        <v>2163</v>
      </c>
      <c r="F2718" t="str">
        <f>HYPERLINK("https://drillhole.pir.sa.gov.au/Details.aspx?DRILLHOLE_NO=288772","Geol Survey Link")</f>
        <v>Geol Survey Link</v>
      </c>
      <c r="I2718">
        <v>-32.433900000000001</v>
      </c>
      <c r="J2718">
        <v>135.45099999999999</v>
      </c>
      <c r="K2718" t="str">
        <f>HYPERLINK("https://sarigdata.pir.sa.gov.au/nvcl/NVCLDataServices/mosaic.html?datasetid=c1c0c12d-c483-4284-8469-85e7def5796","288772_MSDP06_Core Image")</f>
        <v>288772_MSDP06_Core Image</v>
      </c>
    </row>
    <row r="2719" spans="1:11" x14ac:dyDescent="0.25">
      <c r="A2719" t="str">
        <f>HYPERLINK("http://www.corstruth.com.au/SA/288773_MSDP07_cs.png","288773_MSDP07_A4")</f>
        <v>288773_MSDP07_A4</v>
      </c>
      <c r="B2719" t="str">
        <f>HYPERLINK("http://www.corstruth.com.au/SA/PNG2/288773_MSDP07_cs.png","288773_MSDP07_0.25m Bins")</f>
        <v>288773_MSDP07_0.25m Bins</v>
      </c>
      <c r="C2719" t="str">
        <f>HYPERLINK("http://www.corstruth.com.au/SA/CSV/288773_MSDP07.csv","288773_MSDP07_CSV File 1m Bins")</f>
        <v>288773_MSDP07_CSV File 1m Bins</v>
      </c>
      <c r="D2719">
        <v>288773</v>
      </c>
      <c r="E2719" t="s">
        <v>2163</v>
      </c>
      <c r="F2719" t="str">
        <f>HYPERLINK("https://drillhole.pir.sa.gov.au/Details.aspx?DRILLHOLE_NO=288773","Geol Survey Link")</f>
        <v>Geol Survey Link</v>
      </c>
      <c r="I2719">
        <v>-32.353400000000001</v>
      </c>
      <c r="J2719">
        <v>135.291</v>
      </c>
      <c r="K2719" t="str">
        <f>HYPERLINK("https://sarigdata.pir.sa.gov.au/nvcl/NVCLDataServices/mosaic.html?datasetid=470abc9c-978c-4b78-9c96-3a85c9e3b2a","288773_MSDP07_Core Image")</f>
        <v>288773_MSDP07_Core Image</v>
      </c>
    </row>
    <row r="2720" spans="1:11" x14ac:dyDescent="0.25">
      <c r="A2720" t="str">
        <f>HYPERLINK("http://www.corstruth.com.au/SA/288774_MSDP08_cs.png","288774_MSDP08_A4")</f>
        <v>288774_MSDP08_A4</v>
      </c>
      <c r="B2720" t="str">
        <f>HYPERLINK("http://www.corstruth.com.au/SA/PNG2/288774_MSDP08_cs.png","288774_MSDP08_0.25m Bins")</f>
        <v>288774_MSDP08_0.25m Bins</v>
      </c>
      <c r="C2720" t="str">
        <f>HYPERLINK("http://www.corstruth.com.au/SA/CSV/288774_MSDP08.csv","288774_MSDP08_CSV File 1m Bins")</f>
        <v>288774_MSDP08_CSV File 1m Bins</v>
      </c>
      <c r="D2720">
        <v>288774</v>
      </c>
      <c r="E2720" t="s">
        <v>2163</v>
      </c>
      <c r="F2720" t="str">
        <f>HYPERLINK("https://drillhole.pir.sa.gov.au/Details.aspx?DRILLHOLE_NO=288774","Geol Survey Link")</f>
        <v>Geol Survey Link</v>
      </c>
      <c r="I2720">
        <v>-32.658499999999997</v>
      </c>
      <c r="J2720">
        <v>135.673</v>
      </c>
      <c r="K2720" t="str">
        <f>HYPERLINK("https://sarigdata.pir.sa.gov.au/nvcl/NVCLDataServices/mosaic.html?datasetid=07b0f472-3a7e-447c-aeab-d3f542ae109","288774_MSDP08_Core Image")</f>
        <v>288774_MSDP08_Core Image</v>
      </c>
    </row>
    <row r="2721" spans="1:11" x14ac:dyDescent="0.25">
      <c r="A2721" t="str">
        <f>HYPERLINK("http://www.corstruth.com.au/SA/288775_MSDP09_cs.png","288775_MSDP09_A4")</f>
        <v>288775_MSDP09_A4</v>
      </c>
      <c r="B2721" t="str">
        <f>HYPERLINK("http://www.corstruth.com.au/SA/PNG2/288775_MSDP09_cs.png","288775_MSDP09_0.25m Bins")</f>
        <v>288775_MSDP09_0.25m Bins</v>
      </c>
      <c r="C2721" t="str">
        <f>HYPERLINK("http://www.corstruth.com.au/SA/CSV/288775_MSDP09.csv","288775_MSDP09_CSV File 1m Bins")</f>
        <v>288775_MSDP09_CSV File 1m Bins</v>
      </c>
      <c r="D2721">
        <v>288775</v>
      </c>
      <c r="E2721" t="s">
        <v>2163</v>
      </c>
      <c r="F2721" t="str">
        <f>HYPERLINK("https://drillhole.pir.sa.gov.au/Details.aspx?DRILLHOLE_NO=288775","Geol Survey Link")</f>
        <v>Geol Survey Link</v>
      </c>
      <c r="I2721">
        <v>-32.653799999999997</v>
      </c>
      <c r="J2721">
        <v>135.68199999999999</v>
      </c>
      <c r="K2721" t="str">
        <f>HYPERLINK("https://sarigdata.pir.sa.gov.au/nvcl/NVCLDataServices/mosaic.html?datasetid=0bcb2d3d-4eb6-4586-9707-281c6a46f74","288775_MSDP09_Core Image")</f>
        <v>288775_MSDP09_Core Image</v>
      </c>
    </row>
    <row r="2722" spans="1:11" x14ac:dyDescent="0.25">
      <c r="A2722" t="str">
        <f>HYPERLINK("http://www.corstruth.com.au/SA/288776_MSDP10_cs.png","288776_MSDP10_A4")</f>
        <v>288776_MSDP10_A4</v>
      </c>
      <c r="B2722" t="str">
        <f>HYPERLINK("http://www.corstruth.com.au/SA/PNG2/288776_MSDP10_cs.png","288776_MSDP10_0.25m Bins")</f>
        <v>288776_MSDP10_0.25m Bins</v>
      </c>
      <c r="C2722" t="str">
        <f>HYPERLINK("http://www.corstruth.com.au/SA/CSV/288776_MSDP10.csv","288776_MSDP10_CSV File 1m Bins")</f>
        <v>288776_MSDP10_CSV File 1m Bins</v>
      </c>
      <c r="D2722">
        <v>288776</v>
      </c>
      <c r="E2722" t="s">
        <v>2163</v>
      </c>
      <c r="F2722" t="str">
        <f>HYPERLINK("https://drillhole.pir.sa.gov.au/Details.aspx?DRILLHOLE_NO=288776","Geol Survey Link")</f>
        <v>Geol Survey Link</v>
      </c>
      <c r="I2722">
        <v>-32.652999999999999</v>
      </c>
      <c r="J2722">
        <v>135.66399999999999</v>
      </c>
      <c r="K2722" t="str">
        <f>HYPERLINK("https://sarigdata.pir.sa.gov.au/nvcl/NVCLDataServices/mosaic.html?datasetid=eb5d0c71-0049-40e5-bc98-6c710c4e54a","288776_MSDP10_Core Image")</f>
        <v>288776_MSDP10_Core Image</v>
      </c>
    </row>
    <row r="2723" spans="1:11" x14ac:dyDescent="0.25">
      <c r="A2723" t="str">
        <f>HYPERLINK("http://www.corstruth.com.au/SA/288777_MSDP11_cs.png","288777_MSDP11_A4")</f>
        <v>288777_MSDP11_A4</v>
      </c>
      <c r="B2723" t="str">
        <f>HYPERLINK("http://www.corstruth.com.au/SA/PNG2/288777_MSDP11_cs.png","288777_MSDP11_0.25m Bins")</f>
        <v>288777_MSDP11_0.25m Bins</v>
      </c>
      <c r="C2723" t="str">
        <f>HYPERLINK("http://www.corstruth.com.au/SA/CSV/288777_MSDP11.csv","288777_MSDP11_CSV File 1m Bins")</f>
        <v>288777_MSDP11_CSV File 1m Bins</v>
      </c>
      <c r="D2723">
        <v>288777</v>
      </c>
      <c r="E2723" t="s">
        <v>2163</v>
      </c>
      <c r="F2723" t="str">
        <f>HYPERLINK("https://drillhole.pir.sa.gov.au/Details.aspx?DRILLHOLE_NO=288777","Geol Survey Link")</f>
        <v>Geol Survey Link</v>
      </c>
      <c r="I2723">
        <v>-32.7316</v>
      </c>
      <c r="J2723">
        <v>135.738</v>
      </c>
      <c r="K2723" t="str">
        <f>HYPERLINK("https://sarigdata.pir.sa.gov.au/nvcl/NVCLDataServices/mosaic.html?datasetid=bede1e6d-e2f7-4a26-b6f5-cc6f29464bc","288777_MSDP11_Core Image")</f>
        <v>288777_MSDP11_Core Image</v>
      </c>
    </row>
    <row r="2724" spans="1:11" x14ac:dyDescent="0.25">
      <c r="A2724" t="str">
        <f>HYPERLINK("http://www.corstruth.com.au/SA/288778_MSDP12_cs.png","288778_MSDP12_A4")</f>
        <v>288778_MSDP12_A4</v>
      </c>
      <c r="B2724" t="str">
        <f>HYPERLINK("http://www.corstruth.com.au/SA/PNG2/288778_MSDP12_cs.png","288778_MSDP12_0.25m Bins")</f>
        <v>288778_MSDP12_0.25m Bins</v>
      </c>
      <c r="C2724" t="str">
        <f>HYPERLINK("http://www.corstruth.com.au/SA/CSV/288778_MSDP12.csv","288778_MSDP12_CSV File 1m Bins")</f>
        <v>288778_MSDP12_CSV File 1m Bins</v>
      </c>
      <c r="D2724">
        <v>288778</v>
      </c>
      <c r="E2724" t="s">
        <v>2163</v>
      </c>
      <c r="F2724" t="str">
        <f>HYPERLINK("https://drillhole.pir.sa.gov.au/Details.aspx?DRILLHOLE_NO=288778","Geol Survey Link")</f>
        <v>Geol Survey Link</v>
      </c>
      <c r="I2724">
        <v>-32.674900000000001</v>
      </c>
      <c r="J2724">
        <v>135.66200000000001</v>
      </c>
      <c r="K2724" t="str">
        <f>HYPERLINK("https://sarigdata.pir.sa.gov.au/nvcl/NVCLDataServices/mosaic.html?datasetid=d38724fe-718e-4a73-bb19-e29a98f0952","288778_MSDP12_Core Image")</f>
        <v>288778_MSDP12_Core Image</v>
      </c>
    </row>
    <row r="2725" spans="1:11" x14ac:dyDescent="0.25">
      <c r="A2725" t="str">
        <f>HYPERLINK("http://www.corstruth.com.au/SA/288779_MSDP13_cs.png","288779_MSDP13_A4")</f>
        <v>288779_MSDP13_A4</v>
      </c>
      <c r="B2725" t="str">
        <f>HYPERLINK("http://www.corstruth.com.au/SA/PNG2/288779_MSDP13_cs.png","288779_MSDP13_0.25m Bins")</f>
        <v>288779_MSDP13_0.25m Bins</v>
      </c>
      <c r="C2725" t="str">
        <f>HYPERLINK("http://www.corstruth.com.au/SA/CSV/288779_MSDP13.csv","288779_MSDP13_CSV File 1m Bins")</f>
        <v>288779_MSDP13_CSV File 1m Bins</v>
      </c>
      <c r="D2725">
        <v>288779</v>
      </c>
      <c r="E2725" t="s">
        <v>2163</v>
      </c>
      <c r="F2725" t="str">
        <f>HYPERLINK("https://drillhole.pir.sa.gov.au/Details.aspx?DRILLHOLE_NO=288779","Geol Survey Link")</f>
        <v>Geol Survey Link</v>
      </c>
      <c r="I2725">
        <v>-32.714500000000001</v>
      </c>
      <c r="J2725">
        <v>135.595</v>
      </c>
      <c r="K2725" t="str">
        <f>HYPERLINK("https://sarigdata.pir.sa.gov.au/nvcl/NVCLDataServices/mosaic.html?datasetid=a6fe93e3-f127-4aed-a7ab-9ee88f2f5f5","288779_MSDP13_Core Image")</f>
        <v>288779_MSDP13_Core Image</v>
      </c>
    </row>
    <row r="2726" spans="1:11" x14ac:dyDescent="0.25">
      <c r="A2726" t="str">
        <f>HYPERLINK("http://www.corstruth.com.au/SA/288780_MSDP14_cs.png","288780_MSDP14_A4")</f>
        <v>288780_MSDP14_A4</v>
      </c>
      <c r="B2726" t="str">
        <f>HYPERLINK("http://www.corstruth.com.au/SA/PNG2/288780_MSDP14_cs.png","288780_MSDP14_0.25m Bins")</f>
        <v>288780_MSDP14_0.25m Bins</v>
      </c>
      <c r="C2726" t="str">
        <f>HYPERLINK("http://www.corstruth.com.au/SA/CSV/288780_MSDP14.csv","288780_MSDP14_CSV File 1m Bins")</f>
        <v>288780_MSDP14_CSV File 1m Bins</v>
      </c>
      <c r="D2726">
        <v>288780</v>
      </c>
      <c r="E2726" t="s">
        <v>2163</v>
      </c>
      <c r="F2726" t="str">
        <f>HYPERLINK("https://drillhole.pir.sa.gov.au/Details.aspx?DRILLHOLE_NO=288780","Geol Survey Link")</f>
        <v>Geol Survey Link</v>
      </c>
      <c r="I2726">
        <v>-32.692300000000003</v>
      </c>
      <c r="J2726">
        <v>135.61600000000001</v>
      </c>
      <c r="K2726" t="str">
        <f>HYPERLINK("https://sarigdata.pir.sa.gov.au/nvcl/NVCLDataServices/mosaic.html?datasetid=8f1e0cb9-3b25-47a8-abe5-1d3d3d45e53","288780_MSDP14_Core Image")</f>
        <v>288780_MSDP14_Core Image</v>
      </c>
    </row>
    <row r="2727" spans="1:11" x14ac:dyDescent="0.25">
      <c r="A2727" t="str">
        <f>HYPERLINK("http://www.corstruth.com.au/SA/290202_K_3A_cs.png","290202_K_3A_A4")</f>
        <v>290202_K_3A_A4</v>
      </c>
      <c r="B2727" t="str">
        <f>HYPERLINK("http://www.corstruth.com.au/SA/PNG2/290202_K_3A_cs.png","290202_K_3A_0.25m Bins")</f>
        <v>290202_K_3A_0.25m Bins</v>
      </c>
      <c r="C2727" t="str">
        <f>HYPERLINK("http://www.corstruth.com.au/SA/CSV/290202_K_3A.csv","290202_K_3A_CSV File 1m Bins")</f>
        <v>290202_K_3A_CSV File 1m Bins</v>
      </c>
      <c r="D2727">
        <v>290202</v>
      </c>
      <c r="E2727" t="s">
        <v>2163</v>
      </c>
      <c r="F2727" t="str">
        <f>HYPERLINK("https://drillhole.pir.sa.gov.au/Details.aspx?DRILLHOLE_NO=290202","Geol Survey Link")</f>
        <v>Geol Survey Link</v>
      </c>
      <c r="I2727">
        <v>-34.347000000000001</v>
      </c>
      <c r="J2727">
        <v>138.91900000000001</v>
      </c>
      <c r="K2727" t="str">
        <f>HYPERLINK("https://sarigdata.pir.sa.gov.au/nvcl/NVCLDataServices/mosaic.html?datasetid=6820cd18-a87c-42c0-bf8e-0e00dff511c","290202_K_3A_Core Image")</f>
        <v>290202_K_3A_Core Image</v>
      </c>
    </row>
    <row r="2728" spans="1:11" x14ac:dyDescent="0.25">
      <c r="A2728" t="str">
        <f>HYPERLINK("http://www.corstruth.com.au/SA/290347_KTDD_149_cs.png","290347_KTDD_149_A4")</f>
        <v>290347_KTDD_149_A4</v>
      </c>
      <c r="B2728" t="str">
        <f>HYPERLINK("http://www.corstruth.com.au/SA/PNG2/290347_KTDD_149_cs.png","290347_KTDD_149_0.25m Bins")</f>
        <v>290347_KTDD_149_0.25m Bins</v>
      </c>
      <c r="C2728" t="str">
        <f>HYPERLINK("http://www.corstruth.com.au/SA/CSV/290347_KTDD_149.csv","290347_KTDD_149_CSV File 1m Bins")</f>
        <v>290347_KTDD_149_CSV File 1m Bins</v>
      </c>
      <c r="D2728">
        <v>290347</v>
      </c>
      <c r="E2728" t="s">
        <v>2163</v>
      </c>
      <c r="F2728" t="str">
        <f>HYPERLINK("https://drillhole.pir.sa.gov.au/Details.aspx?DRILLHOLE_NO=290347","Geol Survey Link")</f>
        <v>Geol Survey Link</v>
      </c>
      <c r="I2728">
        <v>-35.091500000000003</v>
      </c>
      <c r="J2728">
        <v>139.00800000000001</v>
      </c>
      <c r="K2728" t="str">
        <f>HYPERLINK("https://sarigdata.pir.sa.gov.au/nvcl/NVCLDataServices/mosaic.html?datasetid=5bea3161-adde-4000-9dba-4aba0893213","290347_KTDD_149_Core Image")</f>
        <v>290347_KTDD_149_Core Image</v>
      </c>
    </row>
    <row r="2729" spans="1:11" x14ac:dyDescent="0.25">
      <c r="A2729" t="str">
        <f>HYPERLINK("http://www.corstruth.com.au/SA/290348_KTDD_160_cs.png","290348_KTDD_160_A4")</f>
        <v>290348_KTDD_160_A4</v>
      </c>
      <c r="B2729" t="str">
        <f>HYPERLINK("http://www.corstruth.com.au/SA/PNG2/290348_KTDD_160_cs.png","290348_KTDD_160_0.25m Bins")</f>
        <v>290348_KTDD_160_0.25m Bins</v>
      </c>
      <c r="C2729" t="str">
        <f>HYPERLINK("http://www.corstruth.com.au/SA/CSV/290348_KTDD_160.csv","290348_KTDD_160_CSV File 1m Bins")</f>
        <v>290348_KTDD_160_CSV File 1m Bins</v>
      </c>
      <c r="D2729">
        <v>290348</v>
      </c>
      <c r="E2729" t="s">
        <v>2163</v>
      </c>
      <c r="F2729" t="str">
        <f>HYPERLINK("https://drillhole.pir.sa.gov.au/Details.aspx?DRILLHOLE_NO=290348","Geol Survey Link")</f>
        <v>Geol Survey Link</v>
      </c>
      <c r="I2729">
        <v>-35.092399999999998</v>
      </c>
      <c r="J2729">
        <v>139.00800000000001</v>
      </c>
      <c r="K2729" t="str">
        <f>HYPERLINK("https://sarigdata.pir.sa.gov.au/nvcl/NVCLDataServices/mosaic.html?datasetid=deaf4d88-d36d-4faa-a263-c68d69a33f4","290348_KTDD_160_Core Image")</f>
        <v>290348_KTDD_160_Core Image</v>
      </c>
    </row>
    <row r="2730" spans="1:11" x14ac:dyDescent="0.25">
      <c r="A2730" t="str">
        <f>HYPERLINK("http://www.corstruth.com.au/SA/290462_WD16-01_cs.png","290462_WD16-01_A4")</f>
        <v>290462_WD16-01_A4</v>
      </c>
      <c r="B2730" t="str">
        <f>HYPERLINK("http://www.corstruth.com.au/SA/PNG2/290462_WD16-01_cs.png","290462_WD16-01_0.25m Bins")</f>
        <v>290462_WD16-01_0.25m Bins</v>
      </c>
      <c r="C2730" t="str">
        <f>HYPERLINK("http://www.corstruth.com.au/SA/CSV/290462_WD16-01.csv","290462_WD16-01_CSV File 1m Bins")</f>
        <v>290462_WD16-01_CSV File 1m Bins</v>
      </c>
      <c r="D2730">
        <v>290462</v>
      </c>
      <c r="E2730" t="s">
        <v>2163</v>
      </c>
      <c r="F2730" t="str">
        <f>HYPERLINK("https://drillhole.pir.sa.gov.au/Details.aspx?DRILLHOLE_NO=290462","Geol Survey Link")</f>
        <v>Geol Survey Link</v>
      </c>
      <c r="I2730">
        <v>-27.5776</v>
      </c>
      <c r="J2730">
        <v>136.02699999999999</v>
      </c>
      <c r="K2730" t="str">
        <f>HYPERLINK("https://sarigdata.pir.sa.gov.au/nvcl/NVCLDataServices/mosaic.html?datasetid=31ee5361-2a87-467b-979d-33dd94e63f1","290462_WD16-01_Core Image")</f>
        <v>290462_WD16-01_Core Image</v>
      </c>
    </row>
    <row r="2731" spans="1:11" x14ac:dyDescent="0.25">
      <c r="A2731" t="str">
        <f>HYPERLINK("http://www.corstruth.com.au/SA/290463_WD16-02_cs.png","290463_WD16-02_A4")</f>
        <v>290463_WD16-02_A4</v>
      </c>
      <c r="B2731" t="str">
        <f>HYPERLINK("http://www.corstruth.com.au/SA/PNG2/290463_WD16-02_cs.png","290463_WD16-02_0.25m Bins")</f>
        <v>290463_WD16-02_0.25m Bins</v>
      </c>
      <c r="C2731" t="str">
        <f>HYPERLINK("http://www.corstruth.com.au/SA/CSV/290463_WD16-02.csv","290463_WD16-02_CSV File 1m Bins")</f>
        <v>290463_WD16-02_CSV File 1m Bins</v>
      </c>
      <c r="D2731">
        <v>290463</v>
      </c>
      <c r="E2731" t="s">
        <v>2163</v>
      </c>
      <c r="F2731" t="str">
        <f>HYPERLINK("https://drillhole.pir.sa.gov.au/Details.aspx?DRILLHOLE_NO=290463","Geol Survey Link")</f>
        <v>Geol Survey Link</v>
      </c>
      <c r="I2731">
        <v>-27.509899999999998</v>
      </c>
      <c r="J2731">
        <v>135.94300000000001</v>
      </c>
      <c r="K2731" t="str">
        <f>HYPERLINK("https://sarigdata.pir.sa.gov.au/nvcl/NVCLDataServices/mosaic.html?datasetid=fc020434-b278-4acb-a955-9cd48c48c6e","290463_WD16-02_Core Image")</f>
        <v>290463_WD16-02_Core Image</v>
      </c>
    </row>
    <row r="2732" spans="1:11" x14ac:dyDescent="0.25">
      <c r="A2732" t="str">
        <f>HYPERLINK("http://www.corstruth.com.au/SA/290464_WD16-03_cs.png","290464_WD16-03_A4")</f>
        <v>290464_WD16-03_A4</v>
      </c>
      <c r="B2732" t="str">
        <f>HYPERLINK("http://www.corstruth.com.au/SA/PNG2/290464_WD16-03_cs.png","290464_WD16-03_0.25m Bins")</f>
        <v>290464_WD16-03_0.25m Bins</v>
      </c>
      <c r="C2732" t="str">
        <f>HYPERLINK("http://www.corstruth.com.au/SA/CSV/290464_WD16-03.csv","290464_WD16-03_CSV File 1m Bins")</f>
        <v>290464_WD16-03_CSV File 1m Bins</v>
      </c>
      <c r="D2732">
        <v>290464</v>
      </c>
      <c r="E2732" t="s">
        <v>2163</v>
      </c>
      <c r="F2732" t="str">
        <f>HYPERLINK("https://drillhole.pir.sa.gov.au/Details.aspx?DRILLHOLE_NO=290464","Geol Survey Link")</f>
        <v>Geol Survey Link</v>
      </c>
      <c r="I2732">
        <v>-27.532900000000001</v>
      </c>
      <c r="J2732">
        <v>136.00399999999999</v>
      </c>
      <c r="K2732" t="str">
        <f>HYPERLINK("https://sarigdata.pir.sa.gov.au/nvcl/NVCLDataServices/mosaic.html?datasetid=1ba479f0-3759-4e61-9353-c9e8f0c5616","290464_WD16-03_Core Image")</f>
        <v>290464_WD16-03_Core Image</v>
      </c>
    </row>
    <row r="2733" spans="1:11" x14ac:dyDescent="0.25">
      <c r="A2733" t="str">
        <f>HYPERLINK("http://www.corstruth.com.au/SA/290465_WD16-04_cs.png","290465_WD16-04_A4")</f>
        <v>290465_WD16-04_A4</v>
      </c>
      <c r="B2733" t="str">
        <f>HYPERLINK("http://www.corstruth.com.au/SA/PNG2/290465_WD16-04_cs.png","290465_WD16-04_0.25m Bins")</f>
        <v>290465_WD16-04_0.25m Bins</v>
      </c>
      <c r="C2733" t="str">
        <f>HYPERLINK("http://www.corstruth.com.au/SA/CSV/290465_WD16-04.csv","290465_WD16-04_CSV File 1m Bins")</f>
        <v>290465_WD16-04_CSV File 1m Bins</v>
      </c>
      <c r="D2733">
        <v>290465</v>
      </c>
      <c r="E2733" t="s">
        <v>2163</v>
      </c>
      <c r="F2733" t="str">
        <f>HYPERLINK("https://drillhole.pir.sa.gov.au/Details.aspx?DRILLHOLE_NO=290465","Geol Survey Link")</f>
        <v>Geol Survey Link</v>
      </c>
      <c r="I2733">
        <v>-27.604900000000001</v>
      </c>
      <c r="J2733">
        <v>136.03399999999999</v>
      </c>
      <c r="K2733" t="str">
        <f>HYPERLINK("https://sarigdata.pir.sa.gov.au/nvcl/NVCLDataServices/mosaic.html?datasetid=03e04134-0c89-4684-9f73-0af2bd3126a","290465_WD16-04_Core Image")</f>
        <v>290465_WD16-04_Core Image</v>
      </c>
    </row>
    <row r="2734" spans="1:11" x14ac:dyDescent="0.25">
      <c r="A2734" t="str">
        <f>HYPERLINK("http://www.corstruth.com.au/SA/290466_WD16-05_cs.png","290466_WD16-05_A4")</f>
        <v>290466_WD16-05_A4</v>
      </c>
      <c r="B2734" t="str">
        <f>HYPERLINK("http://www.corstruth.com.au/SA/PNG2/290466_WD16-05_cs.png","290466_WD16-05_0.25m Bins")</f>
        <v>290466_WD16-05_0.25m Bins</v>
      </c>
      <c r="C2734" t="str">
        <f>HYPERLINK("http://www.corstruth.com.au/SA/CSV/290466_WD16-05.csv","290466_WD16-05_CSV File 1m Bins")</f>
        <v>290466_WD16-05_CSV File 1m Bins</v>
      </c>
      <c r="D2734">
        <v>290466</v>
      </c>
      <c r="E2734" t="s">
        <v>2163</v>
      </c>
      <c r="F2734" t="str">
        <f>HYPERLINK("https://drillhole.pir.sa.gov.au/Details.aspx?DRILLHOLE_NO=290466","Geol Survey Link")</f>
        <v>Geol Survey Link</v>
      </c>
      <c r="I2734">
        <v>-27.543299999999999</v>
      </c>
      <c r="J2734">
        <v>136.05199999999999</v>
      </c>
      <c r="K2734" t="str">
        <f>HYPERLINK("https://sarigdata.pir.sa.gov.au/nvcl/NVCLDataServices/mosaic.html?datasetid=cd8aa94b-833e-45ef-9814-dc974fbec82","290466_WD16-05_Core Image")</f>
        <v>290466_WD16-05_Core Image</v>
      </c>
    </row>
    <row r="2735" spans="1:11" x14ac:dyDescent="0.25">
      <c r="A2735" t="str">
        <f>HYPERLINK("http://www.corstruth.com.au/SA/2904_DRHS-DDH1_cs.png","2904_DRHS-DDH1_A4")</f>
        <v>2904_DRHS-DDH1_A4</v>
      </c>
      <c r="D2735">
        <v>2904</v>
      </c>
      <c r="E2735" t="s">
        <v>2163</v>
      </c>
      <c r="F2735" t="str">
        <f>HYPERLINK("https://drillhole.pir.sa.gov.au/Details.aspx?DRILLHOLE_NO=2904","Geol Survey Link")</f>
        <v>Geol Survey Link</v>
      </c>
      <c r="I2735">
        <v>-26.384799999999998</v>
      </c>
      <c r="J2735">
        <v>133.18600000000001</v>
      </c>
    </row>
    <row r="2736" spans="1:11" x14ac:dyDescent="0.25">
      <c r="A2736" t="str">
        <f>HYPERLINK("http://www.corstruth.com.au/SA/290955_LMD001_cs.png","290955_LMD001_A4")</f>
        <v>290955_LMD001_A4</v>
      </c>
      <c r="B2736" t="str">
        <f>HYPERLINK("http://www.corstruth.com.au/SA/PNG2/290955_LMD001_cs.png","290955_LMD001_0.25m Bins")</f>
        <v>290955_LMD001_0.25m Bins</v>
      </c>
      <c r="C2736" t="str">
        <f>HYPERLINK("http://www.corstruth.com.au/SA/CSV/290955_LMD001.csv","290955_LMD001_CSV File 1m Bins")</f>
        <v>290955_LMD001_CSV File 1m Bins</v>
      </c>
      <c r="D2736">
        <v>290955</v>
      </c>
      <c r="E2736" t="s">
        <v>2163</v>
      </c>
      <c r="F2736" t="str">
        <f>HYPERLINK("https://drillhole.pir.sa.gov.au/Details.aspx?DRILLHOLE_NO=290955","Geol Survey Link")</f>
        <v>Geol Survey Link</v>
      </c>
      <c r="I2736">
        <v>-26.880800000000001</v>
      </c>
      <c r="J2736">
        <v>134.191</v>
      </c>
      <c r="K2736" t="str">
        <f>HYPERLINK("https://sarigdata.pir.sa.gov.au/nvcl/NVCLDataServices/mosaic.html?datasetid=984bb7b2-0f5d-4ae9-9614-be7a20b8898","290955_LMD001_Core Image")</f>
        <v>290955_LMD001_Core Image</v>
      </c>
    </row>
    <row r="2737" spans="1:11" x14ac:dyDescent="0.25">
      <c r="A2737" t="str">
        <f>HYPERLINK("http://www.corstruth.com.au/SA/290957_LMD002_cs.png","290957_LMD002_A4")</f>
        <v>290957_LMD002_A4</v>
      </c>
      <c r="B2737" t="str">
        <f>HYPERLINK("http://www.corstruth.com.au/SA/PNG2/290957_LMD002_cs.png","290957_LMD002_0.25m Bins")</f>
        <v>290957_LMD002_0.25m Bins</v>
      </c>
      <c r="C2737" t="str">
        <f>HYPERLINK("http://www.corstruth.com.au/SA/CSV/290957_LMD002.csv","290957_LMD002_CSV File 1m Bins")</f>
        <v>290957_LMD002_CSV File 1m Bins</v>
      </c>
      <c r="D2737">
        <v>290957</v>
      </c>
      <c r="E2737" t="s">
        <v>2163</v>
      </c>
      <c r="F2737" t="str">
        <f>HYPERLINK("https://drillhole.pir.sa.gov.au/Details.aspx?DRILLHOLE_NO=290957","Geol Survey Link")</f>
        <v>Geol Survey Link</v>
      </c>
      <c r="I2737">
        <v>-26.875800000000002</v>
      </c>
      <c r="J2737">
        <v>134.18899999999999</v>
      </c>
      <c r="K2737" t="str">
        <f>HYPERLINK("https://sarigdata.pir.sa.gov.au/nvcl/NVCLDataServices/mosaic.html?datasetid=bc32c4b2-1aac-4faa-a1bf-b1959c0ca3b","290957_LMD002_Core Image")</f>
        <v>290957_LMD002_Core Image</v>
      </c>
    </row>
    <row r="2738" spans="1:11" x14ac:dyDescent="0.25">
      <c r="A2738" t="str">
        <f>HYPERLINK("http://www.corstruth.com.au/SA/290968_YRDH001_cs.png","290968_YRDH001_A4")</f>
        <v>290968_YRDH001_A4</v>
      </c>
      <c r="B2738" t="str">
        <f>HYPERLINK("http://www.corstruth.com.au/SA/PNG2/290968_YRDH001_cs.png","290968_YRDH001_0.25m Bins")</f>
        <v>290968_YRDH001_0.25m Bins</v>
      </c>
      <c r="C2738" t="str">
        <f>HYPERLINK("http://www.corstruth.com.au/SA/CSV/290968_YRDH001.csv","290968_YRDH001_CSV File 1m Bins")</f>
        <v>290968_YRDH001_CSV File 1m Bins</v>
      </c>
      <c r="D2738">
        <v>290968</v>
      </c>
      <c r="E2738" t="s">
        <v>2163</v>
      </c>
      <c r="F2738" t="str">
        <f>HYPERLINK("https://drillhole.pir.sa.gov.au/Details.aspx?DRILLHOLE_NO=290968","Geol Survey Link")</f>
        <v>Geol Survey Link</v>
      </c>
      <c r="I2738">
        <v>-30.064699999999998</v>
      </c>
      <c r="J2738">
        <v>139.21700000000001</v>
      </c>
      <c r="K2738" t="str">
        <f>HYPERLINK("https://sarigdata.pir.sa.gov.au/nvcl/NVCLDataServices/mosaic.html?datasetid=62d3d299-8201-45d6-b05a-6d8cb494e36","290968_YRDH001_Core Image")</f>
        <v>290968_YRDH001_Core Image</v>
      </c>
    </row>
    <row r="2739" spans="1:11" x14ac:dyDescent="0.25">
      <c r="A2739" t="str">
        <f>HYPERLINK("http://www.corstruth.com.au/SA/290969_YRDH002_cs.png","290969_YRDH002_A4")</f>
        <v>290969_YRDH002_A4</v>
      </c>
      <c r="B2739" t="str">
        <f>HYPERLINK("http://www.corstruth.com.au/SA/PNG2/290969_YRDH002_cs.png","290969_YRDH002_0.25m Bins")</f>
        <v>290969_YRDH002_0.25m Bins</v>
      </c>
      <c r="C2739" t="str">
        <f>HYPERLINK("http://www.corstruth.com.au/SA/CSV/290969_YRDH002.csv","290969_YRDH002_CSV File 1m Bins")</f>
        <v>290969_YRDH002_CSV File 1m Bins</v>
      </c>
      <c r="D2739">
        <v>290969</v>
      </c>
      <c r="E2739" t="s">
        <v>2163</v>
      </c>
      <c r="F2739" t="str">
        <f>HYPERLINK("https://drillhole.pir.sa.gov.au/Details.aspx?DRILLHOLE_NO=290969","Geol Survey Link")</f>
        <v>Geol Survey Link</v>
      </c>
      <c r="I2739">
        <v>-30.0578</v>
      </c>
      <c r="J2739">
        <v>139.23699999999999</v>
      </c>
      <c r="K2739" t="str">
        <f>HYPERLINK("https://sarigdata.pir.sa.gov.au/nvcl/NVCLDataServices/mosaic.html?datasetid=3bc52407-7974-41d5-9616-e6ce11375d2","290969_YRDH002_Core Image")</f>
        <v>290969_YRDH002_Core Image</v>
      </c>
    </row>
    <row r="2740" spans="1:11" x14ac:dyDescent="0.25">
      <c r="A2740" t="str">
        <f>HYPERLINK("http://www.corstruth.com.au/SA/290970_YRDH003_cs.png","290970_YRDH003_A4")</f>
        <v>290970_YRDH003_A4</v>
      </c>
      <c r="B2740" t="str">
        <f>HYPERLINK("http://www.corstruth.com.au/SA/PNG2/290970_YRDH003_cs.png","290970_YRDH003_0.25m Bins")</f>
        <v>290970_YRDH003_0.25m Bins</v>
      </c>
      <c r="C2740" t="str">
        <f>HYPERLINK("http://www.corstruth.com.au/SA/CSV/290970_YRDH003.csv","290970_YRDH003_CSV File 1m Bins")</f>
        <v>290970_YRDH003_CSV File 1m Bins</v>
      </c>
      <c r="D2740">
        <v>290970</v>
      </c>
      <c r="E2740" t="s">
        <v>2163</v>
      </c>
      <c r="F2740" t="str">
        <f>HYPERLINK("https://drillhole.pir.sa.gov.au/Details.aspx?DRILLHOLE_NO=290970","Geol Survey Link")</f>
        <v>Geol Survey Link</v>
      </c>
      <c r="I2740">
        <v>-30.057700000000001</v>
      </c>
      <c r="J2740">
        <v>139.23699999999999</v>
      </c>
      <c r="K2740" t="str">
        <f>HYPERLINK("https://sarigdata.pir.sa.gov.au/nvcl/NVCLDataServices/mosaic.html?datasetid=7ae9f7cc-8c30-4387-b5b4-84c6037412a","290970_YRDH003_Core Image")</f>
        <v>290970_YRDH003_Core Image</v>
      </c>
    </row>
    <row r="2741" spans="1:11" x14ac:dyDescent="0.25">
      <c r="A2741" t="str">
        <f>HYPERLINK("http://www.corstruth.com.au/SA/290971_YRDH004_cs.png","290971_YRDH004_A4")</f>
        <v>290971_YRDH004_A4</v>
      </c>
      <c r="B2741" t="str">
        <f>HYPERLINK("http://www.corstruth.com.au/SA/PNG2/290971_YRDH004_cs.png","290971_YRDH004_0.25m Bins")</f>
        <v>290971_YRDH004_0.25m Bins</v>
      </c>
      <c r="C2741" t="str">
        <f>HYPERLINK("http://www.corstruth.com.au/SA/CSV/290971_YRDH004.csv","290971_YRDH004_CSV File 1m Bins")</f>
        <v>290971_YRDH004_CSV File 1m Bins</v>
      </c>
      <c r="D2741">
        <v>290971</v>
      </c>
      <c r="E2741" t="s">
        <v>2163</v>
      </c>
      <c r="F2741" t="str">
        <f>HYPERLINK("https://drillhole.pir.sa.gov.au/Details.aspx?DRILLHOLE_NO=290971","Geol Survey Link")</f>
        <v>Geol Survey Link</v>
      </c>
      <c r="I2741">
        <v>-30.057700000000001</v>
      </c>
      <c r="J2741">
        <v>139.23699999999999</v>
      </c>
      <c r="K2741" t="str">
        <f>HYPERLINK("https://sarigdata.pir.sa.gov.au/nvcl/NVCLDataServices/mosaic.html?datasetid=ca205440-c74b-4dd4-8e8b-8916819ff25","290971_YRDH004_Core Image")</f>
        <v>290971_YRDH004_Core Image</v>
      </c>
    </row>
    <row r="2742" spans="1:11" x14ac:dyDescent="0.25">
      <c r="A2742" t="str">
        <f>HYPERLINK("http://www.corstruth.com.au/SA/290972_YRDH005_cs.png","290972_YRDH005_A4")</f>
        <v>290972_YRDH005_A4</v>
      </c>
      <c r="B2742" t="str">
        <f>HYPERLINK("http://www.corstruth.com.au/SA/PNG2/290972_YRDH005_cs.png","290972_YRDH005_0.25m Bins")</f>
        <v>290972_YRDH005_0.25m Bins</v>
      </c>
      <c r="C2742" t="str">
        <f>HYPERLINK("http://www.corstruth.com.au/SA/CSV/290972_YRDH005.csv","290972_YRDH005_CSV File 1m Bins")</f>
        <v>290972_YRDH005_CSV File 1m Bins</v>
      </c>
      <c r="D2742">
        <v>290972</v>
      </c>
      <c r="E2742" t="s">
        <v>2163</v>
      </c>
      <c r="F2742" t="str">
        <f>HYPERLINK("https://drillhole.pir.sa.gov.au/Details.aspx?DRILLHOLE_NO=290972","Geol Survey Link")</f>
        <v>Geol Survey Link</v>
      </c>
      <c r="I2742">
        <v>-30.073499999999999</v>
      </c>
      <c r="J2742">
        <v>139.29</v>
      </c>
      <c r="K2742" t="str">
        <f>HYPERLINK("https://sarigdata.pir.sa.gov.au/nvcl/NVCLDataServices/mosaic.html?datasetid=76a1d787-14a5-4a24-b101-0ebef92bdb5","290972_YRDH005_Core Image")</f>
        <v>290972_YRDH005_Core Image</v>
      </c>
    </row>
    <row r="2743" spans="1:11" x14ac:dyDescent="0.25">
      <c r="A2743" t="str">
        <f>HYPERLINK("http://www.corstruth.com.au/SA/290973_YRDH006_cs.png","290973_YRDH006_A4")</f>
        <v>290973_YRDH006_A4</v>
      </c>
      <c r="B2743" t="str">
        <f>HYPERLINK("http://www.corstruth.com.au/SA/PNG2/290973_YRDH006_cs.png","290973_YRDH006_0.25m Bins")</f>
        <v>290973_YRDH006_0.25m Bins</v>
      </c>
      <c r="C2743" t="str">
        <f>HYPERLINK("http://www.corstruth.com.au/SA/CSV/290973_YRDH006.csv","290973_YRDH006_CSV File 1m Bins")</f>
        <v>290973_YRDH006_CSV File 1m Bins</v>
      </c>
      <c r="D2743">
        <v>290973</v>
      </c>
      <c r="E2743" t="s">
        <v>2163</v>
      </c>
      <c r="F2743" t="str">
        <f>HYPERLINK("https://drillhole.pir.sa.gov.au/Details.aspx?DRILLHOLE_NO=290973","Geol Survey Link")</f>
        <v>Geol Survey Link</v>
      </c>
      <c r="I2743">
        <v>-30.072600000000001</v>
      </c>
      <c r="J2743">
        <v>139.29</v>
      </c>
      <c r="K2743" t="str">
        <f>HYPERLINK("https://sarigdata.pir.sa.gov.au/nvcl/NVCLDataServices/mosaic.html?datasetid=bd3e8d18-da51-4ea3-937b-0a457f37120","290973_YRDH006_Core Image")</f>
        <v>290973_YRDH006_Core Image</v>
      </c>
    </row>
    <row r="2744" spans="1:11" x14ac:dyDescent="0.25">
      <c r="A2744" t="str">
        <f>HYPERLINK("http://www.corstruth.com.au/SA/292943_HDD-006_cs.png","292943_HDD-006_A4")</f>
        <v>292943_HDD-006_A4</v>
      </c>
      <c r="B2744" t="str">
        <f>HYPERLINK("http://www.corstruth.com.au/SA/PNG2/292943_HDD-006_cs.png","292943_HDD-006_0.25m Bins")</f>
        <v>292943_HDD-006_0.25m Bins</v>
      </c>
      <c r="C2744" t="str">
        <f>HYPERLINK("http://www.corstruth.com.au/SA/CSV/292943_HDD-006.csv","292943_HDD-006_CSV File 1m Bins")</f>
        <v>292943_HDD-006_CSV File 1m Bins</v>
      </c>
      <c r="D2744">
        <v>292943</v>
      </c>
      <c r="E2744" t="s">
        <v>2163</v>
      </c>
      <c r="F2744" t="str">
        <f>HYPERLINK("https://drillhole.pir.sa.gov.au/Details.aspx?DRILLHOLE_NO=292943","Geol Survey Link")</f>
        <v>Geol Survey Link</v>
      </c>
      <c r="I2744">
        <v>-34.538499999999999</v>
      </c>
      <c r="J2744">
        <v>137.86699999999999</v>
      </c>
      <c r="K2744" t="str">
        <f>HYPERLINK("https://sarigdata.pir.sa.gov.au/nvcl/NVCLDataServices/mosaic.html?datasetid=6fa0ec56-373e-42d1-8b46-f19065664eb","292943_HDD-006_Core Image")</f>
        <v>292943_HDD-006_Core Image</v>
      </c>
    </row>
    <row r="2745" spans="1:11" x14ac:dyDescent="0.25">
      <c r="A2745" t="str">
        <f>HYPERLINK("http://www.corstruth.com.au/SA/292947_HDD-009_cs.png","292947_HDD-009_A4")</f>
        <v>292947_HDD-009_A4</v>
      </c>
      <c r="B2745" t="str">
        <f>HYPERLINK("http://www.corstruth.com.au/SA/PNG2/292947_HDD-009_cs.png","292947_HDD-009_0.25m Bins")</f>
        <v>292947_HDD-009_0.25m Bins</v>
      </c>
      <c r="C2745" t="str">
        <f>HYPERLINK("http://www.corstruth.com.au/SA/CSV/292947_HDD-009.csv","292947_HDD-009_CSV File 1m Bins")</f>
        <v>292947_HDD-009_CSV File 1m Bins</v>
      </c>
      <c r="D2745">
        <v>292947</v>
      </c>
      <c r="E2745" t="s">
        <v>2163</v>
      </c>
      <c r="F2745" t="str">
        <f>HYPERLINK("https://drillhole.pir.sa.gov.au/Details.aspx?DRILLHOLE_NO=292947","Geol Survey Link")</f>
        <v>Geol Survey Link</v>
      </c>
      <c r="I2745">
        <v>-34.538499999999999</v>
      </c>
      <c r="J2745">
        <v>137.86699999999999</v>
      </c>
      <c r="K2745" t="str">
        <f>HYPERLINK("https://sarigdata.pir.sa.gov.au/nvcl/NVCLDataServices/mosaic.html?datasetid=bbdbd6ef-be84-4eac-800c-8f2d95c8cd6","292947_HDD-009_Core Image")</f>
        <v>292947_HDD-009_Core Image</v>
      </c>
    </row>
    <row r="2746" spans="1:11" x14ac:dyDescent="0.25">
      <c r="A2746" t="str">
        <f>HYPERLINK("http://www.corstruth.com.au/SA/293015_HDD-010_cs.png","293015_HDD-010_A4")</f>
        <v>293015_HDD-010_A4</v>
      </c>
      <c r="B2746" t="str">
        <f>HYPERLINK("http://www.corstruth.com.au/SA/PNG2/293015_HDD-010_cs.png","293015_HDD-010_0.25m Bins")</f>
        <v>293015_HDD-010_0.25m Bins</v>
      </c>
      <c r="C2746" t="str">
        <f>HYPERLINK("http://www.corstruth.com.au/SA/CSV/293015_HDD-010.csv","293015_HDD-010_CSV File 1m Bins")</f>
        <v>293015_HDD-010_CSV File 1m Bins</v>
      </c>
      <c r="D2746">
        <v>293015</v>
      </c>
      <c r="E2746" t="s">
        <v>2163</v>
      </c>
      <c r="F2746" t="str">
        <f>HYPERLINK("https://drillhole.pir.sa.gov.au/Details.aspx?DRILLHOLE_NO=293015","Geol Survey Link")</f>
        <v>Geol Survey Link</v>
      </c>
      <c r="I2746">
        <v>-34.538400000000003</v>
      </c>
      <c r="J2746">
        <v>137.869</v>
      </c>
      <c r="K2746" t="str">
        <f>HYPERLINK("https://sarigdata.pir.sa.gov.au/nvcl/NVCLDataServices/mosaic.html?datasetid=783c7a78-c0d8-4c2d-af3f-170302f60eb","293015_HDD-010_Core Image")</f>
        <v>293015_HDD-010_Core Image</v>
      </c>
    </row>
    <row r="2747" spans="1:11" x14ac:dyDescent="0.25">
      <c r="A2747" t="str">
        <f>HYPERLINK("http://www.corstruth.com.au/SA/293018_HDD-013_cs.png","293018_HDD-013_A4")</f>
        <v>293018_HDD-013_A4</v>
      </c>
      <c r="B2747" t="str">
        <f>HYPERLINK("http://www.corstruth.com.au/SA/PNG2/293018_HDD-013_cs.png","293018_HDD-013_0.25m Bins")</f>
        <v>293018_HDD-013_0.25m Bins</v>
      </c>
      <c r="C2747" t="str">
        <f>HYPERLINK("http://www.corstruth.com.au/SA/CSV/293018_HDD-013.csv","293018_HDD-013_CSV File 1m Bins")</f>
        <v>293018_HDD-013_CSV File 1m Bins</v>
      </c>
      <c r="D2747">
        <v>293018</v>
      </c>
      <c r="E2747" t="s">
        <v>2163</v>
      </c>
      <c r="F2747" t="str">
        <f>HYPERLINK("https://drillhole.pir.sa.gov.au/Details.aspx?DRILLHOLE_NO=293018","Geol Survey Link")</f>
        <v>Geol Survey Link</v>
      </c>
      <c r="I2747">
        <v>-34.538499999999999</v>
      </c>
      <c r="J2747">
        <v>137.86600000000001</v>
      </c>
      <c r="K2747" t="str">
        <f>HYPERLINK("https://sarigdata.pir.sa.gov.au/nvcl/NVCLDataServices/mosaic.html?datasetid=e12f9a30-471a-4bb9-af4d-1b20df82f75","293018_HDD-013_Core Image")</f>
        <v>293018_HDD-013_Core Image</v>
      </c>
    </row>
    <row r="2748" spans="1:11" x14ac:dyDescent="0.25">
      <c r="A2748" t="str">
        <f>HYPERLINK("http://www.corstruth.com.au/SA/293022_HDD-018_cs.png","293022_HDD-018_A4")</f>
        <v>293022_HDD-018_A4</v>
      </c>
      <c r="B2748" t="str">
        <f>HYPERLINK("http://www.corstruth.com.au/SA/PNG2/293022_HDD-018_cs.png","293022_HDD-018_0.25m Bins")</f>
        <v>293022_HDD-018_0.25m Bins</v>
      </c>
      <c r="C2748" t="str">
        <f>HYPERLINK("http://www.corstruth.com.au/SA/CSV/293022_HDD-018.csv","293022_HDD-018_CSV File 1m Bins")</f>
        <v>293022_HDD-018_CSV File 1m Bins</v>
      </c>
      <c r="D2748">
        <v>293022</v>
      </c>
      <c r="E2748" t="s">
        <v>2163</v>
      </c>
      <c r="F2748" t="str">
        <f>HYPERLINK("https://drillhole.pir.sa.gov.au/Details.aspx?DRILLHOLE_NO=293022","Geol Survey Link")</f>
        <v>Geol Survey Link</v>
      </c>
      <c r="I2748">
        <v>-34.538400000000003</v>
      </c>
      <c r="J2748">
        <v>137.87100000000001</v>
      </c>
      <c r="K2748" t="str">
        <f>HYPERLINK("https://sarigdata.pir.sa.gov.au/nvcl/NVCLDataServices/mosaic.html?datasetid=df87a74b-1287-4453-b250-f89e9a9de4f","293022_HDD-018_Core Image")</f>
        <v>293022_HDD-018_Core Image</v>
      </c>
    </row>
    <row r="2749" spans="1:11" x14ac:dyDescent="0.25">
      <c r="A2749" t="str">
        <f>HYPERLINK("http://www.corstruth.com.au/SA/293029_HDD-024_cs.png","293029_HDD-024_A4")</f>
        <v>293029_HDD-024_A4</v>
      </c>
      <c r="B2749" t="str">
        <f>HYPERLINK("http://www.corstruth.com.au/SA/PNG2/293029_HDD-024_cs.png","293029_HDD-024_0.25m Bins")</f>
        <v>293029_HDD-024_0.25m Bins</v>
      </c>
      <c r="C2749" t="str">
        <f>HYPERLINK("http://www.corstruth.com.au/SA/CSV/293029_HDD-024.csv","293029_HDD-024_CSV File 1m Bins")</f>
        <v>293029_HDD-024_CSV File 1m Bins</v>
      </c>
      <c r="D2749">
        <v>293029</v>
      </c>
      <c r="E2749" t="s">
        <v>2163</v>
      </c>
      <c r="F2749" t="str">
        <f>HYPERLINK("https://drillhole.pir.sa.gov.au/Details.aspx?DRILLHOLE_NO=293029","Geol Survey Link")</f>
        <v>Geol Survey Link</v>
      </c>
      <c r="I2749">
        <v>-34.538400000000003</v>
      </c>
      <c r="J2749">
        <v>137.87200000000001</v>
      </c>
      <c r="K2749" t="str">
        <f>HYPERLINK("https://sarigdata.pir.sa.gov.au/nvcl/NVCLDataServices/mosaic.html?datasetid=88479c2c-8391-4fdf-8225-4d68a2828b8","293029_HDD-024_Core Image")</f>
        <v>293029_HDD-024_Core Image</v>
      </c>
    </row>
    <row r="2750" spans="1:11" x14ac:dyDescent="0.25">
      <c r="A2750" t="str">
        <f>HYPERLINK("http://www.corstruth.com.au/SA/293063_HDD-046_cs.png","293063_HDD-046_A4")</f>
        <v>293063_HDD-046_A4</v>
      </c>
      <c r="B2750" t="str">
        <f>HYPERLINK("http://www.corstruth.com.au/SA/PNG2/293063_HDD-046_cs.png","293063_HDD-046_0.25m Bins")</f>
        <v>293063_HDD-046_0.25m Bins</v>
      </c>
      <c r="C2750" t="str">
        <f>HYPERLINK("http://www.corstruth.com.au/SA/CSV/293063_HDD-046.csv","293063_HDD-046_CSV File 1m Bins")</f>
        <v>293063_HDD-046_CSV File 1m Bins</v>
      </c>
      <c r="D2750">
        <v>293063</v>
      </c>
      <c r="E2750" t="s">
        <v>2163</v>
      </c>
      <c r="F2750" t="str">
        <f>HYPERLINK("https://drillhole.pir.sa.gov.au/Details.aspx?DRILLHOLE_NO=293063","Geol Survey Link")</f>
        <v>Geol Survey Link</v>
      </c>
      <c r="I2750">
        <v>-34.5383</v>
      </c>
      <c r="J2750">
        <v>137.875</v>
      </c>
      <c r="K2750" t="str">
        <f>HYPERLINK("https://sarigdata.pir.sa.gov.au/nvcl/NVCLDataServices/mosaic.html?datasetid=4528179f-5e45-46c1-9d36-ec11b414857","293063_HDD-046_Core Image")</f>
        <v>293063_HDD-046_Core Image</v>
      </c>
    </row>
    <row r="2751" spans="1:11" x14ac:dyDescent="0.25">
      <c r="A2751" t="str">
        <f>HYPERLINK("http://www.corstruth.com.au/SA/293065_HDD-048_cs.png","293065_HDD-048_A4")</f>
        <v>293065_HDD-048_A4</v>
      </c>
      <c r="B2751" t="str">
        <f>HYPERLINK("http://www.corstruth.com.au/SA/PNG2/293065_HDD-048_cs.png","293065_HDD-048_0.25m Bins")</f>
        <v>293065_HDD-048_0.25m Bins</v>
      </c>
      <c r="C2751" t="str">
        <f>HYPERLINK("http://www.corstruth.com.au/SA/CSV/293065_HDD-048.csv","293065_HDD-048_CSV File 1m Bins")</f>
        <v>293065_HDD-048_CSV File 1m Bins</v>
      </c>
      <c r="D2751">
        <v>293065</v>
      </c>
      <c r="E2751" t="s">
        <v>2163</v>
      </c>
      <c r="F2751" t="str">
        <f>HYPERLINK("https://drillhole.pir.sa.gov.au/Details.aspx?DRILLHOLE_NO=293065","Geol Survey Link")</f>
        <v>Geol Survey Link</v>
      </c>
      <c r="I2751">
        <v>-34.5383</v>
      </c>
      <c r="J2751">
        <v>137.874</v>
      </c>
      <c r="K2751" t="str">
        <f>HYPERLINK("https://sarigdata.pir.sa.gov.au/nvcl/NVCLDataServices/mosaic.html?datasetid=0dbbb98e-3b15-4b95-9d04-0738b621bdd","293065_HDD-048_Core Image")</f>
        <v>293065_HDD-048_Core Image</v>
      </c>
    </row>
    <row r="2752" spans="1:11" x14ac:dyDescent="0.25">
      <c r="A2752" t="str">
        <f>HYPERLINK("http://www.corstruth.com.au/SA/293077_HDD-060_cs.png","293077_HDD-060_A4")</f>
        <v>293077_HDD-060_A4</v>
      </c>
      <c r="B2752" t="str">
        <f>HYPERLINK("http://www.corstruth.com.au/SA/PNG2/293077_HDD-060_cs.png","293077_HDD-060_0.25m Bins")</f>
        <v>293077_HDD-060_0.25m Bins</v>
      </c>
      <c r="C2752" t="str">
        <f>HYPERLINK("http://www.corstruth.com.au/SA/CSV/293077_HDD-060.csv","293077_HDD-060_CSV File 1m Bins")</f>
        <v>293077_HDD-060_CSV File 1m Bins</v>
      </c>
      <c r="D2752">
        <v>293077</v>
      </c>
      <c r="E2752" t="s">
        <v>2163</v>
      </c>
      <c r="F2752" t="str">
        <f>HYPERLINK("https://drillhole.pir.sa.gov.au/Details.aspx?DRILLHOLE_NO=293077","Geol Survey Link")</f>
        <v>Geol Survey Link</v>
      </c>
      <c r="I2752">
        <v>-34.538400000000003</v>
      </c>
      <c r="J2752">
        <v>137.87100000000001</v>
      </c>
      <c r="K2752" t="str">
        <f>HYPERLINK("https://sarigdata.pir.sa.gov.au/nvcl/NVCLDataServices/mosaic.html?datasetid=293cadcd-4670-43e5-abf6-a2d845affdb","293077_HDD-060_Core Image")</f>
        <v>293077_HDD-060_Core Image</v>
      </c>
    </row>
    <row r="2753" spans="1:11" x14ac:dyDescent="0.25">
      <c r="A2753" t="str">
        <f>HYPERLINK("http://www.corstruth.com.au/SA/293079_HDD-062_cs.png","293079_HDD-062_A4")</f>
        <v>293079_HDD-062_A4</v>
      </c>
      <c r="B2753" t="str">
        <f>HYPERLINK("http://www.corstruth.com.au/SA/PNG2/293079_HDD-062_cs.png","293079_HDD-062_0.25m Bins")</f>
        <v>293079_HDD-062_0.25m Bins</v>
      </c>
      <c r="C2753" t="str">
        <f>HYPERLINK("http://www.corstruth.com.au/SA/CSV/293079_HDD-062.csv","293079_HDD-062_CSV File 1m Bins")</f>
        <v>293079_HDD-062_CSV File 1m Bins</v>
      </c>
      <c r="D2753">
        <v>293079</v>
      </c>
      <c r="E2753" t="s">
        <v>2163</v>
      </c>
      <c r="F2753" t="str">
        <f>HYPERLINK("https://drillhole.pir.sa.gov.au/Details.aspx?DRILLHOLE_NO=293079","Geol Survey Link")</f>
        <v>Geol Survey Link</v>
      </c>
      <c r="I2753">
        <v>-34.5383</v>
      </c>
      <c r="J2753">
        <v>137.87299999999999</v>
      </c>
      <c r="K2753" t="str">
        <f>HYPERLINK("https://sarigdata.pir.sa.gov.au/nvcl/NVCLDataServices/mosaic.html?datasetid=cef0c833-b144-4712-bd5b-670d742d31f","293079_HDD-062_Core Image")</f>
        <v>293079_HDD-062_Core Image</v>
      </c>
    </row>
    <row r="2754" spans="1:11" x14ac:dyDescent="0.25">
      <c r="A2754" t="str">
        <f>HYPERLINK("http://www.corstruth.com.au/SA/293080_HDD-063_cs.png","293080_HDD-063_A4")</f>
        <v>293080_HDD-063_A4</v>
      </c>
      <c r="B2754" t="str">
        <f>HYPERLINK("http://www.corstruth.com.au/SA/PNG2/293080_HDD-063_cs.png","293080_HDD-063_0.25m Bins")</f>
        <v>293080_HDD-063_0.25m Bins</v>
      </c>
      <c r="C2754" t="str">
        <f>HYPERLINK("http://www.corstruth.com.au/SA/CSV/293080_HDD-063.csv","293080_HDD-063_CSV File 1m Bins")</f>
        <v>293080_HDD-063_CSV File 1m Bins</v>
      </c>
      <c r="D2754">
        <v>293080</v>
      </c>
      <c r="E2754" t="s">
        <v>2163</v>
      </c>
      <c r="F2754" t="str">
        <f>HYPERLINK("https://drillhole.pir.sa.gov.au/Details.aspx?DRILLHOLE_NO=293080","Geol Survey Link")</f>
        <v>Geol Survey Link</v>
      </c>
      <c r="I2754">
        <v>-34.538400000000003</v>
      </c>
      <c r="J2754">
        <v>137.87</v>
      </c>
      <c r="K2754" t="str">
        <f>HYPERLINK("https://sarigdata.pir.sa.gov.au/nvcl/NVCLDataServices/mosaic.html?datasetid=ed4f04a0-d01e-4cea-83d0-1d78654d1aa","293080_HDD-063_Core Image")</f>
        <v>293080_HDD-063_Core Image</v>
      </c>
    </row>
    <row r="2755" spans="1:11" x14ac:dyDescent="0.25">
      <c r="A2755" t="str">
        <f>HYPERLINK("http://www.corstruth.com.au/SA/293081_HDD-064_cs.png","293081_HDD-064_A4")</f>
        <v>293081_HDD-064_A4</v>
      </c>
      <c r="B2755" t="str">
        <f>HYPERLINK("http://www.corstruth.com.au/SA/PNG2/293081_HDD-064_cs.png","293081_HDD-064_0.25m Bins")</f>
        <v>293081_HDD-064_0.25m Bins</v>
      </c>
      <c r="C2755" t="str">
        <f>HYPERLINK("http://www.corstruth.com.au/SA/CSV/293081_HDD-064.csv","293081_HDD-064_CSV File 1m Bins")</f>
        <v>293081_HDD-064_CSV File 1m Bins</v>
      </c>
      <c r="D2755">
        <v>293081</v>
      </c>
      <c r="E2755" t="s">
        <v>2163</v>
      </c>
      <c r="F2755" t="str">
        <f>HYPERLINK("https://drillhole.pir.sa.gov.au/Details.aspx?DRILLHOLE_NO=293081","Geol Survey Link")</f>
        <v>Geol Survey Link</v>
      </c>
      <c r="I2755">
        <v>-34.5383</v>
      </c>
      <c r="J2755">
        <v>137.87200000000001</v>
      </c>
      <c r="K2755" t="str">
        <f>HYPERLINK("https://sarigdata.pir.sa.gov.au/nvcl/NVCLDataServices/mosaic.html?datasetid=ab07e8e4-c786-4273-940b-086cd8c072e","293081_HDD-064_Core Image")</f>
        <v>293081_HDD-064_Core Image</v>
      </c>
    </row>
    <row r="2756" spans="1:11" x14ac:dyDescent="0.25">
      <c r="A2756" t="str">
        <f>HYPERLINK("http://www.corstruth.com.au/SA/293458_HDD-206_cs.png","293458_HDD-206_A4")</f>
        <v>293458_HDD-206_A4</v>
      </c>
      <c r="B2756" t="str">
        <f>HYPERLINK("http://www.corstruth.com.au/SA/PNG2/293458_HDD-206_cs.png","293458_HDD-206_0.25m Bins")</f>
        <v>293458_HDD-206_0.25m Bins</v>
      </c>
      <c r="C2756" t="str">
        <f>HYPERLINK("http://www.corstruth.com.au/SA/CSV/293458_HDD-206.csv","293458_HDD-206_CSV File 1m Bins")</f>
        <v>293458_HDD-206_CSV File 1m Bins</v>
      </c>
      <c r="D2756">
        <v>293458</v>
      </c>
      <c r="E2756" t="s">
        <v>2163</v>
      </c>
      <c r="F2756" t="str">
        <f>HYPERLINK("https://drillhole.pir.sa.gov.au/Details.aspx?DRILLHOLE_NO=293458","Geol Survey Link")</f>
        <v>Geol Survey Link</v>
      </c>
      <c r="I2756">
        <v>-34.538699999999999</v>
      </c>
      <c r="J2756">
        <v>137.876</v>
      </c>
      <c r="K2756" t="str">
        <f>HYPERLINK("https://sarigdata.pir.sa.gov.au/nvcl/NVCLDataServices/mosaic.html?datasetid=c031bd5f-544b-40b1-844d-75d2818b3c1","293458_HDD-206_Core Image")</f>
        <v>293458_HDD-206_Core Image</v>
      </c>
    </row>
    <row r="2757" spans="1:11" x14ac:dyDescent="0.25">
      <c r="A2757" t="str">
        <f>HYPERLINK("http://www.corstruth.com.au/SA/293657_HDD-308_cs.png","293657_HDD-308_A4")</f>
        <v>293657_HDD-308_A4</v>
      </c>
      <c r="B2757" t="str">
        <f>HYPERLINK("http://www.corstruth.com.au/SA/PNG2/293657_HDD-308_cs.png","293657_HDD-308_0.25m Bins")</f>
        <v>293657_HDD-308_0.25m Bins</v>
      </c>
      <c r="C2757" t="str">
        <f>HYPERLINK("http://www.corstruth.com.au/SA/CSV/293657_HDD-308.csv","293657_HDD-308_CSV File 1m Bins")</f>
        <v>293657_HDD-308_CSV File 1m Bins</v>
      </c>
      <c r="D2757">
        <v>293657</v>
      </c>
      <c r="E2757" t="s">
        <v>2163</v>
      </c>
      <c r="F2757" t="str">
        <f>HYPERLINK("https://drillhole.pir.sa.gov.au/Details.aspx?DRILLHOLE_NO=293657","Geol Survey Link")</f>
        <v>Geol Survey Link</v>
      </c>
      <c r="I2757">
        <v>-34.538699999999999</v>
      </c>
      <c r="J2757">
        <v>137.875</v>
      </c>
      <c r="K2757" t="str">
        <f>HYPERLINK("https://sarigdata.pir.sa.gov.au/nvcl/NVCLDataServices/mosaic.html?datasetid=f8faace0-e5b3-4b8b-8f83-46345a68459","293657_HDD-308_Core Image")</f>
        <v>293657_HDD-308_Core Image</v>
      </c>
    </row>
    <row r="2758" spans="1:11" x14ac:dyDescent="0.25">
      <c r="A2758" t="str">
        <f>HYPERLINK("http://www.corstruth.com.au/SA/294565_PPDH154_cs.png","294565_PPDH154_A4")</f>
        <v>294565_PPDH154_A4</v>
      </c>
      <c r="B2758" t="str">
        <f>HYPERLINK("http://www.corstruth.com.au/SA/PNG2/294565_PPDH154_cs.png","294565_PPDH154_0.25m Bins")</f>
        <v>294565_PPDH154_0.25m Bins</v>
      </c>
      <c r="C2758" t="str">
        <f>HYPERLINK("http://www.corstruth.com.au/SA/CSV/294565_PPDH154.csv","294565_PPDH154_CSV File 1m Bins")</f>
        <v>294565_PPDH154_CSV File 1m Bins</v>
      </c>
      <c r="D2758">
        <v>294565</v>
      </c>
      <c r="E2758" t="s">
        <v>2163</v>
      </c>
      <c r="F2758" t="str">
        <f>HYPERLINK("https://drillhole.pir.sa.gov.au/Details.aspx?DRILLHOLE_NO=294565","Geol Survey Link")</f>
        <v>Geol Survey Link</v>
      </c>
      <c r="I2758">
        <v>-32.663699999999999</v>
      </c>
      <c r="J2758">
        <v>136.04300000000001</v>
      </c>
      <c r="K2758" t="str">
        <f>HYPERLINK("https://sarigdata.pir.sa.gov.au/nvcl/NVCLDataServices/mosaic.html?datasetid=30ecb538-a761-460f-b14e-dfca8fad72a","294565_PPDH154_Core Image")</f>
        <v>294565_PPDH154_Core Image</v>
      </c>
    </row>
    <row r="2759" spans="1:11" x14ac:dyDescent="0.25">
      <c r="A2759" t="str">
        <f>HYPERLINK("http://www.corstruth.com.au/SA/294568_SAW001_cs.png","294568_SAW001_A4")</f>
        <v>294568_SAW001_A4</v>
      </c>
      <c r="B2759" t="str">
        <f>HYPERLINK("http://www.corstruth.com.au/SA/PNG2/294568_SAW001_cs.png","294568_SAW001_0.25m Bins")</f>
        <v>294568_SAW001_0.25m Bins</v>
      </c>
      <c r="C2759" t="str">
        <f>HYPERLINK("http://www.corstruth.com.au/SA/CSV/294568_SAW001.csv","294568_SAW001_CSV File 1m Bins")</f>
        <v>294568_SAW001_CSV File 1m Bins</v>
      </c>
      <c r="D2759">
        <v>294568</v>
      </c>
      <c r="E2759" t="s">
        <v>2163</v>
      </c>
      <c r="F2759" t="str">
        <f>HYPERLINK("https://drillhole.pir.sa.gov.au/Details.aspx?DRILLHOLE_NO=294568","Geol Survey Link")</f>
        <v>Geol Survey Link</v>
      </c>
      <c r="I2759">
        <v>-34.356699999999996</v>
      </c>
      <c r="J2759">
        <v>139.292</v>
      </c>
      <c r="K2759" t="str">
        <f>HYPERLINK("https://sarigdata.pir.sa.gov.au/nvcl/NVCLDataServices/mosaic.html?datasetid=047a518f-ba48-4b70-ae94-fbb03c5e851","294568_SAW001_Core Image")</f>
        <v>294568_SAW001_Core Image</v>
      </c>
    </row>
    <row r="2760" spans="1:11" x14ac:dyDescent="0.25">
      <c r="A2760" t="str">
        <f>HYPERLINK("http://www.corstruth.com.au/SA/294569_SAW002_cs.png","294569_SAW002_A4")</f>
        <v>294569_SAW002_A4</v>
      </c>
      <c r="B2760" t="str">
        <f>HYPERLINK("http://www.corstruth.com.au/SA/PNG2/294569_SAW002_cs.png","294569_SAW002_0.25m Bins")</f>
        <v>294569_SAW002_0.25m Bins</v>
      </c>
      <c r="C2760" t="str">
        <f>HYPERLINK("http://www.corstruth.com.au/SA/CSV/294569_SAW002.csv","294569_SAW002_CSV File 1m Bins")</f>
        <v>294569_SAW002_CSV File 1m Bins</v>
      </c>
      <c r="D2760">
        <v>294569</v>
      </c>
      <c r="E2760" t="s">
        <v>2163</v>
      </c>
      <c r="F2760" t="str">
        <f>HYPERLINK("https://drillhole.pir.sa.gov.au/Details.aspx?DRILLHOLE_NO=294569","Geol Survey Link")</f>
        <v>Geol Survey Link</v>
      </c>
      <c r="I2760">
        <v>-34.180599999999998</v>
      </c>
      <c r="J2760">
        <v>139.35900000000001</v>
      </c>
      <c r="K2760" t="str">
        <f>HYPERLINK("https://sarigdata.pir.sa.gov.au/nvcl/NVCLDataServices/mosaic.html?datasetid=54c1f208-be01-42e6-aa6d-7527525121f","294569_SAW002_Core Image")</f>
        <v>294569_SAW002_Core Image</v>
      </c>
    </row>
    <row r="2761" spans="1:11" x14ac:dyDescent="0.25">
      <c r="A2761" t="str">
        <f>HYPERLINK("http://www.corstruth.com.au/SA/294570_SAW003_cs.png","294570_SAW003_A4")</f>
        <v>294570_SAW003_A4</v>
      </c>
      <c r="B2761" t="str">
        <f>HYPERLINK("http://www.corstruth.com.au/SA/PNG2/294570_SAW003_cs.png","294570_SAW003_0.25m Bins")</f>
        <v>294570_SAW003_0.25m Bins</v>
      </c>
      <c r="C2761" t="str">
        <f>HYPERLINK("http://www.corstruth.com.au/SA/CSV/294570_SAW003.csv","294570_SAW003_CSV File 1m Bins")</f>
        <v>294570_SAW003_CSV File 1m Bins</v>
      </c>
      <c r="D2761">
        <v>294570</v>
      </c>
      <c r="E2761" t="s">
        <v>2163</v>
      </c>
      <c r="F2761" t="str">
        <f>HYPERLINK("https://drillhole.pir.sa.gov.au/Details.aspx?DRILLHOLE_NO=294570","Geol Survey Link")</f>
        <v>Geol Survey Link</v>
      </c>
      <c r="I2761">
        <v>-34.191699999999997</v>
      </c>
      <c r="J2761">
        <v>139.32599999999999</v>
      </c>
      <c r="K2761" t="str">
        <f>HYPERLINK("https://sarigdata.pir.sa.gov.au/nvcl/NVCLDataServices/mosaic.html?datasetid=23bab78a-efd2-4747-b4aa-509c230e31c","294570_SAW003_Core Image")</f>
        <v>294570_SAW003_Core Image</v>
      </c>
    </row>
    <row r="2762" spans="1:11" x14ac:dyDescent="0.25">
      <c r="A2762" t="str">
        <f>HYPERLINK("http://www.corstruth.com.au/SA/294735_BLD084_cs.png","294735_BLD084_A4")</f>
        <v>294735_BLD084_A4</v>
      </c>
      <c r="B2762" t="str">
        <f>HYPERLINK("http://www.corstruth.com.au/SA/PNG2/294735_BLD084_cs.png","294735_BLD084_0.25m Bins")</f>
        <v>294735_BLD084_0.25m Bins</v>
      </c>
      <c r="C2762" t="str">
        <f>HYPERLINK("http://www.corstruth.com.au/SA/CSV/294735_BLD084.csv","294735_BLD084_CSV File 1m Bins")</f>
        <v>294735_BLD084_CSV File 1m Bins</v>
      </c>
      <c r="D2762">
        <v>294735</v>
      </c>
      <c r="E2762" t="s">
        <v>2163</v>
      </c>
      <c r="F2762" t="str">
        <f>HYPERLINK("https://drillhole.pir.sa.gov.au/Details.aspx?DRILLHOLE_NO=294735","Geol Survey Link")</f>
        <v>Geol Survey Link</v>
      </c>
      <c r="I2762">
        <v>-28.199100000000001</v>
      </c>
      <c r="J2762">
        <v>140.34100000000001</v>
      </c>
      <c r="K2762" t="str">
        <f>HYPERLINK("https://sarigdata.pir.sa.gov.au/nvcl/NVCLDataServices/mosaic.html?datasetid=05a345dc-77bb-42e6-83e1-9aa5a4b8d87","294735_BLD084_Core Image")</f>
        <v>294735_BLD084_Core Image</v>
      </c>
    </row>
    <row r="2763" spans="1:11" x14ac:dyDescent="0.25">
      <c r="A2763" t="str">
        <f>HYPERLINK("http://www.corstruth.com.au/SA/294736_BLD085_cs.png","294736_BLD085_A4")</f>
        <v>294736_BLD085_A4</v>
      </c>
      <c r="B2763" t="str">
        <f>HYPERLINK("http://www.corstruth.com.au/SA/PNG2/294736_BLD085_cs.png","294736_BLD085_0.25m Bins")</f>
        <v>294736_BLD085_0.25m Bins</v>
      </c>
      <c r="C2763" t="str">
        <f>HYPERLINK("http://www.corstruth.com.au/SA/CSV/294736_BLD085.csv","294736_BLD085_CSV File 1m Bins")</f>
        <v>294736_BLD085_CSV File 1m Bins</v>
      </c>
      <c r="D2763">
        <v>294736</v>
      </c>
      <c r="E2763" t="s">
        <v>2163</v>
      </c>
      <c r="F2763" t="str">
        <f>HYPERLINK("https://drillhole.pir.sa.gov.au/Details.aspx?DRILLHOLE_NO=294736","Geol Survey Link")</f>
        <v>Geol Survey Link</v>
      </c>
      <c r="I2763">
        <v>-28.209900000000001</v>
      </c>
      <c r="J2763">
        <v>140.31</v>
      </c>
      <c r="K2763" t="str">
        <f>HYPERLINK("https://sarigdata.pir.sa.gov.au/nvcl/NVCLDataServices/mosaic.html?datasetid=2401d744-6fca-4e30-87c0-29325c56e4a","294736_BLD085_Core Image")</f>
        <v>294736_BLD085_Core Image</v>
      </c>
    </row>
    <row r="2764" spans="1:11" x14ac:dyDescent="0.25">
      <c r="A2764" t="str">
        <f>HYPERLINK("http://www.corstruth.com.au/SA/295508_12SHR004_cs.png","295508_12SHR004_A4")</f>
        <v>295508_12SHR004_A4</v>
      </c>
      <c r="B2764" t="str">
        <f>HYPERLINK("http://www.corstruth.com.au/SA/PNG2/295508_12SHR004_cs.png","295508_12SHR004_0.25m Bins")</f>
        <v>295508_12SHR004_0.25m Bins</v>
      </c>
      <c r="C2764" t="str">
        <f>HYPERLINK("http://www.corstruth.com.au/SA/CSV/295508_12SHR004.csv","295508_12SHR004_CSV File 1m Bins")</f>
        <v>295508_12SHR004_CSV File 1m Bins</v>
      </c>
      <c r="D2764">
        <v>295508</v>
      </c>
      <c r="E2764" t="s">
        <v>2163</v>
      </c>
      <c r="F2764" t="str">
        <f>HYPERLINK("https://drillhole.pir.sa.gov.au/Details.aspx?DRILLHOLE_NO=295508","Geol Survey Link")</f>
        <v>Geol Survey Link</v>
      </c>
      <c r="I2764">
        <v>-35.349499999999999</v>
      </c>
      <c r="J2764">
        <v>139.75800000000001</v>
      </c>
      <c r="K2764" t="str">
        <f>HYPERLINK("https://sarigdata.pir.sa.gov.au/nvcl/NVCLDataServices/mosaic.html?datasetid=deeb0efc-51d0-42e2-b8e5-bd58c3516ac","295508_12SHR004_Core Image")</f>
        <v>295508_12SHR004_Core Image</v>
      </c>
    </row>
    <row r="2765" spans="1:11" x14ac:dyDescent="0.25">
      <c r="A2765" t="str">
        <f>HYPERLINK("http://www.corstruth.com.au/SA/29697_WokurnaDDH4_cs.png","29697_WokurnaDDH4_A4")</f>
        <v>29697_WokurnaDDH4_A4</v>
      </c>
      <c r="B2765" t="str">
        <f>HYPERLINK("http://www.corstruth.com.au/SA/PNG2/29697_WokurnaDDH4_cs.png","29697_WokurnaDDH4_0.25m Bins")</f>
        <v>29697_WokurnaDDH4_0.25m Bins</v>
      </c>
      <c r="C2765" t="str">
        <f>HYPERLINK("http://www.corstruth.com.au/SA/CSV/29697_WokurnaDDH4.csv","29697_WokurnaDDH4_CSV File 1m Bins")</f>
        <v>29697_WokurnaDDH4_CSV File 1m Bins</v>
      </c>
      <c r="D2765">
        <v>29697</v>
      </c>
      <c r="E2765" t="s">
        <v>2163</v>
      </c>
      <c r="F2765" t="str">
        <f>HYPERLINK("https://drillhole.pir.sa.gov.au/Details.aspx?DRILLHOLE_NO=29697","Geol Survey Link")</f>
        <v>Geol Survey Link</v>
      </c>
      <c r="I2765">
        <v>-33.709499999999998</v>
      </c>
      <c r="J2765">
        <v>138.04499999999999</v>
      </c>
      <c r="K2765" t="str">
        <f>HYPERLINK("https://sarigdata.pir.sa.gov.au/nvcl/NVCLDataServices/mosaic.html?datasetid=f3f0d941-4bcb-44b4-865e-589b46a182e","29697_WokurnaDDH4_Core Image")</f>
        <v>29697_WokurnaDDH4_Core Image</v>
      </c>
    </row>
    <row r="2766" spans="1:11" x14ac:dyDescent="0.25">
      <c r="A2766" t="str">
        <f>HYPERLINK("http://www.corstruth.com.au/SA/29736_WokurnaDDH5_cs.png","29736_WokurnaDDH5_A4")</f>
        <v>29736_WokurnaDDH5_A4</v>
      </c>
      <c r="B2766" t="str">
        <f>HYPERLINK("http://www.corstruth.com.au/SA/PNG2/29736_WokurnaDDH5_cs.png","29736_WokurnaDDH5_0.25m Bins")</f>
        <v>29736_WokurnaDDH5_0.25m Bins</v>
      </c>
      <c r="C2766" t="str">
        <f>HYPERLINK("http://www.corstruth.com.au/SA/CSV/29736_WokurnaDDH5.csv","29736_WokurnaDDH5_CSV File 1m Bins")</f>
        <v>29736_WokurnaDDH5_CSV File 1m Bins</v>
      </c>
      <c r="D2766">
        <v>29736</v>
      </c>
      <c r="E2766" t="s">
        <v>2163</v>
      </c>
      <c r="F2766" t="str">
        <f>HYPERLINK("https://drillhole.pir.sa.gov.au/Details.aspx?DRILLHOLE_NO=29736","Geol Survey Link")</f>
        <v>Geol Survey Link</v>
      </c>
      <c r="I2766">
        <v>-33.703699999999998</v>
      </c>
      <c r="J2766">
        <v>138.09200000000001</v>
      </c>
      <c r="K2766" t="str">
        <f>HYPERLINK("https://sarigdata.pir.sa.gov.au/nvcl/NVCLDataServices/mosaic.html?datasetid=04ef3381-0b85-4357-a032-4805c0e43df","29736_WokurnaDDH5_Core Image")</f>
        <v>29736_WokurnaDDH5_Core Image</v>
      </c>
    </row>
    <row r="2767" spans="1:11" x14ac:dyDescent="0.25">
      <c r="A2767" t="str">
        <f>HYPERLINK("http://www.corstruth.com.au/SA/29752_ButeDDH7_cs.png","29752_ButeDDH7_A4")</f>
        <v>29752_ButeDDH7_A4</v>
      </c>
      <c r="B2767" t="str">
        <f>HYPERLINK("http://www.corstruth.com.au/SA/PNG2/29752_ButeDDH7_cs.png","29752_ButeDDH7_0.25m Bins")</f>
        <v>29752_ButeDDH7_0.25m Bins</v>
      </c>
      <c r="C2767" t="str">
        <f>HYPERLINK("http://www.corstruth.com.au/SA/CSV/29752_ButeDDH7.csv","29752_ButeDDH7_CSV File 1m Bins")</f>
        <v>29752_ButeDDH7_CSV File 1m Bins</v>
      </c>
      <c r="D2767">
        <v>29752</v>
      </c>
      <c r="E2767" t="s">
        <v>2163</v>
      </c>
      <c r="F2767" t="str">
        <f>HYPERLINK("https://drillhole.pir.sa.gov.au/Details.aspx?DRILLHOLE_NO=29752","Geol Survey Link")</f>
        <v>Geol Survey Link</v>
      </c>
      <c r="I2767">
        <v>-33.868499999999997</v>
      </c>
      <c r="J2767">
        <v>138.07499999999999</v>
      </c>
      <c r="K2767" t="str">
        <f>HYPERLINK("https://sarigdata.pir.sa.gov.au/nvcl/NVCLDataServices/mosaic.html?datasetid=c2ca7406-b3cd-4a6e-a66a-3ed5bae3684","29752_ButeDDH7_Core Image")</f>
        <v>29752_ButeDDH7_Core Image</v>
      </c>
    </row>
    <row r="2768" spans="1:11" x14ac:dyDescent="0.25">
      <c r="A2768" t="str">
        <f>HYPERLINK("http://www.corstruth.com.au/SA/299055_CDP001_cs.png","299055_CDP001_A4")</f>
        <v>299055_CDP001_A4</v>
      </c>
      <c r="B2768" t="str">
        <f>HYPERLINK("http://www.corstruth.com.au/SA/PNG2/299055_CDP001_cs.png","299055_CDP001_0.25m Bins")</f>
        <v>299055_CDP001_0.25m Bins</v>
      </c>
      <c r="C2768" t="str">
        <f>HYPERLINK("http://www.corstruth.com.au/SA/CSV/299055_CDP001.csv","299055_CDP001_CSV File 1m Bins")</f>
        <v>299055_CDP001_CSV File 1m Bins</v>
      </c>
      <c r="D2768">
        <v>299055</v>
      </c>
      <c r="E2768" t="s">
        <v>2163</v>
      </c>
      <c r="F2768" t="str">
        <f>HYPERLINK("https://drillhole.pir.sa.gov.au/Details.aspx?DRILLHOLE_NO=299055","Geol Survey Link")</f>
        <v>Geol Survey Link</v>
      </c>
      <c r="I2768">
        <v>-31.637699999999999</v>
      </c>
      <c r="J2768">
        <v>129.25700000000001</v>
      </c>
      <c r="K2768" t="str">
        <f>HYPERLINK("https://sarigdata.pir.sa.gov.au/nvcl/NVCLDataServices/mosaic.html?datasetid=fa918f8a-8f20-4d91-ae46-587efd0e1b2","299055_CDP001_Core Image")</f>
        <v>299055_CDP001_Core Image</v>
      </c>
    </row>
    <row r="2769" spans="1:11" x14ac:dyDescent="0.25">
      <c r="A2769" t="str">
        <f>HYPERLINK("http://www.corstruth.com.au/SA/299056_CDP002_cs.png","299056_CDP002_A4")</f>
        <v>299056_CDP002_A4</v>
      </c>
      <c r="B2769" t="str">
        <f>HYPERLINK("http://www.corstruth.com.au/SA/PNG2/299056_CDP002_cs.png","299056_CDP002_0.25m Bins")</f>
        <v>299056_CDP002_0.25m Bins</v>
      </c>
      <c r="C2769" t="str">
        <f>HYPERLINK("http://www.corstruth.com.au/SA/CSV/299056_CDP002.csv","299056_CDP002_CSV File 1m Bins")</f>
        <v>299056_CDP002_CSV File 1m Bins</v>
      </c>
      <c r="D2769">
        <v>299056</v>
      </c>
      <c r="E2769" t="s">
        <v>2163</v>
      </c>
      <c r="F2769" t="str">
        <f>HYPERLINK("https://drillhole.pir.sa.gov.au/Details.aspx?DRILLHOLE_NO=299056","Geol Survey Link")</f>
        <v>Geol Survey Link</v>
      </c>
      <c r="I2769">
        <v>-31.283799999999999</v>
      </c>
      <c r="J2769">
        <v>129.67599999999999</v>
      </c>
      <c r="K2769" t="str">
        <f>HYPERLINK("https://sarigdata.pir.sa.gov.au/nvcl/NVCLDataServices/mosaic.html?datasetid=84292343-d127-43c0-b165-b52bafabf5e","299056_CDP002_Core Image")</f>
        <v>299056_CDP002_Core Image</v>
      </c>
    </row>
    <row r="2770" spans="1:11" x14ac:dyDescent="0.25">
      <c r="A2770" t="str">
        <f>HYPERLINK("http://www.corstruth.com.au/SA/299057_CDP003_cs.png","299057_CDP003_A4")</f>
        <v>299057_CDP003_A4</v>
      </c>
      <c r="B2770" t="str">
        <f>HYPERLINK("http://www.corstruth.com.au/SA/PNG2/299057_CDP003_cs.png","299057_CDP003_0.25m Bins")</f>
        <v>299057_CDP003_0.25m Bins</v>
      </c>
      <c r="C2770" t="str">
        <f>HYPERLINK("http://www.corstruth.com.au/SA/CSV/299057_CDP003.csv","299057_CDP003_CSV File 1m Bins")</f>
        <v>299057_CDP003_CSV File 1m Bins</v>
      </c>
      <c r="D2770">
        <v>299057</v>
      </c>
      <c r="E2770" t="s">
        <v>2163</v>
      </c>
      <c r="F2770" t="str">
        <f>HYPERLINK("https://drillhole.pir.sa.gov.au/Details.aspx?DRILLHOLE_NO=299057","Geol Survey Link")</f>
        <v>Geol Survey Link</v>
      </c>
      <c r="I2770">
        <v>-31.151499999999999</v>
      </c>
      <c r="J2770">
        <v>129.02500000000001</v>
      </c>
      <c r="K2770" t="str">
        <f>HYPERLINK("https://sarigdata.pir.sa.gov.au/nvcl/NVCLDataServices/mosaic.html?datasetid=0f7cd5bd-71b8-4d9e-bf76-7e1e8c00489","299057_CDP003_Core Image")</f>
        <v>299057_CDP003_Core Image</v>
      </c>
    </row>
    <row r="2771" spans="1:11" x14ac:dyDescent="0.25">
      <c r="A2771" t="str">
        <f>HYPERLINK("http://www.corstruth.com.au/SA/299058_CDP004_cs.png","299058_CDP004_A4")</f>
        <v>299058_CDP004_A4</v>
      </c>
      <c r="B2771" t="str">
        <f>HYPERLINK("http://www.corstruth.com.au/SA/PNG2/299058_CDP004_cs.png","299058_CDP004_0.25m Bins")</f>
        <v>299058_CDP004_0.25m Bins</v>
      </c>
      <c r="C2771" t="str">
        <f>HYPERLINK("http://www.corstruth.com.au/SA/CSV/299058_CDP004.csv","299058_CDP004_CSV File 1m Bins")</f>
        <v>299058_CDP004_CSV File 1m Bins</v>
      </c>
      <c r="D2771">
        <v>299058</v>
      </c>
      <c r="E2771" t="s">
        <v>2163</v>
      </c>
      <c r="F2771" t="str">
        <f>HYPERLINK("https://drillhole.pir.sa.gov.au/Details.aspx?DRILLHOLE_NO=299058","Geol Survey Link")</f>
        <v>Geol Survey Link</v>
      </c>
      <c r="I2771">
        <v>-30.830100000000002</v>
      </c>
      <c r="J2771">
        <v>129.012</v>
      </c>
      <c r="K2771" t="str">
        <f>HYPERLINK("https://sarigdata.pir.sa.gov.au/nvcl/NVCLDataServices/mosaic.html?datasetid=8f4c485e-6c22-4541-a6d5-dcf190ce94f","299058_CDP004_Core Image")</f>
        <v>299058_CDP004_Core Image</v>
      </c>
    </row>
    <row r="2772" spans="1:11" x14ac:dyDescent="0.25">
      <c r="A2772" t="str">
        <f>HYPERLINK("http://www.corstruth.com.au/SA/299059_CDP005_cs.png","299059_CDP005_A4")</f>
        <v>299059_CDP005_A4</v>
      </c>
      <c r="B2772" t="str">
        <f>HYPERLINK("http://www.corstruth.com.au/SA/PNG2/299059_CDP005_cs.png","299059_CDP005_0.25m Bins")</f>
        <v>299059_CDP005_0.25m Bins</v>
      </c>
      <c r="C2772" t="str">
        <f>HYPERLINK("http://www.corstruth.com.au/SA/CSV/299059_CDP005.csv","299059_CDP005_CSV File 1m Bins")</f>
        <v>299059_CDP005_CSV File 1m Bins</v>
      </c>
      <c r="D2772">
        <v>299059</v>
      </c>
      <c r="E2772" t="s">
        <v>2163</v>
      </c>
      <c r="F2772" t="str">
        <f>HYPERLINK("https://drillhole.pir.sa.gov.au/Details.aspx?DRILLHOLE_NO=299059","Geol Survey Link")</f>
        <v>Geol Survey Link</v>
      </c>
      <c r="I2772">
        <v>-31.1937</v>
      </c>
      <c r="J2772">
        <v>129.55199999999999</v>
      </c>
      <c r="K2772" t="str">
        <f>HYPERLINK("https://sarigdata.pir.sa.gov.au/nvcl/NVCLDataServices/mosaic.html?datasetid=3d9faaa9-5681-40bb-9ab4-d71e6f2cad5","299059_CDP005_Core Image")</f>
        <v>299059_CDP005_Core Image</v>
      </c>
    </row>
    <row r="2773" spans="1:11" x14ac:dyDescent="0.25">
      <c r="A2773" t="str">
        <f>HYPERLINK("http://www.corstruth.com.au/SA/299060_CDP006_cs.png","299060_CDP006_A4")</f>
        <v>299060_CDP006_A4</v>
      </c>
      <c r="B2773" t="str">
        <f>HYPERLINK("http://www.corstruth.com.au/SA/PNG2/299060_CDP006_cs.png","299060_CDP006_0.25m Bins")</f>
        <v>299060_CDP006_0.25m Bins</v>
      </c>
      <c r="C2773" t="str">
        <f>HYPERLINK("http://www.corstruth.com.au/SA/CSV/299060_CDP006.csv","299060_CDP006_CSV File 1m Bins")</f>
        <v>299060_CDP006_CSV File 1m Bins</v>
      </c>
      <c r="D2773">
        <v>299060</v>
      </c>
      <c r="E2773" t="s">
        <v>2163</v>
      </c>
      <c r="F2773" t="str">
        <f>HYPERLINK("https://drillhole.pir.sa.gov.au/Details.aspx?DRILLHOLE_NO=299060","Geol Survey Link")</f>
        <v>Geol Survey Link</v>
      </c>
      <c r="I2773">
        <v>-31.299900000000001</v>
      </c>
      <c r="J2773">
        <v>129.49100000000001</v>
      </c>
      <c r="K2773" t="str">
        <f>HYPERLINK("https://sarigdata.pir.sa.gov.au/nvcl/NVCLDataServices/mosaic.html?datasetid=b4581566-cd53-4da5-a0bc-ddb79cb1a43","299060_CDP006_Core Image")</f>
        <v>299060_CDP006_Core Image</v>
      </c>
    </row>
    <row r="2774" spans="1:11" x14ac:dyDescent="0.25">
      <c r="A2774" t="str">
        <f>HYPERLINK("http://www.corstruth.com.au/SA/299061_CDP007_cs.png","299061_CDP007_A4")</f>
        <v>299061_CDP007_A4</v>
      </c>
      <c r="B2774" t="str">
        <f>HYPERLINK("http://www.corstruth.com.au/SA/PNG2/299061_CDP007_cs.png","299061_CDP007_0.25m Bins")</f>
        <v>299061_CDP007_0.25m Bins</v>
      </c>
      <c r="C2774" t="str">
        <f>HYPERLINK("http://www.corstruth.com.au/SA/CSV/299061_CDP007.csv","299061_CDP007_CSV File 1m Bins")</f>
        <v>299061_CDP007_CSV File 1m Bins</v>
      </c>
      <c r="D2774">
        <v>299061</v>
      </c>
      <c r="E2774" t="s">
        <v>2163</v>
      </c>
      <c r="F2774" t="str">
        <f>HYPERLINK("https://drillhole.pir.sa.gov.au/Details.aspx?DRILLHOLE_NO=299061","Geol Survey Link")</f>
        <v>Geol Survey Link</v>
      </c>
      <c r="I2774">
        <v>-31.3432</v>
      </c>
      <c r="J2774">
        <v>129.34399999999999</v>
      </c>
      <c r="K2774" t="str">
        <f>HYPERLINK("https://sarigdata.pir.sa.gov.au/nvcl/NVCLDataServices/mosaic.html?datasetid=6b8046a6-42e3-4780-b6cb-45f440ef902","299061_CDP007_Core Image")</f>
        <v>299061_CDP007_Core Image</v>
      </c>
    </row>
    <row r="2775" spans="1:11" x14ac:dyDescent="0.25">
      <c r="A2775" t="str">
        <f>HYPERLINK("http://www.corstruth.com.au/SA/299062_CDP008_cs.png","299062_CDP008_A4")</f>
        <v>299062_CDP008_A4</v>
      </c>
      <c r="B2775" t="str">
        <f>HYPERLINK("http://www.corstruth.com.au/SA/PNG2/299062_CDP008_cs.png","299062_CDP008_0.25m Bins")</f>
        <v>299062_CDP008_0.25m Bins</v>
      </c>
      <c r="C2775" t="str">
        <f>HYPERLINK("http://www.corstruth.com.au/SA/CSV/299062_CDP008.csv","299062_CDP008_CSV File 1m Bins")</f>
        <v>299062_CDP008_CSV File 1m Bins</v>
      </c>
      <c r="D2775">
        <v>299062</v>
      </c>
      <c r="E2775" t="s">
        <v>2163</v>
      </c>
      <c r="F2775" t="str">
        <f>HYPERLINK("https://drillhole.pir.sa.gov.au/Details.aspx?DRILLHOLE_NO=299062","Geol Survey Link")</f>
        <v>Geol Survey Link</v>
      </c>
      <c r="I2775">
        <v>-31.348800000000001</v>
      </c>
      <c r="J2775">
        <v>129.93899999999999</v>
      </c>
      <c r="K2775" t="str">
        <f>HYPERLINK("https://sarigdata.pir.sa.gov.au/nvcl/NVCLDataServices/mosaic.html?datasetid=c33c7b44-39e0-4cce-b38f-2fe9fdd07a4","299062_CDP008_Core Image")</f>
        <v>299062_CDP008_Core Image</v>
      </c>
    </row>
    <row r="2776" spans="1:11" x14ac:dyDescent="0.25">
      <c r="A2776" t="str">
        <f>HYPERLINK("http://www.corstruth.com.au/SA/30054_ButeB23_cs.png","30054_ButeB23_A4")</f>
        <v>30054_ButeB23_A4</v>
      </c>
      <c r="B2776" t="str">
        <f>HYPERLINK("http://www.corstruth.com.au/SA/PNG2/30054_ButeB23_cs.png","30054_ButeB23_0.25m Bins")</f>
        <v>30054_ButeB23_0.25m Bins</v>
      </c>
      <c r="C2776" t="str">
        <f>HYPERLINK("http://www.corstruth.com.au/SA/CSV/30054_ButeB23.csv","30054_ButeB23_CSV File 1m Bins")</f>
        <v>30054_ButeB23_CSV File 1m Bins</v>
      </c>
      <c r="D2776">
        <v>30054</v>
      </c>
      <c r="E2776" t="s">
        <v>2163</v>
      </c>
      <c r="F2776" t="str">
        <f>HYPERLINK("https://drillhole.pir.sa.gov.au/Details.aspx?DRILLHOLE_NO=30054","Geol Survey Link")</f>
        <v>Geol Survey Link</v>
      </c>
      <c r="I2776">
        <v>-33.872500000000002</v>
      </c>
      <c r="J2776">
        <v>138.00700000000001</v>
      </c>
      <c r="K2776" t="str">
        <f>HYPERLINK("https://sarigdata.pir.sa.gov.au/nvcl/NVCLDataServices/mosaic.html?datasetid=5b0882c0-64ab-4ca5-8b91-e5d08c2f482","30054_ButeB23_Core Image")</f>
        <v>30054_ButeB23_Core Image</v>
      </c>
    </row>
    <row r="2777" spans="1:11" x14ac:dyDescent="0.25">
      <c r="A2777" t="str">
        <f>HYPERLINK("http://www.corstruth.com.au/SA/30060_ButeB31_cs.png","30060_ButeB31_A4")</f>
        <v>30060_ButeB31_A4</v>
      </c>
      <c r="B2777" t="str">
        <f>HYPERLINK("http://www.corstruth.com.au/SA/PNG2/30060_ButeB31_cs.png","30060_ButeB31_0.25m Bins")</f>
        <v>30060_ButeB31_0.25m Bins</v>
      </c>
      <c r="C2777" t="str">
        <f>HYPERLINK("http://www.corstruth.com.au/SA/CSV/30060_ButeB31.csv","30060_ButeB31_CSV File 1m Bins")</f>
        <v>30060_ButeB31_CSV File 1m Bins</v>
      </c>
      <c r="D2777">
        <v>30060</v>
      </c>
      <c r="E2777" t="s">
        <v>2163</v>
      </c>
      <c r="F2777" t="str">
        <f>HYPERLINK("https://drillhole.pir.sa.gov.au/Details.aspx?DRILLHOLE_NO=30060","Geol Survey Link")</f>
        <v>Geol Survey Link</v>
      </c>
      <c r="I2777">
        <v>-33.914700000000003</v>
      </c>
      <c r="J2777">
        <v>138.01</v>
      </c>
      <c r="K2777" t="str">
        <f>HYPERLINK("https://sarigdata.pir.sa.gov.au/nvcl/NVCLDataServices/mosaic.html?datasetid=5a08fabf-251b-42f7-a810-b434bd24f32","30060_ButeB31_Core Image")</f>
        <v>30060_ButeB31_Core Image</v>
      </c>
    </row>
    <row r="2778" spans="1:11" x14ac:dyDescent="0.25">
      <c r="A2778" t="str">
        <f>HYPERLINK("http://www.corstruth.com.au/SA/30264_PB3_cs.png","30264_PB3_A4")</f>
        <v>30264_PB3_A4</v>
      </c>
      <c r="B2778" t="str">
        <f>HYPERLINK("http://www.corstruth.com.au/SA/PNG2/30264_PB3_cs.png","30264_PB3_0.25m Bins")</f>
        <v>30264_PB3_0.25m Bins</v>
      </c>
      <c r="C2778" t="str">
        <f>HYPERLINK("http://www.corstruth.com.au/SA/CSV/30264_PB3.csv","30264_PB3_CSV File 1m Bins")</f>
        <v>30264_PB3_CSV File 1m Bins</v>
      </c>
      <c r="D2778">
        <v>30264</v>
      </c>
      <c r="E2778" t="s">
        <v>2163</v>
      </c>
      <c r="F2778" t="str">
        <f>HYPERLINK("https://drillhole.pir.sa.gov.au/Details.aspx?DRILLHOLE_NO=30264","Geol Survey Link")</f>
        <v>Geol Survey Link</v>
      </c>
      <c r="I2778">
        <v>-33.561500000000002</v>
      </c>
      <c r="J2778">
        <v>138.02199999999999</v>
      </c>
      <c r="K2778" t="str">
        <f>HYPERLINK("https://sarigdata.pir.sa.gov.au/nvcl/NVCLDataServices/mosaic.html?datasetid=e2526faa-0bce-4edb-8c1b-0aeae7ce52c","30264_PB3_Core Image")</f>
        <v>30264_PB3_Core Image</v>
      </c>
    </row>
    <row r="2779" spans="1:11" x14ac:dyDescent="0.25">
      <c r="A2779" t="str">
        <f>HYPERLINK("http://www.corstruth.com.au/SA/310976_LRC-326_cs.png","310976_LRC-326_A4")</f>
        <v>310976_LRC-326_A4</v>
      </c>
      <c r="D2779">
        <v>310976</v>
      </c>
      <c r="E2779" t="s">
        <v>2163</v>
      </c>
      <c r="F2779" t="str">
        <f>HYPERLINK("https://drillhole.pir.sa.gov.au/Details.aspx?DRILLHOLE_NO=310976","Geol Survey Link")</f>
        <v>Geol Survey Link</v>
      </c>
      <c r="I2779">
        <v>-31.213799999999999</v>
      </c>
      <c r="J2779">
        <v>134.78700000000001</v>
      </c>
      <c r="K2779" t="str">
        <f>HYPERLINK("https://sarigdata.pir.sa.gov.au/nvcl/NVCLDataServices/mosaic.html?datasetid=175797f4-94cb-405a-8eb2-6a6515dc9eb","310976_LRC-326_Core Image")</f>
        <v>310976_LRC-326_Core Image</v>
      </c>
    </row>
    <row r="2780" spans="1:11" x14ac:dyDescent="0.25">
      <c r="A2780" t="str">
        <f>HYPERLINK("http://www.corstruth.com.au/SA/311147_LRC-382_cs.png","311147_LRC-382_A4")</f>
        <v>311147_LRC-382_A4</v>
      </c>
      <c r="D2780">
        <v>311147</v>
      </c>
      <c r="E2780" t="s">
        <v>2163</v>
      </c>
      <c r="F2780" t="str">
        <f>HYPERLINK("https://drillhole.pir.sa.gov.au/Details.aspx?DRILLHOLE_NO=311147","Geol Survey Link")</f>
        <v>Geol Survey Link</v>
      </c>
      <c r="I2780">
        <v>-31.228300000000001</v>
      </c>
      <c r="J2780">
        <v>134.76499999999999</v>
      </c>
    </row>
    <row r="2781" spans="1:11" x14ac:dyDescent="0.25">
      <c r="A2781" t="str">
        <f>HYPERLINK("http://www.corstruth.com.au/SA/311165_LRC-400_cs.png","311165_LRC-400_A4")</f>
        <v>311165_LRC-400_A4</v>
      </c>
      <c r="D2781">
        <v>311165</v>
      </c>
      <c r="E2781" t="s">
        <v>2163</v>
      </c>
      <c r="F2781" t="str">
        <f>HYPERLINK("https://drillhole.pir.sa.gov.au/Details.aspx?DRILLHOLE_NO=311165","Geol Survey Link")</f>
        <v>Geol Survey Link</v>
      </c>
      <c r="I2781">
        <v>-31.232700000000001</v>
      </c>
      <c r="J2781">
        <v>134.767</v>
      </c>
    </row>
    <row r="2782" spans="1:11" x14ac:dyDescent="0.25">
      <c r="A2782" t="str">
        <f>HYPERLINK("http://www.corstruth.com.au/SA/311172_LRC-407_cs.png","311172_LRC-407_A4")</f>
        <v>311172_LRC-407_A4</v>
      </c>
      <c r="D2782">
        <v>311172</v>
      </c>
      <c r="E2782" t="s">
        <v>2163</v>
      </c>
      <c r="F2782" t="str">
        <f>HYPERLINK("https://drillhole.pir.sa.gov.au/Details.aspx?DRILLHOLE_NO=311172","Geol Survey Link")</f>
        <v>Geol Survey Link</v>
      </c>
      <c r="I2782">
        <v>-31.226900000000001</v>
      </c>
      <c r="J2782">
        <v>134.76400000000001</v>
      </c>
    </row>
    <row r="2783" spans="1:11" x14ac:dyDescent="0.25">
      <c r="A2783" t="str">
        <f>HYPERLINK("http://www.corstruth.com.au/SA/311177_LRC-412_cs.png","311177_LRC-412_A4")</f>
        <v>311177_LRC-412_A4</v>
      </c>
      <c r="D2783">
        <v>311177</v>
      </c>
      <c r="E2783" t="s">
        <v>2163</v>
      </c>
      <c r="F2783" t="str">
        <f>HYPERLINK("https://drillhole.pir.sa.gov.au/Details.aspx?DRILLHOLE_NO=311177","Geol Survey Link")</f>
        <v>Geol Survey Link</v>
      </c>
      <c r="I2783">
        <v>-31.221800000000002</v>
      </c>
      <c r="J2783">
        <v>134.761</v>
      </c>
    </row>
    <row r="2784" spans="1:11" x14ac:dyDescent="0.25">
      <c r="A2784" t="str">
        <f>HYPERLINK("http://www.corstruth.com.au/SA/311183_LRC-418_cs.png","311183_LRC-418_A4")</f>
        <v>311183_LRC-418_A4</v>
      </c>
      <c r="D2784">
        <v>311183</v>
      </c>
      <c r="E2784" t="s">
        <v>2163</v>
      </c>
      <c r="F2784" t="str">
        <f>HYPERLINK("https://drillhole.pir.sa.gov.au/Details.aspx?DRILLHOLE_NO=311183","Geol Survey Link")</f>
        <v>Geol Survey Link</v>
      </c>
      <c r="I2784">
        <v>-31.225300000000001</v>
      </c>
      <c r="J2784">
        <v>134.76300000000001</v>
      </c>
    </row>
    <row r="2785" spans="1:11" x14ac:dyDescent="0.25">
      <c r="A2785" t="str">
        <f>HYPERLINK("http://www.corstruth.com.au/SA/311185_LRC-420_cs.png","311185_LRC-420_A4")</f>
        <v>311185_LRC-420_A4</v>
      </c>
      <c r="D2785">
        <v>311185</v>
      </c>
      <c r="E2785" t="s">
        <v>2163</v>
      </c>
      <c r="F2785" t="str">
        <f>HYPERLINK("https://drillhole.pir.sa.gov.au/Details.aspx?DRILLHOLE_NO=311185","Geol Survey Link")</f>
        <v>Geol Survey Link</v>
      </c>
      <c r="I2785">
        <v>-31.227799999999998</v>
      </c>
      <c r="J2785">
        <v>134.76400000000001</v>
      </c>
    </row>
    <row r="2786" spans="1:11" x14ac:dyDescent="0.25">
      <c r="A2786" t="str">
        <f>HYPERLINK("http://www.corstruth.com.au/SA/311186_LRC-421_cs.png","311186_LRC-421_A4")</f>
        <v>311186_LRC-421_A4</v>
      </c>
      <c r="D2786">
        <v>311186</v>
      </c>
      <c r="E2786" t="s">
        <v>2163</v>
      </c>
      <c r="F2786" t="str">
        <f>HYPERLINK("https://drillhole.pir.sa.gov.au/Details.aspx?DRILLHOLE_NO=311186","Geol Survey Link")</f>
        <v>Geol Survey Link</v>
      </c>
      <c r="I2786">
        <v>-31.2257</v>
      </c>
      <c r="J2786">
        <v>134.76400000000001</v>
      </c>
    </row>
    <row r="2787" spans="1:11" x14ac:dyDescent="0.25">
      <c r="A2787" t="str">
        <f>HYPERLINK("http://www.corstruth.com.au/SA/311189_LRC-424_cs.png","311189_LRC-424_A4")</f>
        <v>311189_LRC-424_A4</v>
      </c>
      <c r="D2787">
        <v>311189</v>
      </c>
      <c r="E2787" t="s">
        <v>2163</v>
      </c>
      <c r="F2787" t="str">
        <f>HYPERLINK("https://drillhole.pir.sa.gov.au/Details.aspx?DRILLHOLE_NO=311189","Geol Survey Link")</f>
        <v>Geol Survey Link</v>
      </c>
      <c r="I2787">
        <v>-31.224399999999999</v>
      </c>
      <c r="J2787">
        <v>134.76300000000001</v>
      </c>
    </row>
    <row r="2788" spans="1:11" x14ac:dyDescent="0.25">
      <c r="A2788" t="str">
        <f>HYPERLINK("http://www.corstruth.com.au/SA/311195_LRC-430_cs.png","311195_LRC-430_A4")</f>
        <v>311195_LRC-430_A4</v>
      </c>
      <c r="D2788">
        <v>311195</v>
      </c>
      <c r="E2788" t="s">
        <v>2163</v>
      </c>
      <c r="F2788" t="str">
        <f>HYPERLINK("https://drillhole.pir.sa.gov.au/Details.aspx?DRILLHOLE_NO=311195","Geol Survey Link")</f>
        <v>Geol Survey Link</v>
      </c>
      <c r="I2788">
        <v>-31.223400000000002</v>
      </c>
      <c r="J2788">
        <v>134.76300000000001</v>
      </c>
    </row>
    <row r="2789" spans="1:11" x14ac:dyDescent="0.25">
      <c r="A2789" t="str">
        <f>HYPERLINK("http://www.corstruth.com.au/SA/311214_LRC-449_cs.png","311214_LRC-449_A4")</f>
        <v>311214_LRC-449_A4</v>
      </c>
      <c r="D2789">
        <v>311214</v>
      </c>
      <c r="E2789" t="s">
        <v>2163</v>
      </c>
      <c r="F2789" t="str">
        <f>HYPERLINK("https://drillhole.pir.sa.gov.au/Details.aspx?DRILLHOLE_NO=311214","Geol Survey Link")</f>
        <v>Geol Survey Link</v>
      </c>
      <c r="I2789">
        <v>-31.220500000000001</v>
      </c>
      <c r="J2789">
        <v>134.76</v>
      </c>
    </row>
    <row r="2790" spans="1:11" x14ac:dyDescent="0.25">
      <c r="A2790" t="str">
        <f>HYPERLINK("http://www.corstruth.com.au/SA/311217_LRC-452_cs.png","311217_LRC-452_A4")</f>
        <v>311217_LRC-452_A4</v>
      </c>
      <c r="D2790">
        <v>311217</v>
      </c>
      <c r="E2790" t="s">
        <v>2163</v>
      </c>
      <c r="F2790" t="str">
        <f>HYPERLINK("https://drillhole.pir.sa.gov.au/Details.aspx?DRILLHOLE_NO=311217","Geol Survey Link")</f>
        <v>Geol Survey Link</v>
      </c>
      <c r="I2790">
        <v>-31.2196</v>
      </c>
      <c r="J2790">
        <v>134.76</v>
      </c>
    </row>
    <row r="2791" spans="1:11" x14ac:dyDescent="0.25">
      <c r="A2791" t="str">
        <f>HYPERLINK("http://www.corstruth.com.au/SA/312939_RD222_cs.png","312939_RD222_A4")</f>
        <v>312939_RD222_A4</v>
      </c>
      <c r="B2791" t="str">
        <f>HYPERLINK("http://www.corstruth.com.au/SA/PNG2/312939_RD222_cs.png","312939_RD222_0.25m Bins")</f>
        <v>312939_RD222_0.25m Bins</v>
      </c>
      <c r="C2791" t="str">
        <f>HYPERLINK("http://www.corstruth.com.au/SA/CSV/312939_RD222.csv","312939_RD222_CSV File 1m Bins")</f>
        <v>312939_RD222_CSV File 1m Bins</v>
      </c>
      <c r="D2791">
        <v>312939</v>
      </c>
      <c r="E2791" t="s">
        <v>2163</v>
      </c>
      <c r="F2791" t="str">
        <f>HYPERLINK("https://drillhole.pir.sa.gov.au/Details.aspx?DRILLHOLE_NO=312939","Geol Survey Link")</f>
        <v>Geol Survey Link</v>
      </c>
      <c r="I2791">
        <v>-30.459700000000002</v>
      </c>
      <c r="J2791">
        <v>136.91999999999999</v>
      </c>
      <c r="K2791" t="str">
        <f>HYPERLINK("https://sarigdata.pir.sa.gov.au/nvcl/NVCLDataServices/mosaic.html?datasetid=646d63cf-04d0-4cf1-8a59-1f6daf2dc8b","312939_RD222_Core Image")</f>
        <v>312939_RD222_Core Image</v>
      </c>
    </row>
    <row r="2792" spans="1:11" x14ac:dyDescent="0.25">
      <c r="A2792" t="str">
        <f>HYPERLINK("http://www.corstruth.com.au/SA/312940_RD284_cs.png","312940_RD284_A4")</f>
        <v>312940_RD284_A4</v>
      </c>
      <c r="B2792" t="str">
        <f>HYPERLINK("http://www.corstruth.com.au/SA/PNG2/312940_RD284_cs.png","312940_RD284_0.25m Bins")</f>
        <v>312940_RD284_0.25m Bins</v>
      </c>
      <c r="C2792" t="str">
        <f>HYPERLINK("http://www.corstruth.com.au/SA/CSV/312940_RD284.csv","312940_RD284_CSV File 1m Bins")</f>
        <v>312940_RD284_CSV File 1m Bins</v>
      </c>
      <c r="D2792">
        <v>312940</v>
      </c>
      <c r="E2792" t="s">
        <v>2163</v>
      </c>
      <c r="F2792" t="str">
        <f>HYPERLINK("https://drillhole.pir.sa.gov.au/Details.aspx?DRILLHOLE_NO=312940","Geol Survey Link")</f>
        <v>Geol Survey Link</v>
      </c>
      <c r="I2792">
        <v>-30.419</v>
      </c>
      <c r="J2792">
        <v>136.86600000000001</v>
      </c>
      <c r="K2792" t="str">
        <f>HYPERLINK("https://sarigdata.pir.sa.gov.au/nvcl/NVCLDataServices/mosaic.html?datasetid=a4fee0cc-feeb-4b9b-9a7c-231fb4e4fe0","312940_RD284_Core Image")</f>
        <v>312940_RD284_Core Image</v>
      </c>
    </row>
    <row r="2793" spans="1:11" x14ac:dyDescent="0.25">
      <c r="A2793" t="str">
        <f>HYPERLINK("http://www.corstruth.com.au/SA/312941_RD285_cs.png","312941_RD285_A4")</f>
        <v>312941_RD285_A4</v>
      </c>
      <c r="B2793" t="str">
        <f>HYPERLINK("http://www.corstruth.com.au/SA/PNG2/312941_RD285_cs.png","312941_RD285_0.25m Bins")</f>
        <v>312941_RD285_0.25m Bins</v>
      </c>
      <c r="C2793" t="str">
        <f>HYPERLINK("http://www.corstruth.com.au/SA/CSV/312941_RD285.csv","312941_RD285_CSV File 1m Bins")</f>
        <v>312941_RD285_CSV File 1m Bins</v>
      </c>
      <c r="D2793">
        <v>312941</v>
      </c>
      <c r="E2793" t="s">
        <v>2163</v>
      </c>
      <c r="F2793" t="str">
        <f>HYPERLINK("https://drillhole.pir.sa.gov.au/Details.aspx?DRILLHOLE_NO=312941","Geol Survey Link")</f>
        <v>Geol Survey Link</v>
      </c>
      <c r="I2793">
        <v>-30.436399999999999</v>
      </c>
      <c r="J2793">
        <v>136.85400000000001</v>
      </c>
      <c r="K2793" t="str">
        <f>HYPERLINK("https://sarigdata.pir.sa.gov.au/nvcl/NVCLDataServices/mosaic.html?datasetid=4ebcf80d-0c6b-4757-b47c-20e92c0b52e","312941_RD285_Core Image")</f>
        <v>312941_RD285_Core Image</v>
      </c>
    </row>
    <row r="2794" spans="1:11" x14ac:dyDescent="0.25">
      <c r="A2794" t="str">
        <f>HYPERLINK("http://www.corstruth.com.au/SA/312942_RD2274_cs.png","312942_RD2274_A4")</f>
        <v>312942_RD2274_A4</v>
      </c>
      <c r="B2794" t="str">
        <f>HYPERLINK("http://www.corstruth.com.au/SA/PNG2/312942_RD2274_cs.png","312942_RD2274_0.25m Bins")</f>
        <v>312942_RD2274_0.25m Bins</v>
      </c>
      <c r="C2794" t="str">
        <f>HYPERLINK("http://www.corstruth.com.au/SA/CSV/312942_RD2274.csv","312942_RD2274_CSV File 1m Bins")</f>
        <v>312942_RD2274_CSV File 1m Bins</v>
      </c>
      <c r="D2794">
        <v>312942</v>
      </c>
      <c r="E2794" t="s">
        <v>2163</v>
      </c>
      <c r="F2794" t="str">
        <f>HYPERLINK("https://drillhole.pir.sa.gov.au/Details.aspx?DRILLHOLE_NO=312942","Geol Survey Link")</f>
        <v>Geol Survey Link</v>
      </c>
      <c r="I2794">
        <v>-30.478100000000001</v>
      </c>
      <c r="J2794">
        <v>136.95099999999999</v>
      </c>
      <c r="K2794" t="str">
        <f>HYPERLINK("https://sarigdata.pir.sa.gov.au/nvcl/NVCLDataServices/mosaic.html?datasetid=d99930f2-0204-4515-a26f-b44c4b06de0","312942_RD2274_Core Image")</f>
        <v>312942_RD2274_Core Image</v>
      </c>
    </row>
    <row r="2795" spans="1:11" x14ac:dyDescent="0.25">
      <c r="A2795" t="str">
        <f>HYPERLINK("http://www.corstruth.com.au/SA/312943_RD2280_cs.png","312943_RD2280_A4")</f>
        <v>312943_RD2280_A4</v>
      </c>
      <c r="B2795" t="str">
        <f>HYPERLINK("http://www.corstruth.com.au/SA/PNG2/312943_RD2280_cs.png","312943_RD2280_0.25m Bins")</f>
        <v>312943_RD2280_0.25m Bins</v>
      </c>
      <c r="C2795" t="str">
        <f>HYPERLINK("http://www.corstruth.com.au/SA/CSV/312943_RD2280.csv","312943_RD2280_CSV File 1m Bins")</f>
        <v>312943_RD2280_CSV File 1m Bins</v>
      </c>
      <c r="D2795">
        <v>312943</v>
      </c>
      <c r="E2795" t="s">
        <v>2163</v>
      </c>
      <c r="F2795" t="str">
        <f>HYPERLINK("https://drillhole.pir.sa.gov.au/Details.aspx?DRILLHOLE_NO=312943","Geol Survey Link")</f>
        <v>Geol Survey Link</v>
      </c>
      <c r="I2795">
        <v>-30.468399999999999</v>
      </c>
      <c r="J2795">
        <v>136.93700000000001</v>
      </c>
      <c r="K2795" t="str">
        <f>HYPERLINK("https://sarigdata.pir.sa.gov.au/nvcl/NVCLDataServices/mosaic.html?datasetid=1d260e76-eacd-4d69-8dbb-257a65aa2d6","312943_RD2280_Core Image")</f>
        <v>312943_RD2280_Core Image</v>
      </c>
    </row>
    <row r="2796" spans="1:11" x14ac:dyDescent="0.25">
      <c r="A2796" t="str">
        <f>HYPERLINK("http://www.corstruth.com.au/SA/312944_RD2286_cs.png","312944_RD2286_A4")</f>
        <v>312944_RD2286_A4</v>
      </c>
      <c r="B2796" t="str">
        <f>HYPERLINK("http://www.corstruth.com.au/SA/PNG2/312944_RD2286_cs.png","312944_RD2286_0.25m Bins")</f>
        <v>312944_RD2286_0.25m Bins</v>
      </c>
      <c r="C2796" t="str">
        <f>HYPERLINK("http://www.corstruth.com.au/SA/CSV/312944_RD2286.csv","312944_RD2286_CSV File 1m Bins")</f>
        <v>312944_RD2286_CSV File 1m Bins</v>
      </c>
      <c r="D2796">
        <v>312944</v>
      </c>
      <c r="E2796" t="s">
        <v>2163</v>
      </c>
      <c r="F2796" t="str">
        <f>HYPERLINK("https://drillhole.pir.sa.gov.au/Details.aspx?DRILLHOLE_NO=312944","Geol Survey Link")</f>
        <v>Geol Survey Link</v>
      </c>
      <c r="I2796">
        <v>-30.461500000000001</v>
      </c>
      <c r="J2796">
        <v>136.92699999999999</v>
      </c>
      <c r="K2796" t="str">
        <f>HYPERLINK("https://sarigdata.pir.sa.gov.au/nvcl/NVCLDataServices/mosaic.html?datasetid=56c49240-7c9b-435e-b1d4-b595baea66c","312944_RD2286_Core Image")</f>
        <v>312944_RD2286_Core Image</v>
      </c>
    </row>
    <row r="2797" spans="1:11" x14ac:dyDescent="0.25">
      <c r="A2797" t="str">
        <f>HYPERLINK("http://www.corstruth.com.au/SA/312945_RD2036_cs.png","312945_RD2036_A4")</f>
        <v>312945_RD2036_A4</v>
      </c>
      <c r="B2797" t="str">
        <f>HYPERLINK("http://www.corstruth.com.au/SA/PNG2/312945_RD2036_cs.png","312945_RD2036_0.25m Bins")</f>
        <v>312945_RD2036_0.25m Bins</v>
      </c>
      <c r="C2797" t="str">
        <f>HYPERLINK("http://www.corstruth.com.au/SA/CSV/312945_RD2036.csv","312945_RD2036_CSV File 1m Bins")</f>
        <v>312945_RD2036_CSV File 1m Bins</v>
      </c>
      <c r="D2797">
        <v>312945</v>
      </c>
      <c r="E2797" t="s">
        <v>2163</v>
      </c>
      <c r="F2797" t="str">
        <f>HYPERLINK("https://drillhole.pir.sa.gov.au/Details.aspx?DRILLHOLE_NO=312945","Geol Survey Link")</f>
        <v>Geol Survey Link</v>
      </c>
      <c r="I2797">
        <v>-30.431699999999999</v>
      </c>
      <c r="J2797">
        <v>136.91300000000001</v>
      </c>
      <c r="K2797" t="str">
        <f>HYPERLINK("https://sarigdata.pir.sa.gov.au/nvcl/NVCLDataServices/mosaic.html?datasetid=5dd35e37-b17a-4a24-955a-52278eaf5e9","312945_RD2036_Core Image")</f>
        <v>312945_RD2036_Core Image</v>
      </c>
    </row>
    <row r="2798" spans="1:11" x14ac:dyDescent="0.25">
      <c r="A2798" t="str">
        <f>HYPERLINK("http://www.corstruth.com.au/SA/312946_RD2785_cs.png","312946_RD2785_A4")</f>
        <v>312946_RD2785_A4</v>
      </c>
      <c r="B2798" t="str">
        <f>HYPERLINK("http://www.corstruth.com.au/SA/PNG2/312946_RD2785_cs.png","312946_RD2785_0.25m Bins")</f>
        <v>312946_RD2785_0.25m Bins</v>
      </c>
      <c r="C2798" t="str">
        <f>HYPERLINK("http://www.corstruth.com.au/SA/CSV/312946_RD2785.csv","312946_RD2785_CSV File 1m Bins")</f>
        <v>312946_RD2785_CSV File 1m Bins</v>
      </c>
      <c r="D2798">
        <v>312946</v>
      </c>
      <c r="E2798" t="s">
        <v>2163</v>
      </c>
      <c r="F2798" t="str">
        <f>HYPERLINK("https://drillhole.pir.sa.gov.au/Details.aspx?DRILLHOLE_NO=312946","Geol Survey Link")</f>
        <v>Geol Survey Link</v>
      </c>
      <c r="I2798">
        <v>-30.444800000000001</v>
      </c>
      <c r="J2798">
        <v>136.89400000000001</v>
      </c>
      <c r="K2798" t="str">
        <f>HYPERLINK("https://sarigdata.pir.sa.gov.au/nvcl/NVCLDataServices/mosaic.html?datasetid=dae755de-d6ce-41ee-aa87-30cd4244907","312946_RD2785_Core Image")</f>
        <v>312946_RD2785_Core Image</v>
      </c>
    </row>
    <row r="2799" spans="1:11" x14ac:dyDescent="0.25">
      <c r="A2799" t="str">
        <f>HYPERLINK("http://www.corstruth.com.au/SA/312947_RU38-10748_cs.png","312947_RU38-10748_A4")</f>
        <v>312947_RU38-10748_A4</v>
      </c>
      <c r="B2799" t="str">
        <f>HYPERLINK("http://www.corstruth.com.au/SA/PNG2/312947_RU38-10748_cs.png","312947_RU38-10748_0.25m Bins")</f>
        <v>312947_RU38-10748_0.25m Bins</v>
      </c>
      <c r="C2799" t="str">
        <f>HYPERLINK("http://www.corstruth.com.au/SA/CSV/312947_RU38-10748.csv","312947_RU38-10748_CSV File 1m Bins")</f>
        <v>312947_RU38-10748_CSV File 1m Bins</v>
      </c>
      <c r="D2799">
        <v>312947</v>
      </c>
      <c r="E2799" t="s">
        <v>2163</v>
      </c>
      <c r="F2799" t="str">
        <f>HYPERLINK("https://drillhole.pir.sa.gov.au/Details.aspx?DRILLHOLE_NO=312947","Geol Survey Link")</f>
        <v>Geol Survey Link</v>
      </c>
      <c r="I2799">
        <v>-30.451000000000001</v>
      </c>
      <c r="J2799">
        <v>136.898</v>
      </c>
      <c r="K2799" t="str">
        <f>HYPERLINK("https://sarigdata.pir.sa.gov.au/nvcl/NVCLDataServices/mosaic.html?datasetid=a16941e5-0623-4dab-b695-9a6122108dc","312947_RU38-10748_Core Image")</f>
        <v>312947_RU38-10748_Core Image</v>
      </c>
    </row>
    <row r="2800" spans="1:11" x14ac:dyDescent="0.25">
      <c r="A2800" t="str">
        <f>HYPERLINK("http://www.corstruth.com.au/SA/312948_TWN1_cs.png","312948_TWN1_A4")</f>
        <v>312948_TWN1_A4</v>
      </c>
      <c r="B2800" t="str">
        <f>HYPERLINK("http://www.corstruth.com.au/SA/PNG2/312948_TWN1_cs.png","312948_TWN1_0.25m Bins")</f>
        <v>312948_TWN1_0.25m Bins</v>
      </c>
      <c r="C2800" t="str">
        <f>HYPERLINK("http://www.corstruth.com.au/SA/CSV/312948_TWN1.csv","312948_TWN1_CSV File 1m Bins")</f>
        <v>312948_TWN1_CSV File 1m Bins</v>
      </c>
      <c r="D2800">
        <v>312948</v>
      </c>
      <c r="E2800" t="s">
        <v>2163</v>
      </c>
      <c r="F2800" t="str">
        <f>HYPERLINK("https://drillhole.pir.sa.gov.au/Details.aspx?DRILLHOLE_NO=312948","Geol Survey Link")</f>
        <v>Geol Survey Link</v>
      </c>
      <c r="I2800">
        <v>-30.567799999999998</v>
      </c>
      <c r="J2800">
        <v>136.87899999999999</v>
      </c>
      <c r="K2800" t="str">
        <f>HYPERLINK("https://sarigdata.pir.sa.gov.au/nvcl/NVCLDataServices/mosaic.html?datasetid=f71f124a-8124-4e2f-9a7c-32b3fac1dd3","312948_TWN1_Core Image")</f>
        <v>312948_TWN1_Core Image</v>
      </c>
    </row>
    <row r="2801" spans="1:11" x14ac:dyDescent="0.25">
      <c r="A2801" t="str">
        <f>HYPERLINK("http://www.corstruth.com.au/SA/312949_TWN3_cs.png","312949_TWN3_A4")</f>
        <v>312949_TWN3_A4</v>
      </c>
      <c r="B2801" t="str">
        <f>HYPERLINK("http://www.corstruth.com.au/SA/PNG2/312949_TWN3_cs.png","312949_TWN3_0.25m Bins")</f>
        <v>312949_TWN3_0.25m Bins</v>
      </c>
      <c r="C2801" t="str">
        <f>HYPERLINK("http://www.corstruth.com.au/SA/CSV/312949_TWN3.csv","312949_TWN3_CSV File 1m Bins")</f>
        <v>312949_TWN3_CSV File 1m Bins</v>
      </c>
      <c r="D2801">
        <v>312949</v>
      </c>
      <c r="E2801" t="s">
        <v>2163</v>
      </c>
      <c r="F2801" t="str">
        <f>HYPERLINK("https://drillhole.pir.sa.gov.au/Details.aspx?DRILLHOLE_NO=312949","Geol Survey Link")</f>
        <v>Geol Survey Link</v>
      </c>
      <c r="I2801">
        <v>-30.590599999999998</v>
      </c>
      <c r="J2801">
        <v>136.9</v>
      </c>
      <c r="K2801" t="str">
        <f>HYPERLINK("https://sarigdata.pir.sa.gov.au/nvcl/NVCLDataServices/mosaic.html?datasetid=3fc3a3e8-248a-4b75-ab78-476e6b02adb","312949_TWN3_Core Image")</f>
        <v>312949_TWN3_Core Image</v>
      </c>
    </row>
    <row r="2802" spans="1:11" x14ac:dyDescent="0.25">
      <c r="A2802" t="str">
        <f>HYPERLINK("http://www.corstruth.com.au/SA/313475_DH1A_cs.png","313475_DH1A_A4")</f>
        <v>313475_DH1A_A4</v>
      </c>
      <c r="B2802" t="str">
        <f>HYPERLINK("http://www.corstruth.com.au/SA/PNG2/313475_DH1A_cs.png","313475_DH1A_0.25m Bins")</f>
        <v>313475_DH1A_0.25m Bins</v>
      </c>
      <c r="C2802" t="str">
        <f>HYPERLINK("http://www.corstruth.com.au/SA/CSV/313475_DH1A.csv","313475_DH1A_CSV File 1m Bins")</f>
        <v>313475_DH1A_CSV File 1m Bins</v>
      </c>
      <c r="D2802">
        <v>313475</v>
      </c>
      <c r="E2802" t="s">
        <v>2163</v>
      </c>
      <c r="F2802" t="str">
        <f>HYPERLINK("https://drillhole.pir.sa.gov.au/Details.aspx?DRILLHOLE_NO=313475","Geol Survey Link")</f>
        <v>Geol Survey Link</v>
      </c>
      <c r="I2802">
        <v>-26.796800000000001</v>
      </c>
      <c r="J2802">
        <v>132.083</v>
      </c>
      <c r="K2802" t="str">
        <f>HYPERLINK("https://sarigdata.pir.sa.gov.au/nvcl/NVCLDataServices/mosaic.html?datasetid=59c7e031-0fe0-4eb1-b171-a5c09679b69","313475_DH1A_Core Image")</f>
        <v>313475_DH1A_Core Image</v>
      </c>
    </row>
    <row r="2803" spans="1:11" x14ac:dyDescent="0.25">
      <c r="A2803" t="str">
        <f>HYPERLINK("http://www.corstruth.com.au/SA/313477_DHS221_cs.png","313477_DHS221_A4")</f>
        <v>313477_DHS221_A4</v>
      </c>
      <c r="B2803" t="str">
        <f>HYPERLINK("http://www.corstruth.com.au/SA/PNG2/313477_DHS221_cs.png","313477_DHS221_0.25m Bins")</f>
        <v>313477_DHS221_0.25m Bins</v>
      </c>
      <c r="C2803" t="str">
        <f>HYPERLINK("http://www.corstruth.com.au/SA/CSV/313477_DHS221.csv","313477_DHS221_CSV File 1m Bins")</f>
        <v>313477_DHS221_CSV File 1m Bins</v>
      </c>
      <c r="D2803">
        <v>313477</v>
      </c>
      <c r="E2803" t="s">
        <v>2163</v>
      </c>
      <c r="F2803" t="str">
        <f>HYPERLINK("https://drillhole.pir.sa.gov.au/Details.aspx?DRILLHOLE_NO=313477","Geol Survey Link")</f>
        <v>Geol Survey Link</v>
      </c>
      <c r="I2803">
        <v>-26.73</v>
      </c>
      <c r="J2803">
        <v>132.047</v>
      </c>
      <c r="K2803" t="str">
        <f>HYPERLINK("https://sarigdata.pir.sa.gov.au/nvcl/NVCLDataServices/mosaic.html?datasetid=42c1f2f3-2fa3-45c4-8233-9312c88af0b","313477_DHS221_Core Image")</f>
        <v>313477_DHS221_Core Image</v>
      </c>
    </row>
    <row r="2804" spans="1:11" x14ac:dyDescent="0.25">
      <c r="A2804" t="str">
        <f>HYPERLINK("http://www.corstruth.com.au/SA/313499_RD287_cs.png","313499_RD287_A4")</f>
        <v>313499_RD287_A4</v>
      </c>
      <c r="B2804" t="str">
        <f>HYPERLINK("http://www.corstruth.com.au/SA/PNG2/313499_RD287_cs.png","313499_RD287_0.25m Bins")</f>
        <v>313499_RD287_0.25m Bins</v>
      </c>
      <c r="C2804" t="str">
        <f>HYPERLINK("http://www.corstruth.com.au/SA/CSV/313499_RD287.csv","313499_RD287_CSV File 1m Bins")</f>
        <v>313499_RD287_CSV File 1m Bins</v>
      </c>
      <c r="D2804">
        <v>313499</v>
      </c>
      <c r="E2804" t="s">
        <v>2163</v>
      </c>
      <c r="F2804" t="str">
        <f>HYPERLINK("https://drillhole.pir.sa.gov.au/Details.aspx?DRILLHOLE_NO=313499","Geol Survey Link")</f>
        <v>Geol Survey Link</v>
      </c>
      <c r="I2804">
        <v>-30.4558</v>
      </c>
      <c r="J2804">
        <v>136.86799999999999</v>
      </c>
      <c r="K2804" t="str">
        <f>HYPERLINK("https://sarigdata.pir.sa.gov.au/nvcl/NVCLDataServices/mosaic.html?datasetid=84fcbb83-2690-4f54-bbde-cf7aed15344","313499_RD287_Core Image")</f>
        <v>313499_RD287_Core Image</v>
      </c>
    </row>
    <row r="2805" spans="1:11" x14ac:dyDescent="0.25">
      <c r="A2805" t="str">
        <f>HYPERLINK("http://www.corstruth.com.au/SA/313500_RD301_cs.png","313500_RD301_A4")</f>
        <v>313500_RD301_A4</v>
      </c>
      <c r="B2805" t="str">
        <f>HYPERLINK("http://www.corstruth.com.au/SA/PNG2/313500_RD301_cs.png","313500_RD301_0.25m Bins")</f>
        <v>313500_RD301_0.25m Bins</v>
      </c>
      <c r="C2805" t="str">
        <f>HYPERLINK("http://www.corstruth.com.au/SA/CSV/313500_RD301.csv","313500_RD301_CSV File 1m Bins")</f>
        <v>313500_RD301_CSV File 1m Bins</v>
      </c>
      <c r="D2805">
        <v>313500</v>
      </c>
      <c r="E2805" t="s">
        <v>2163</v>
      </c>
      <c r="F2805" t="str">
        <f>HYPERLINK("https://drillhole.pir.sa.gov.au/Details.aspx?DRILLHOLE_NO=313500","Geol Survey Link")</f>
        <v>Geol Survey Link</v>
      </c>
      <c r="I2805">
        <v>-30.461099999999998</v>
      </c>
      <c r="J2805">
        <v>136.87799999999999</v>
      </c>
      <c r="K2805" t="str">
        <f>HYPERLINK("https://sarigdata.pir.sa.gov.au/nvcl/NVCLDataServices/mosaic.html?datasetid=1fe895f8-b140-4677-969b-ee724ef0c08","313500_RD301_Core Image")</f>
        <v>313500_RD301_Core Image</v>
      </c>
    </row>
    <row r="2806" spans="1:11" x14ac:dyDescent="0.25">
      <c r="A2806" t="str">
        <f>HYPERLINK("http://www.corstruth.com.au/SA/313501_RD303_cs.png","313501_RD303_A4")</f>
        <v>313501_RD303_A4</v>
      </c>
      <c r="B2806" t="str">
        <f>HYPERLINK("http://www.corstruth.com.au/SA/PNG2/313501_RD303_cs.png","313501_RD303_0.25m Bins")</f>
        <v>313501_RD303_0.25m Bins</v>
      </c>
      <c r="C2806" t="str">
        <f>HYPERLINK("http://www.corstruth.com.au/SA/CSV/313501_RD303.csv","313501_RD303_CSV File 1m Bins")</f>
        <v>313501_RD303_CSV File 1m Bins</v>
      </c>
      <c r="D2806">
        <v>313501</v>
      </c>
      <c r="E2806" t="s">
        <v>2163</v>
      </c>
      <c r="F2806" t="str">
        <f>HYPERLINK("https://drillhole.pir.sa.gov.au/Details.aspx?DRILLHOLE_NO=313501","Geol Survey Link")</f>
        <v>Geol Survey Link</v>
      </c>
      <c r="I2806">
        <v>-30.4575</v>
      </c>
      <c r="J2806">
        <v>136.86000000000001</v>
      </c>
      <c r="K2806" t="str">
        <f>HYPERLINK("https://sarigdata.pir.sa.gov.au/nvcl/NVCLDataServices/mosaic.html?datasetid=d12df1f2-ca20-4bfd-85c9-b437f796486","313501_RD303_Core Image")</f>
        <v>313501_RD303_Core Image</v>
      </c>
    </row>
    <row r="2807" spans="1:11" x14ac:dyDescent="0.25">
      <c r="A2807" t="str">
        <f>HYPERLINK("http://www.corstruth.com.au/SA/313502_RD304_cs.png","313502_RD304_A4")</f>
        <v>313502_RD304_A4</v>
      </c>
      <c r="B2807" t="str">
        <f>HYPERLINK("http://www.corstruth.com.au/SA/PNG2/313502_RD304_cs.png","313502_RD304_0.25m Bins")</f>
        <v>313502_RD304_0.25m Bins</v>
      </c>
      <c r="C2807" t="str">
        <f>HYPERLINK("http://www.corstruth.com.au/SA/CSV/313502_RD304.csv","313502_RD304_CSV File 1m Bins")</f>
        <v>313502_RD304_CSV File 1m Bins</v>
      </c>
      <c r="D2807">
        <v>313502</v>
      </c>
      <c r="E2807" t="s">
        <v>2163</v>
      </c>
      <c r="F2807" t="str">
        <f>HYPERLINK("https://drillhole.pir.sa.gov.au/Details.aspx?DRILLHOLE_NO=313502","Geol Survey Link")</f>
        <v>Geol Survey Link</v>
      </c>
      <c r="I2807">
        <v>-30.450500000000002</v>
      </c>
      <c r="J2807">
        <v>136.858</v>
      </c>
      <c r="K2807" t="str">
        <f>HYPERLINK("https://sarigdata.pir.sa.gov.au/nvcl/NVCLDataServices/mosaic.html?datasetid=281e5b91-504d-4970-94d7-56265ae9f75","313502_RD304_Core Image")</f>
        <v>313502_RD304_Core Image</v>
      </c>
    </row>
    <row r="2808" spans="1:11" x14ac:dyDescent="0.25">
      <c r="A2808" t="str">
        <f>HYPERLINK("http://www.corstruth.com.au/SA/313503_RD306_cs.png","313503_RD306_A4")</f>
        <v>313503_RD306_A4</v>
      </c>
      <c r="B2808" t="str">
        <f>HYPERLINK("http://www.corstruth.com.au/SA/PNG2/313503_RD306_cs.png","313503_RD306_0.25m Bins")</f>
        <v>313503_RD306_0.25m Bins</v>
      </c>
      <c r="C2808" t="str">
        <f>HYPERLINK("http://www.corstruth.com.au/SA/CSV/313503_RD306.csv","313503_RD306_CSV File 1m Bins")</f>
        <v>313503_RD306_CSV File 1m Bins</v>
      </c>
      <c r="D2808">
        <v>313503</v>
      </c>
      <c r="E2808" t="s">
        <v>2163</v>
      </c>
      <c r="F2808" t="str">
        <f>HYPERLINK("https://drillhole.pir.sa.gov.au/Details.aspx?DRILLHOLE_NO=313503","Geol Survey Link")</f>
        <v>Geol Survey Link</v>
      </c>
      <c r="I2808">
        <v>-30.452100000000002</v>
      </c>
      <c r="J2808">
        <v>136.85</v>
      </c>
      <c r="K2808" t="str">
        <f>HYPERLINK("https://sarigdata.pir.sa.gov.au/nvcl/NVCLDataServices/mosaic.html?datasetid=7ce55efb-546c-4ebb-9e99-bb2dbf76571","313503_RD306_Core Image")</f>
        <v>313503_RD306_Core Image</v>
      </c>
    </row>
    <row r="2809" spans="1:11" x14ac:dyDescent="0.25">
      <c r="A2809" t="str">
        <f>HYPERLINK("http://www.corstruth.com.au/SA/313504_RD452_cs.png","313504_RD452_A4")</f>
        <v>313504_RD452_A4</v>
      </c>
      <c r="B2809" t="str">
        <f>HYPERLINK("http://www.corstruth.com.au/SA/PNG2/313504_RD452_cs.png","313504_RD452_0.25m Bins")</f>
        <v>313504_RD452_0.25m Bins</v>
      </c>
      <c r="C2809" t="str">
        <f>HYPERLINK("http://www.corstruth.com.au/SA/CSV/313504_RD452.csv","313504_RD452_CSV File 1m Bins")</f>
        <v>313504_RD452_CSV File 1m Bins</v>
      </c>
      <c r="D2809">
        <v>313504</v>
      </c>
      <c r="E2809" t="s">
        <v>2163</v>
      </c>
      <c r="F2809" t="str">
        <f>HYPERLINK("https://drillhole.pir.sa.gov.au/Details.aspx?DRILLHOLE_NO=313504","Geol Survey Link")</f>
        <v>Geol Survey Link</v>
      </c>
      <c r="I2809">
        <v>-30.4681</v>
      </c>
      <c r="J2809">
        <v>136.88</v>
      </c>
      <c r="K2809" t="str">
        <f>HYPERLINK("https://sarigdata.pir.sa.gov.au/nvcl/NVCLDataServices/mosaic.html?datasetid=ce7ce29c-b50d-44e8-9fef-3e7c8e8626a","313504_RD452_Core Image")</f>
        <v>313504_RD452_Core Image</v>
      </c>
    </row>
    <row r="2810" spans="1:11" x14ac:dyDescent="0.25">
      <c r="A2810" t="str">
        <f>HYPERLINK("http://www.corstruth.com.au/SA/313895_RD453_cs.png","313895_RD453_A4")</f>
        <v>313895_RD453_A4</v>
      </c>
      <c r="B2810" t="str">
        <f>HYPERLINK("http://www.corstruth.com.au/SA/PNG2/313895_RD453_cs.png","313895_RD453_0.25m Bins")</f>
        <v>313895_RD453_0.25m Bins</v>
      </c>
      <c r="C2810" t="str">
        <f>HYPERLINK("http://www.corstruth.com.au/SA/CSV/313895_RD453.csv","313895_RD453_CSV File 1m Bins")</f>
        <v>313895_RD453_CSV File 1m Bins</v>
      </c>
      <c r="D2810">
        <v>313895</v>
      </c>
      <c r="E2810" t="s">
        <v>2163</v>
      </c>
      <c r="F2810" t="str">
        <f>HYPERLINK("https://drillhole.pir.sa.gov.au/Details.aspx?DRILLHOLE_NO=313895","Geol Survey Link")</f>
        <v>Geol Survey Link</v>
      </c>
      <c r="I2810">
        <v>-30.4665</v>
      </c>
      <c r="J2810">
        <v>136.88800000000001</v>
      </c>
      <c r="K2810" t="str">
        <f>HYPERLINK("https://sarigdata.pir.sa.gov.au/nvcl/NVCLDataServices/mosaic.html?datasetid=03333152-cbee-4d7f-b85d-6663864af9e","313895_RD453_Core Image")</f>
        <v>313895_RD453_Core Image</v>
      </c>
    </row>
    <row r="2811" spans="1:11" x14ac:dyDescent="0.25">
      <c r="A2811" t="str">
        <f>HYPERLINK("http://www.corstruth.com.au/SA/313896_RD454W2_cs.png","313896_RD454W2_A4")</f>
        <v>313896_RD454W2_A4</v>
      </c>
      <c r="B2811" t="str">
        <f>HYPERLINK("http://www.corstruth.com.au/SA/PNG2/313896_RD454W2_cs.png","313896_RD454W2_0.25m Bins")</f>
        <v>313896_RD454W2_0.25m Bins</v>
      </c>
      <c r="C2811" t="str">
        <f>HYPERLINK("http://www.corstruth.com.au/SA/CSV/313896_RD454W2.csv","313896_RD454W2_CSV File 1m Bins")</f>
        <v>313896_RD454W2_CSV File 1m Bins</v>
      </c>
      <c r="D2811">
        <v>313896</v>
      </c>
      <c r="E2811" t="s">
        <v>2163</v>
      </c>
      <c r="F2811" t="str">
        <f>HYPERLINK("https://drillhole.pir.sa.gov.au/Details.aspx?DRILLHOLE_NO=313896","Geol Survey Link")</f>
        <v>Geol Survey Link</v>
      </c>
      <c r="I2811">
        <v>-30.4648</v>
      </c>
      <c r="J2811">
        <v>136.89599999999999</v>
      </c>
      <c r="K2811" t="str">
        <f>HYPERLINK("https://sarigdata.pir.sa.gov.au/nvcl/NVCLDataServices/mosaic.html?datasetid=93f24b06-adac-478b-9fa5-d9991a4ad7e","313896_RD454W2_Core Image")</f>
        <v>313896_RD454W2_Core Image</v>
      </c>
    </row>
    <row r="2812" spans="1:11" x14ac:dyDescent="0.25">
      <c r="A2812" t="str">
        <f>HYPERLINK("http://www.corstruth.com.au/SA/313897_RD478_cs.png","313897_RD478_A4")</f>
        <v>313897_RD478_A4</v>
      </c>
      <c r="B2812" t="str">
        <f>HYPERLINK("http://www.corstruth.com.au/SA/PNG2/313897_RD478_cs.png","313897_RD478_0.25m Bins")</f>
        <v>313897_RD478_0.25m Bins</v>
      </c>
      <c r="C2812" t="str">
        <f>HYPERLINK("http://www.corstruth.com.au/SA/CSV/313897_RD478.csv","313897_RD478_CSV File 1m Bins")</f>
        <v>313897_RD478_CSV File 1m Bins</v>
      </c>
      <c r="D2812">
        <v>313897</v>
      </c>
      <c r="E2812" t="s">
        <v>2163</v>
      </c>
      <c r="F2812" t="str">
        <f>HYPERLINK("https://drillhole.pir.sa.gov.au/Details.aspx?DRILLHOLE_NO=313897","Geol Survey Link")</f>
        <v>Geol Survey Link</v>
      </c>
      <c r="I2812">
        <v>-30.422699999999999</v>
      </c>
      <c r="J2812">
        <v>136.88399999999999</v>
      </c>
      <c r="K2812" t="str">
        <f>HYPERLINK("https://sarigdata.pir.sa.gov.au/nvcl/NVCLDataServices/mosaic.html?datasetid=9fb3bc16-9cce-4e96-85ca-89a9ef129dd","313897_RD478_Core Image")</f>
        <v>313897_RD478_Core Image</v>
      </c>
    </row>
    <row r="2813" spans="1:11" x14ac:dyDescent="0.25">
      <c r="A2813" t="str">
        <f>HYPERLINK("http://www.corstruth.com.au/SA/313898_RD479_cs.png","313898_RD479_A4")</f>
        <v>313898_RD479_A4</v>
      </c>
      <c r="B2813" t="str">
        <f>HYPERLINK("http://www.corstruth.com.au/SA/PNG2/313898_RD479_cs.png","313898_RD479_0.25m Bins")</f>
        <v>313898_RD479_0.25m Bins</v>
      </c>
      <c r="C2813" t="str">
        <f>HYPERLINK("http://www.corstruth.com.au/SA/CSV/313898_RD479.csv","313898_RD479_CSV File 1m Bins")</f>
        <v>313898_RD479_CSV File 1m Bins</v>
      </c>
      <c r="D2813">
        <v>313898</v>
      </c>
      <c r="E2813" t="s">
        <v>2163</v>
      </c>
      <c r="F2813" t="str">
        <f>HYPERLINK("https://drillhole.pir.sa.gov.au/Details.aspx?DRILLHOLE_NO=313898","Geol Survey Link")</f>
        <v>Geol Survey Link</v>
      </c>
      <c r="I2813">
        <v>-30.420999999999999</v>
      </c>
      <c r="J2813">
        <v>136.892</v>
      </c>
      <c r="K2813" t="str">
        <f>HYPERLINK("https://sarigdata.pir.sa.gov.au/nvcl/NVCLDataServices/mosaic.html?datasetid=ec02d321-1b30-45f6-9f9f-b75b61131eb","313898_RD479_Core Image")</f>
        <v>313898_RD479_Core Image</v>
      </c>
    </row>
    <row r="2814" spans="1:11" x14ac:dyDescent="0.25">
      <c r="A2814" t="str">
        <f>HYPERLINK("http://www.corstruth.com.au/SA/313899_RD516_cs.png","313899_RD516_A4")</f>
        <v>313899_RD516_A4</v>
      </c>
      <c r="B2814" t="str">
        <f>HYPERLINK("http://www.corstruth.com.au/SA/PNG2/313899_RD516_cs.png","313899_RD516_0.25m Bins")</f>
        <v>313899_RD516_0.25m Bins</v>
      </c>
      <c r="C2814" t="str">
        <f>HYPERLINK("http://www.corstruth.com.au/SA/CSV/313899_RD516.csv","313899_RD516_CSV File 1m Bins")</f>
        <v>313899_RD516_CSV File 1m Bins</v>
      </c>
      <c r="D2814">
        <v>313899</v>
      </c>
      <c r="E2814" t="s">
        <v>2163</v>
      </c>
      <c r="F2814" t="str">
        <f>HYPERLINK("https://drillhole.pir.sa.gov.au/Details.aspx?DRILLHOLE_NO=313899","Geol Survey Link")</f>
        <v>Geol Survey Link</v>
      </c>
      <c r="I2814">
        <v>-30.417000000000002</v>
      </c>
      <c r="J2814">
        <v>136.84</v>
      </c>
      <c r="K2814" t="str">
        <f>HYPERLINK("https://sarigdata.pir.sa.gov.au/nvcl/NVCLDataServices/mosaic.html?datasetid=774fd79b-33ad-4e55-a455-8bd507c6850","313899_RD516_Core Image")</f>
        <v>313899_RD516_Core Image</v>
      </c>
    </row>
    <row r="2815" spans="1:11" x14ac:dyDescent="0.25">
      <c r="A2815" t="str">
        <f>HYPERLINK("http://www.corstruth.com.au/SA/314586_RD19_cs.png","314586_RD19_A4")</f>
        <v>314586_RD19_A4</v>
      </c>
      <c r="B2815" t="str">
        <f>HYPERLINK("http://www.corstruth.com.au/SA/PNG2/314586_RD19_cs.png","314586_RD19_0.25m Bins")</f>
        <v>314586_RD19_0.25m Bins</v>
      </c>
      <c r="C2815" t="str">
        <f>HYPERLINK("http://www.corstruth.com.au/SA/CSV/314586_RD19.csv","314586_RD19_CSV File 1m Bins")</f>
        <v>314586_RD19_CSV File 1m Bins</v>
      </c>
      <c r="D2815">
        <v>314586</v>
      </c>
      <c r="E2815" t="s">
        <v>2163</v>
      </c>
      <c r="F2815" t="str">
        <f>HYPERLINK("https://drillhole.pir.sa.gov.au/Details.aspx?DRILLHOLE_NO=314586","Geol Survey Link")</f>
        <v>Geol Survey Link</v>
      </c>
      <c r="I2815">
        <v>-30.4435</v>
      </c>
      <c r="J2815">
        <v>136.88999999999999</v>
      </c>
      <c r="K2815" t="str">
        <f>HYPERLINK("https://sarigdata.pir.sa.gov.au/nvcl/NVCLDataServices/mosaic.html?datasetid=c1dd7cfc-611a-47eb-85f9-cd6f99b18f0","314586_RD19_Core Image")</f>
        <v>314586_RD19_Core Image</v>
      </c>
    </row>
    <row r="2816" spans="1:11" x14ac:dyDescent="0.25">
      <c r="A2816" t="str">
        <f>HYPERLINK("http://www.corstruth.com.au/SA/314587_RD45_cs.png","314587_RD45_A4")</f>
        <v>314587_RD45_A4</v>
      </c>
      <c r="B2816" t="str">
        <f>HYPERLINK("http://www.corstruth.com.au/SA/PNG2/314587_RD45_cs.png","314587_RD45_0.25m Bins")</f>
        <v>314587_RD45_0.25m Bins</v>
      </c>
      <c r="C2816" t="str">
        <f>HYPERLINK("http://www.corstruth.com.au/SA/CSV/314587_RD45.csv","314587_RD45_CSV File 1m Bins")</f>
        <v>314587_RD45_CSV File 1m Bins</v>
      </c>
      <c r="D2816">
        <v>314587</v>
      </c>
      <c r="E2816" t="s">
        <v>2163</v>
      </c>
      <c r="F2816" t="str">
        <f>HYPERLINK("https://drillhole.pir.sa.gov.au/Details.aspx?DRILLHOLE_NO=314587","Geol Survey Link")</f>
        <v>Geol Survey Link</v>
      </c>
      <c r="I2816">
        <v>-30.445900000000002</v>
      </c>
      <c r="J2816">
        <v>136.88900000000001</v>
      </c>
      <c r="K2816" t="str">
        <f>HYPERLINK("https://sarigdata.pir.sa.gov.au/nvcl/NVCLDataServices/mosaic.html?datasetid=3b458210-a6c6-41e4-a734-79c390cca4e","314587_RD45_Core Image")</f>
        <v>314587_RD45_Core Image</v>
      </c>
    </row>
    <row r="2817" spans="1:11" x14ac:dyDescent="0.25">
      <c r="A2817" t="str">
        <f>HYPERLINK("http://www.corstruth.com.au/SA/314588_RD517_cs.png","314588_RD517_A4")</f>
        <v>314588_RD517_A4</v>
      </c>
      <c r="B2817" t="str">
        <f>HYPERLINK("http://www.corstruth.com.au/SA/PNG2/314588_RD517_cs.png","314588_RD517_0.25m Bins")</f>
        <v>314588_RD517_0.25m Bins</v>
      </c>
      <c r="C2817" t="str">
        <f>HYPERLINK("http://www.corstruth.com.au/SA/CSV/314588_RD517.csv","314588_RD517_CSV File 1m Bins")</f>
        <v>314588_RD517_CSV File 1m Bins</v>
      </c>
      <c r="D2817">
        <v>314588</v>
      </c>
      <c r="E2817" t="s">
        <v>2163</v>
      </c>
      <c r="F2817" t="str">
        <f>HYPERLINK("https://drillhole.pir.sa.gov.au/Details.aspx?DRILLHOLE_NO=314588","Geol Survey Link")</f>
        <v>Geol Survey Link</v>
      </c>
      <c r="I2817">
        <v>-30.415400000000002</v>
      </c>
      <c r="J2817">
        <v>136.84800000000001</v>
      </c>
      <c r="K2817" t="str">
        <f>HYPERLINK("https://sarigdata.pir.sa.gov.au/nvcl/NVCLDataServices/mosaic.html?datasetid=c95b05bd-acc5-44b1-b252-d0770ebf50b","314588_RD517_Core Image")</f>
        <v>314588_RD517_Core Image</v>
      </c>
    </row>
    <row r="2818" spans="1:11" x14ac:dyDescent="0.25">
      <c r="A2818" t="str">
        <f>HYPERLINK("http://www.corstruth.com.au/SA/314589_RD526_cs.png","314589_RD526_A4")</f>
        <v>314589_RD526_A4</v>
      </c>
      <c r="B2818" t="str">
        <f>HYPERLINK("http://www.corstruth.com.au/SA/PNG2/314589_RD526_cs.png","314589_RD526_0.25m Bins")</f>
        <v>314589_RD526_0.25m Bins</v>
      </c>
      <c r="C2818" t="str">
        <f>HYPERLINK("http://www.corstruth.com.au/SA/CSV/314589_RD526.csv","314589_RD526_CSV File 1m Bins")</f>
        <v>314589_RD526_CSV File 1m Bins</v>
      </c>
      <c r="D2818">
        <v>314589</v>
      </c>
      <c r="E2818" t="s">
        <v>2163</v>
      </c>
      <c r="F2818" t="str">
        <f>HYPERLINK("https://drillhole.pir.sa.gov.au/Details.aspx?DRILLHOLE_NO=314589","Geol Survey Link")</f>
        <v>Geol Survey Link</v>
      </c>
      <c r="I2818">
        <v>-30.464500000000001</v>
      </c>
      <c r="J2818">
        <v>136.86199999999999</v>
      </c>
      <c r="K2818" t="str">
        <f>HYPERLINK("https://sarigdata.pir.sa.gov.au/nvcl/NVCLDataServices/mosaic.html?datasetid=c7135f15-dce2-4b8f-a4a1-b095442aae1","314589_RD526_Core Image")</f>
        <v>314589_RD526_Core Image</v>
      </c>
    </row>
    <row r="2819" spans="1:11" x14ac:dyDescent="0.25">
      <c r="A2819" t="str">
        <f>HYPERLINK("http://www.corstruth.com.au/SA/314590_RD781_cs.png","314590_RD781_A4")</f>
        <v>314590_RD781_A4</v>
      </c>
      <c r="B2819" t="str">
        <f>HYPERLINK("http://www.corstruth.com.au/SA/PNG2/314590_RD781_cs.png","314590_RD781_0.25m Bins")</f>
        <v>314590_RD781_0.25m Bins</v>
      </c>
      <c r="C2819" t="str">
        <f>HYPERLINK("http://www.corstruth.com.au/SA/CSV/314590_RD781.csv","314590_RD781_CSV File 1m Bins")</f>
        <v>314590_RD781_CSV File 1m Bins</v>
      </c>
      <c r="D2819">
        <v>314590</v>
      </c>
      <c r="E2819" t="s">
        <v>2163</v>
      </c>
      <c r="F2819" t="str">
        <f>HYPERLINK("https://drillhole.pir.sa.gov.au/Details.aspx?DRILLHOLE_NO=314590","Geol Survey Link")</f>
        <v>Geol Survey Link</v>
      </c>
      <c r="I2819">
        <v>-30.446300000000001</v>
      </c>
      <c r="J2819">
        <v>136.88200000000001</v>
      </c>
      <c r="K2819" t="str">
        <f>HYPERLINK("https://sarigdata.pir.sa.gov.au/nvcl/NVCLDataServices/mosaic.html?datasetid=399e7ea4-f4be-4531-9be2-715b2c90e9e","314590_RD781_Core Image")</f>
        <v>314590_RD781_Core Image</v>
      </c>
    </row>
    <row r="2820" spans="1:11" x14ac:dyDescent="0.25">
      <c r="A2820" t="str">
        <f>HYPERLINK("http://www.corstruth.com.au/SA/314591_RD982_cs.png","314591_RD982_A4")</f>
        <v>314591_RD982_A4</v>
      </c>
      <c r="B2820" t="str">
        <f>HYPERLINK("http://www.corstruth.com.au/SA/PNG2/314591_RD982_cs.png","314591_RD982_0.25m Bins")</f>
        <v>314591_RD982_0.25m Bins</v>
      </c>
      <c r="C2820" t="str">
        <f>HYPERLINK("http://www.corstruth.com.au/SA/CSV/314591_RD982.csv","314591_RD982_CSV File 1m Bins")</f>
        <v>314591_RD982_CSV File 1m Bins</v>
      </c>
      <c r="D2820">
        <v>314591</v>
      </c>
      <c r="E2820" t="s">
        <v>2163</v>
      </c>
      <c r="F2820" t="str">
        <f>HYPERLINK("https://drillhole.pir.sa.gov.au/Details.aspx?DRILLHOLE_NO=314591","Geol Survey Link")</f>
        <v>Geol Survey Link</v>
      </c>
      <c r="I2820">
        <v>-30.451699999999999</v>
      </c>
      <c r="J2820">
        <v>136.905</v>
      </c>
      <c r="K2820" t="str">
        <f>HYPERLINK("https://sarigdata.pir.sa.gov.au/nvcl/NVCLDataServices/mosaic.html?datasetid=e4a5b5d1-0376-4b35-8ccc-4bc447703fd","314591_RD982_Core Image")</f>
        <v>314591_RD982_Core Image</v>
      </c>
    </row>
    <row r="2821" spans="1:11" x14ac:dyDescent="0.25">
      <c r="A2821" t="str">
        <f>HYPERLINK("http://www.corstruth.com.au/SA/3156_Mt_Christie_CD1_cs.png","3156_Mt Christie_CD1_A4")</f>
        <v>3156_Mt Christie_CD1_A4</v>
      </c>
      <c r="B2821" t="str">
        <f>HYPERLINK("http://www.corstruth.com.au/SA/PNG2/3156_Mt_Christie_CD1_cs.png","3156_Mt Christie_CD1_0.25m Bins")</f>
        <v>3156_Mt Christie_CD1_0.25m Bins</v>
      </c>
      <c r="C2821" t="str">
        <f>HYPERLINK("http://www.corstruth.com.au/SA/CSV/3156_Mt_Christie_CD1.csv","3156_Mt Christie_CD1_CSV File 1m Bins")</f>
        <v>3156_Mt Christie_CD1_CSV File 1m Bins</v>
      </c>
      <c r="D2821">
        <v>3156</v>
      </c>
      <c r="E2821" t="s">
        <v>2163</v>
      </c>
      <c r="F2821" t="str">
        <f>HYPERLINK("https://drillhole.pir.sa.gov.au/Details.aspx?DRILLHOLE_NO=3156","Geol Survey Link")</f>
        <v>Geol Survey Link</v>
      </c>
      <c r="I2821">
        <v>-30.302600000000002</v>
      </c>
      <c r="J2821">
        <v>133.51300000000001</v>
      </c>
      <c r="K2821" t="str">
        <f>HYPERLINK("https://sarigdata.pir.sa.gov.au/nvcl/NVCLDataServices/mosaic.html?datasetid=b405176b-36f8-48aa-b6f6-1454a79789f","3156_Mt Christie_CD1_Core Image")</f>
        <v>3156_Mt Christie_CD1_Core Image</v>
      </c>
    </row>
    <row r="2822" spans="1:11" x14ac:dyDescent="0.25">
      <c r="A2822" t="str">
        <f>HYPERLINK("http://www.corstruth.com.au/SA/315987_RD120_cs.png","315987_RD120_A4")</f>
        <v>315987_RD120_A4</v>
      </c>
      <c r="B2822" t="str">
        <f>HYPERLINK("http://www.corstruth.com.au/SA/PNG2/315987_RD120_cs.png","315987_RD120_0.25m Bins")</f>
        <v>315987_RD120_0.25m Bins</v>
      </c>
      <c r="C2822" t="str">
        <f>HYPERLINK("http://www.corstruth.com.au/SA/CSV/315987_RD120.csv","315987_RD120_CSV File 1m Bins")</f>
        <v>315987_RD120_CSV File 1m Bins</v>
      </c>
      <c r="D2822">
        <v>315987</v>
      </c>
      <c r="E2822" t="s">
        <v>2163</v>
      </c>
      <c r="F2822" t="str">
        <f>HYPERLINK("https://drillhole.pir.sa.gov.au/Details.aspx?DRILLHOLE_NO=315987","Geol Survey Link")</f>
        <v>Geol Survey Link</v>
      </c>
      <c r="I2822">
        <v>-30.447199999999999</v>
      </c>
      <c r="J2822">
        <v>136.874</v>
      </c>
      <c r="K2822" t="str">
        <f>HYPERLINK("https://sarigdata.pir.sa.gov.au/nvcl/NVCLDataServices/mosaic.html?datasetid=bba8c3c1-7119-4fd6-aa29-46166bbb77a","315987_RD120_Core Image")</f>
        <v>315987_RD120_Core Image</v>
      </c>
    </row>
    <row r="2823" spans="1:11" x14ac:dyDescent="0.25">
      <c r="A2823" t="str">
        <f>HYPERLINK("http://www.corstruth.com.au/SA/315988_RD160_cs.png","315988_RD160_A4")</f>
        <v>315988_RD160_A4</v>
      </c>
      <c r="B2823" t="str">
        <f>HYPERLINK("http://www.corstruth.com.au/SA/PNG2/315988_RD160_cs.png","315988_RD160_0.25m Bins")</f>
        <v>315988_RD160_0.25m Bins</v>
      </c>
      <c r="C2823" t="str">
        <f>HYPERLINK("http://www.corstruth.com.au/SA/CSV/315988_RD160.csv","315988_RD160_CSV File 1m Bins")</f>
        <v>315988_RD160_CSV File 1m Bins</v>
      </c>
      <c r="D2823">
        <v>315988</v>
      </c>
      <c r="E2823" t="s">
        <v>2163</v>
      </c>
      <c r="F2823" t="str">
        <f>HYPERLINK("https://drillhole.pir.sa.gov.au/Details.aspx?DRILLHOLE_NO=315988","Geol Survey Link")</f>
        <v>Geol Survey Link</v>
      </c>
      <c r="I2823">
        <v>-30.441400000000002</v>
      </c>
      <c r="J2823">
        <v>136.893</v>
      </c>
      <c r="K2823" t="str">
        <f>HYPERLINK("https://sarigdata.pir.sa.gov.au/nvcl/NVCLDataServices/mosaic.html?datasetid=3f672986-5a13-4172-8db0-25ef556803b","315988_RD160_Core Image")</f>
        <v>315988_RD160_Core Image</v>
      </c>
    </row>
    <row r="2824" spans="1:11" x14ac:dyDescent="0.25">
      <c r="A2824" t="str">
        <f>HYPERLINK("http://www.corstruth.com.au/SA/315989_RD220_cs.png","315989_RD220_A4")</f>
        <v>315989_RD220_A4</v>
      </c>
      <c r="B2824" t="str">
        <f>HYPERLINK("http://www.corstruth.com.au/SA/PNG2/315989_RD220_cs.png","315989_RD220_0.25m Bins")</f>
        <v>315989_RD220_0.25m Bins</v>
      </c>
      <c r="C2824" t="str">
        <f>HYPERLINK("http://www.corstruth.com.au/SA/CSV/315989_RD220.csv","315989_RD220_CSV File 1m Bins")</f>
        <v>315989_RD220_CSV File 1m Bins</v>
      </c>
      <c r="D2824">
        <v>315989</v>
      </c>
      <c r="E2824" t="s">
        <v>2163</v>
      </c>
      <c r="F2824" t="str">
        <f>HYPERLINK("https://drillhole.pir.sa.gov.au/Details.aspx?DRILLHOLE_NO=315989","Geol Survey Link")</f>
        <v>Geol Survey Link</v>
      </c>
      <c r="I2824">
        <v>-30.445699999999999</v>
      </c>
      <c r="J2824">
        <v>136.916</v>
      </c>
      <c r="K2824" t="str">
        <f>HYPERLINK("https://sarigdata.pir.sa.gov.au/nvcl/NVCLDataServices/mosaic.html?datasetid=86c1d94f-6347-4441-adf1-bfc9de49093","315989_RD220_Core Image")</f>
        <v>315989_RD220_Core Image</v>
      </c>
    </row>
    <row r="2825" spans="1:11" x14ac:dyDescent="0.25">
      <c r="A2825" t="str">
        <f>HYPERLINK("http://www.corstruth.com.au/SA/315990_RD28_cs.png","315990_RD28_A4")</f>
        <v>315990_RD28_A4</v>
      </c>
      <c r="B2825" t="str">
        <f>HYPERLINK("http://www.corstruth.com.au/SA/PNG2/315990_RD28_cs.png","315990_RD28_0.25m Bins")</f>
        <v>315990_RD28_0.25m Bins</v>
      </c>
      <c r="C2825" t="str">
        <f>HYPERLINK("http://www.corstruth.com.au/SA/CSV/315990_RD28.csv","315990_RD28_CSV File 1m Bins")</f>
        <v>315990_RD28_CSV File 1m Bins</v>
      </c>
      <c r="D2825">
        <v>315990</v>
      </c>
      <c r="E2825" t="s">
        <v>2163</v>
      </c>
      <c r="F2825" t="str">
        <f>HYPERLINK("https://drillhole.pir.sa.gov.au/Details.aspx?DRILLHOLE_NO=315990","Geol Survey Link")</f>
        <v>Geol Survey Link</v>
      </c>
      <c r="I2825">
        <v>-30.438400000000001</v>
      </c>
      <c r="J2825">
        <v>136.88</v>
      </c>
      <c r="K2825" t="str">
        <f>HYPERLINK("https://sarigdata.pir.sa.gov.au/nvcl/NVCLDataServices/mosaic.html?datasetid=199a9bc1-59e8-4f1a-9b95-8f97b0feed0","315990_RD28_Core Image")</f>
        <v>315990_RD28_Core Image</v>
      </c>
    </row>
    <row r="2826" spans="1:11" x14ac:dyDescent="0.25">
      <c r="A2826" t="str">
        <f>HYPERLINK("http://www.corstruth.com.au/SA/315991_RD29_cs.png","315991_RD29_A4")</f>
        <v>315991_RD29_A4</v>
      </c>
      <c r="B2826" t="str">
        <f>HYPERLINK("http://www.corstruth.com.au/SA/PNG2/315991_RD29_cs.png","315991_RD29_0.25m Bins")</f>
        <v>315991_RD29_0.25m Bins</v>
      </c>
      <c r="C2826" t="str">
        <f>HYPERLINK("http://www.corstruth.com.au/SA/CSV/315991_RD29.csv","315991_RD29_CSV File 1m Bins")</f>
        <v>315991_RD29_CSV File 1m Bins</v>
      </c>
      <c r="D2826">
        <v>315991</v>
      </c>
      <c r="E2826" t="s">
        <v>2163</v>
      </c>
      <c r="F2826" t="str">
        <f>HYPERLINK("https://drillhole.pir.sa.gov.au/Details.aspx?DRILLHOLE_NO=315991","Geol Survey Link")</f>
        <v>Geol Survey Link</v>
      </c>
      <c r="I2826">
        <v>-30.436699999999998</v>
      </c>
      <c r="J2826">
        <v>136.88800000000001</v>
      </c>
      <c r="K2826" t="str">
        <f>HYPERLINK("https://sarigdata.pir.sa.gov.au/nvcl/NVCLDataServices/mosaic.html?datasetid=70f1a9ae-0771-46ac-80ab-5c91f645efb","315991_RD29_Core Image")</f>
        <v>315991_RD29_Core Image</v>
      </c>
    </row>
    <row r="2827" spans="1:11" x14ac:dyDescent="0.25">
      <c r="A2827" t="str">
        <f>HYPERLINK("http://www.corstruth.com.au/SA/315992_RD31A_cs.png","315992_RD31A_A4")</f>
        <v>315992_RD31A_A4</v>
      </c>
      <c r="B2827" t="str">
        <f>HYPERLINK("http://www.corstruth.com.au/SA/PNG2/315992_RD31A_cs.png","315992_RD31A_0.25m Bins")</f>
        <v>315992_RD31A_0.25m Bins</v>
      </c>
      <c r="C2827" t="str">
        <f>HYPERLINK("http://www.corstruth.com.au/SA/CSV/315992_RD31A.csv","315992_RD31A_CSV File 1m Bins")</f>
        <v>315992_RD31A_CSV File 1m Bins</v>
      </c>
      <c r="D2827">
        <v>315992</v>
      </c>
      <c r="E2827" t="s">
        <v>2163</v>
      </c>
      <c r="F2827" t="str">
        <f>HYPERLINK("https://drillhole.pir.sa.gov.au/Details.aspx?DRILLHOLE_NO=315992","Geol Survey Link")</f>
        <v>Geol Survey Link</v>
      </c>
      <c r="I2827">
        <v>-30.449000000000002</v>
      </c>
      <c r="J2827">
        <v>136.9</v>
      </c>
      <c r="K2827" t="str">
        <f>HYPERLINK("https://sarigdata.pir.sa.gov.au/nvcl/NVCLDataServices/mosaic.html?datasetid=55052fb8-7129-41d3-b593-5e1770e001d","315992_RD31A_Core Image")</f>
        <v>315992_RD31A_Core Image</v>
      </c>
    </row>
    <row r="2828" spans="1:11" x14ac:dyDescent="0.25">
      <c r="A2828" t="str">
        <f>HYPERLINK("http://www.corstruth.com.au/SA/316246_Tarcoola_L2-2B_cs.png","316246_Tarcoola_L2-2B_A4")</f>
        <v>316246_Tarcoola_L2-2B_A4</v>
      </c>
      <c r="B2828" t="str">
        <f>HYPERLINK("http://www.corstruth.com.au/SA/PNG2/316246_Tarcoola_L2-2B_cs.png","316246_Tarcoola_L2-2B_0.25m Bins")</f>
        <v>316246_Tarcoola_L2-2B_0.25m Bins</v>
      </c>
      <c r="C2828" t="str">
        <f>HYPERLINK("http://www.corstruth.com.au/SA/CSV/316246_Tarcoola_L2-2B.csv","316246_Tarcoola_L2-2B_CSV File 1m Bins")</f>
        <v>316246_Tarcoola_L2-2B_CSV File 1m Bins</v>
      </c>
      <c r="D2828">
        <v>316246</v>
      </c>
      <c r="E2828" t="s">
        <v>2163</v>
      </c>
      <c r="F2828" t="str">
        <f>HYPERLINK("https://drillhole.pir.sa.gov.au/Details.aspx?DRILLHOLE_NO=316246","Geol Survey Link")</f>
        <v>Geol Survey Link</v>
      </c>
      <c r="I2828">
        <v>-30.7088</v>
      </c>
      <c r="J2828">
        <v>134.53399999999999</v>
      </c>
      <c r="K2828" t="str">
        <f>HYPERLINK("https://sarigdata.pir.sa.gov.au/nvcl/NVCLDataServices/mosaic.html?datasetid=b33fe6d9-d995-45b5-a8d0-b129822fa11","316246_Tarcoola_L2-2B_Core Image")</f>
        <v>316246_Tarcoola_L2-2B_Core Image</v>
      </c>
    </row>
    <row r="2829" spans="1:11" x14ac:dyDescent="0.25">
      <c r="A2829" t="str">
        <f>HYPERLINK("http://www.corstruth.com.au/SA/316960_RD104_cs.png","316960_RD104_A4")</f>
        <v>316960_RD104_A4</v>
      </c>
      <c r="B2829" t="str">
        <f>HYPERLINK("http://www.corstruth.com.au/SA/PNG2/316960_RD104_cs.png","316960_RD104_0.25m Bins")</f>
        <v>316960_RD104_0.25m Bins</v>
      </c>
      <c r="C2829" t="str">
        <f>HYPERLINK("http://www.corstruth.com.au/SA/CSV/316960_RD104.csv","316960_RD104_CSV File 1m Bins")</f>
        <v>316960_RD104_CSV File 1m Bins</v>
      </c>
      <c r="D2829">
        <v>316960</v>
      </c>
      <c r="E2829" t="s">
        <v>2163</v>
      </c>
      <c r="F2829" t="str">
        <f>HYPERLINK("https://drillhole.pir.sa.gov.au/Details.aspx?DRILLHOLE_NO=316960","Geol Survey Link")</f>
        <v>Geol Survey Link</v>
      </c>
      <c r="I2829">
        <v>-30.426100000000002</v>
      </c>
      <c r="J2829">
        <v>136.86799999999999</v>
      </c>
      <c r="K2829" t="str">
        <f>HYPERLINK("https://sarigdata.pir.sa.gov.au/nvcl/NVCLDataServices/mosaic.html?datasetid=71dd79b6-a302-4f8b-b164-27d3634b4dc","316960_RD104_Core Image")</f>
        <v>316960_RD104_Core Image</v>
      </c>
    </row>
    <row r="2830" spans="1:11" x14ac:dyDescent="0.25">
      <c r="A2830" t="str">
        <f>HYPERLINK("http://www.corstruth.com.au/SA/316961_RD155_cs.png","316961_RD155_A4")</f>
        <v>316961_RD155_A4</v>
      </c>
      <c r="B2830" t="str">
        <f>HYPERLINK("http://www.corstruth.com.au/SA/PNG2/316961_RD155_cs.png","316961_RD155_0.25m Bins")</f>
        <v>316961_RD155_0.25m Bins</v>
      </c>
      <c r="C2830" t="str">
        <f>HYPERLINK("http://www.corstruth.com.au/SA/CSV/316961_RD155.csv","316961_RD155_CSV File 1m Bins")</f>
        <v>316961_RD155_CSV File 1m Bins</v>
      </c>
      <c r="D2830">
        <v>316961</v>
      </c>
      <c r="E2830" t="s">
        <v>2163</v>
      </c>
      <c r="F2830" t="str">
        <f>HYPERLINK("https://drillhole.pir.sa.gov.au/Details.aspx?DRILLHOLE_NO=316961","Geol Survey Link")</f>
        <v>Geol Survey Link</v>
      </c>
      <c r="I2830">
        <v>-30.435199999999998</v>
      </c>
      <c r="J2830">
        <v>136.869</v>
      </c>
      <c r="K2830" t="str">
        <f>HYPERLINK("https://sarigdata.pir.sa.gov.au/nvcl/NVCLDataServices/mosaic.html?datasetid=6593b854-11df-4d75-9cfc-273e7be6597","316961_RD155_Core Image")</f>
        <v>316961_RD155_Core Image</v>
      </c>
    </row>
    <row r="2831" spans="1:11" x14ac:dyDescent="0.25">
      <c r="A2831" t="str">
        <f>HYPERLINK("http://www.corstruth.com.au/SA/316962_RD181_cs.png","316962_RD181_A4")</f>
        <v>316962_RD181_A4</v>
      </c>
      <c r="B2831" t="str">
        <f>HYPERLINK("http://www.corstruth.com.au/SA/PNG2/316962_RD181_cs.png","316962_RD181_0.25m Bins")</f>
        <v>316962_RD181_0.25m Bins</v>
      </c>
      <c r="C2831" t="str">
        <f>HYPERLINK("http://www.corstruth.com.au/SA/CSV/316962_RD181.csv","316962_RD181_CSV File 1m Bins")</f>
        <v>316962_RD181_CSV File 1m Bins</v>
      </c>
      <c r="D2831">
        <v>316962</v>
      </c>
      <c r="E2831" t="s">
        <v>2163</v>
      </c>
      <c r="F2831" t="str">
        <f>HYPERLINK("https://drillhole.pir.sa.gov.au/Details.aspx?DRILLHOLE_NO=316962","Geol Survey Link")</f>
        <v>Geol Survey Link</v>
      </c>
      <c r="I2831">
        <v>-30.4207</v>
      </c>
      <c r="J2831">
        <v>136.858</v>
      </c>
      <c r="K2831" t="str">
        <f>HYPERLINK("https://sarigdata.pir.sa.gov.au/nvcl/NVCLDataServices/mosaic.html?datasetid=149be38e-ba98-4050-b287-d3275f1902e","316962_RD181_Core Image")</f>
        <v>316962_RD181_Core Image</v>
      </c>
    </row>
    <row r="2832" spans="1:11" x14ac:dyDescent="0.25">
      <c r="A2832" t="str">
        <f>HYPERLINK("http://www.corstruth.com.au/SA/316963_RD39W1_cs.png","316963_RD39W1_A4")</f>
        <v>316963_RD39W1_A4</v>
      </c>
      <c r="B2832" t="str">
        <f>HYPERLINK("http://www.corstruth.com.au/SA/PNG2/316963_RD39W1_cs.png","316963_RD39W1_0.25m Bins")</f>
        <v>316963_RD39W1_0.25m Bins</v>
      </c>
      <c r="C2832" t="str">
        <f>HYPERLINK("http://www.corstruth.com.au/SA/CSV/316963_RD39W1.csv","316963_RD39W1_CSV File 1m Bins")</f>
        <v>316963_RD39W1_CSV File 1m Bins</v>
      </c>
      <c r="D2832">
        <v>316963</v>
      </c>
      <c r="E2832" t="s">
        <v>2163</v>
      </c>
      <c r="F2832" t="str">
        <f>HYPERLINK("https://drillhole.pir.sa.gov.au/Details.aspx?DRILLHOLE_NO=316963","Geol Survey Link")</f>
        <v>Geol Survey Link</v>
      </c>
      <c r="I2832">
        <v>-30.4331</v>
      </c>
      <c r="J2832">
        <v>136.87</v>
      </c>
      <c r="K2832" t="str">
        <f>HYPERLINK("https://sarigdata.pir.sa.gov.au/nvcl/NVCLDataServices/mosaic.html?datasetid=9fb73797-ffd2-46df-a98a-36ad70608fc","316963_RD39W1_Core Image")</f>
        <v>316963_RD39W1_Core Image</v>
      </c>
    </row>
    <row r="2833" spans="1:11" x14ac:dyDescent="0.25">
      <c r="A2833" t="str">
        <f>HYPERLINK("http://www.corstruth.com.au/SA/316964_RD57_cs.png","316964_RD57_A4")</f>
        <v>316964_RD57_A4</v>
      </c>
      <c r="B2833" t="str">
        <f>HYPERLINK("http://www.corstruth.com.au/SA/PNG2/316964_RD57_cs.png","316964_RD57_0.25m Bins")</f>
        <v>316964_RD57_0.25m Bins</v>
      </c>
      <c r="C2833" t="str">
        <f>HYPERLINK("http://www.corstruth.com.au/SA/CSV/316964_RD57.csv","316964_RD57_CSV File 1m Bins")</f>
        <v>316964_RD57_CSV File 1m Bins</v>
      </c>
      <c r="D2833">
        <v>316964</v>
      </c>
      <c r="E2833" t="s">
        <v>2163</v>
      </c>
      <c r="F2833" t="str">
        <f>HYPERLINK("https://drillhole.pir.sa.gov.au/Details.aspx?DRILLHOLE_NO=316964","Geol Survey Link")</f>
        <v>Geol Survey Link</v>
      </c>
      <c r="I2833">
        <v>-30.4314</v>
      </c>
      <c r="J2833">
        <v>136.87799999999999</v>
      </c>
      <c r="K2833" t="str">
        <f>HYPERLINK("https://sarigdata.pir.sa.gov.au/nvcl/NVCLDataServices/mosaic.html?datasetid=7c8e3db5-e781-4612-bb9d-110bce8a19b","316964_RD57_Core Image")</f>
        <v>316964_RD57_Core Image</v>
      </c>
    </row>
    <row r="2834" spans="1:11" x14ac:dyDescent="0.25">
      <c r="A2834" t="str">
        <f>HYPERLINK("http://www.corstruth.com.au/SA/316966_RD121_cs.png","316966_RD121_A4")</f>
        <v>316966_RD121_A4</v>
      </c>
      <c r="B2834" t="str">
        <f>HYPERLINK("http://www.corstruth.com.au/SA/PNG2/316966_RD121_cs.png","316966_RD121_0.25m Bins")</f>
        <v>316966_RD121_0.25m Bins</v>
      </c>
      <c r="C2834" t="str">
        <f>HYPERLINK("http://www.corstruth.com.au/SA/CSV/316966_RD121.csv","316966_RD121_CSV File 1m Bins")</f>
        <v>316966_RD121_CSV File 1m Bins</v>
      </c>
      <c r="D2834">
        <v>316966</v>
      </c>
      <c r="E2834" t="s">
        <v>2163</v>
      </c>
      <c r="F2834" t="str">
        <f>HYPERLINK("https://drillhole.pir.sa.gov.au/Details.aspx?DRILLHOLE_NO=316966","Geol Survey Link")</f>
        <v>Geol Survey Link</v>
      </c>
      <c r="I2834">
        <v>-30.430900000000001</v>
      </c>
      <c r="J2834">
        <v>136.87200000000001</v>
      </c>
      <c r="K2834" t="str">
        <f>HYPERLINK("https://sarigdata.pir.sa.gov.au/nvcl/NVCLDataServices/mosaic.html?datasetid=88ae104a-3b33-44aa-84c7-f7282c98bc1","316966_RD121_Core Image")</f>
        <v>316966_RD121_Core Image</v>
      </c>
    </row>
    <row r="2835" spans="1:11" x14ac:dyDescent="0.25">
      <c r="A2835" t="str">
        <f>HYPERLINK("http://www.corstruth.com.au/SA/317003_GBD002_cs.png","317003_GBD002_A4")</f>
        <v>317003_GBD002_A4</v>
      </c>
      <c r="B2835" t="str">
        <f>HYPERLINK("http://www.corstruth.com.au/SA/PNG2/317003_GBD002_cs.png","317003_GBD002_0.25m Bins")</f>
        <v>317003_GBD002_0.25m Bins</v>
      </c>
      <c r="C2835" t="str">
        <f>HYPERLINK("http://www.corstruth.com.au/SA/CSV/317003_GBD002.csv","317003_GBD002_CSV File 1m Bins")</f>
        <v>317003_GBD002_CSV File 1m Bins</v>
      </c>
      <c r="D2835">
        <v>317003</v>
      </c>
      <c r="E2835" t="s">
        <v>2163</v>
      </c>
      <c r="F2835" t="str">
        <f>HYPERLINK("https://drillhole.pir.sa.gov.au/Details.aspx?DRILLHOLE_NO=317003","Geol Survey Link")</f>
        <v>Geol Survey Link</v>
      </c>
      <c r="I2835">
        <v>-29.586200000000002</v>
      </c>
      <c r="J2835">
        <v>134.017</v>
      </c>
      <c r="K2835" t="str">
        <f>HYPERLINK("https://sarigdata.pir.sa.gov.au/nvcl/NVCLDataServices/mosaic.html?datasetid=15961010-1b10-45b0-b104-2963439b75d","317003_GBD002_Core Image")</f>
        <v>317003_GBD002_Core Image</v>
      </c>
    </row>
    <row r="2836" spans="1:11" x14ac:dyDescent="0.25">
      <c r="A2836" t="str">
        <f>HYPERLINK("http://www.corstruth.com.au/SA/3239_Aristarchus1_cs.png","3239_Aristarchus1_A4")</f>
        <v>3239_Aristarchus1_A4</v>
      </c>
      <c r="B2836" t="str">
        <f>HYPERLINK("http://www.corstruth.com.au/SA/PNG2/3239_Aristarchus1_cs.png","3239_Aristarchus1_0.25m Bins")</f>
        <v>3239_Aristarchus1_0.25m Bins</v>
      </c>
      <c r="C2836" t="str">
        <f>HYPERLINK("http://www.corstruth.com.au/SA/CSV/3239_Aristarchus1.csv","3239_Aristarchus1_CSV File 1m Bins")</f>
        <v>3239_Aristarchus1_CSV File 1m Bins</v>
      </c>
      <c r="D2836">
        <v>3239</v>
      </c>
      <c r="E2836" t="s">
        <v>2163</v>
      </c>
      <c r="F2836" t="str">
        <f>HYPERLINK("https://drillhole.pir.sa.gov.au/Details.aspx?DRILLHOLE_NO=3239","Geol Survey Link")</f>
        <v>Geol Survey Link</v>
      </c>
      <c r="I2836">
        <v>-30.419499999999999</v>
      </c>
      <c r="J2836">
        <v>133.61699999999999</v>
      </c>
      <c r="K2836" t="str">
        <f>HYPERLINK("https://sarigdata.pir.sa.gov.au/nvcl/NVCLDataServices/mosaic.html?datasetid=84d37915-7633-4bc0-8595-2cea9839352","3239_Aristarchus1_Core Image")</f>
        <v>3239_Aristarchus1_Core Image</v>
      </c>
    </row>
    <row r="2837" spans="1:11" x14ac:dyDescent="0.25">
      <c r="A2837" t="str">
        <f>HYPERLINK("http://www.corstruth.com.au/SA/3240_Aristarchus2_cs.png","3240_Aristarchus2_A4")</f>
        <v>3240_Aristarchus2_A4</v>
      </c>
      <c r="B2837" t="str">
        <f>HYPERLINK("http://www.corstruth.com.au/SA/PNG2/3240_Aristarchus2_cs.png","3240_Aristarchus2_0.25m Bins")</f>
        <v>3240_Aristarchus2_0.25m Bins</v>
      </c>
      <c r="C2837" t="str">
        <f>HYPERLINK("http://www.corstruth.com.au/SA/CSV/3240_Aristarchus2.csv","3240_Aristarchus2_CSV File 1m Bins")</f>
        <v>3240_Aristarchus2_CSV File 1m Bins</v>
      </c>
      <c r="D2837">
        <v>3240</v>
      </c>
      <c r="E2837" t="s">
        <v>2163</v>
      </c>
      <c r="F2837" t="str">
        <f>HYPERLINK("https://drillhole.pir.sa.gov.au/Details.aspx?DRILLHOLE_NO=3240","Geol Survey Link")</f>
        <v>Geol Survey Link</v>
      </c>
      <c r="I2837">
        <v>-30.419499999999999</v>
      </c>
      <c r="J2837">
        <v>133.61699999999999</v>
      </c>
      <c r="K2837" t="str">
        <f>HYPERLINK("https://sarigdata.pir.sa.gov.au/nvcl/NVCLDataServices/mosaic.html?datasetid=1b87cb14-c827-4787-819a-dbc3818798f","3240_Aristarchus2_Core Image")</f>
        <v>3240_Aristarchus2_Core Image</v>
      </c>
    </row>
    <row r="2838" spans="1:11" x14ac:dyDescent="0.25">
      <c r="A2838" t="str">
        <f>HYPERLINK("http://www.corstruth.com.au/SA/3241_SkuseHill1_cs.png","3241_SkuseHill1_A4")</f>
        <v>3241_SkuseHill1_A4</v>
      </c>
      <c r="B2838" t="str">
        <f>HYPERLINK("http://www.corstruth.com.au/SA/PNG2/3241_SkuseHill1_cs.png","3241_SkuseHill1_0.25m Bins")</f>
        <v>3241_SkuseHill1_0.25m Bins</v>
      </c>
      <c r="C2838" t="str">
        <f>HYPERLINK("http://www.corstruth.com.au/SA/CSV/3241_SkuseHill1.csv","3241_SkuseHill1_CSV File 1m Bins")</f>
        <v>3241_SkuseHill1_CSV File 1m Bins</v>
      </c>
      <c r="D2838">
        <v>3241</v>
      </c>
      <c r="E2838" t="s">
        <v>2163</v>
      </c>
      <c r="F2838" t="str">
        <f>HYPERLINK("https://drillhole.pir.sa.gov.au/Details.aspx?DRILLHOLE_NO=3241","Geol Survey Link")</f>
        <v>Geol Survey Link</v>
      </c>
      <c r="I2838">
        <v>-30.318999999999999</v>
      </c>
      <c r="J2838">
        <v>133.55099999999999</v>
      </c>
      <c r="K2838" t="str">
        <f>HYPERLINK("https://sarigdata.pir.sa.gov.au/nvcl/NVCLDataServices/mosaic.html?datasetid=1132c0f7-a8cc-4c0c-88aa-78d772e5f28","3241_SkuseHill1_Core Image")</f>
        <v>3241_SkuseHill1_Core Image</v>
      </c>
    </row>
    <row r="2839" spans="1:11" x14ac:dyDescent="0.25">
      <c r="A2839" t="str">
        <f>HYPERLINK("http://www.corstruth.com.au/SA/3242_SkuseHill2_cs.png","3242_SkuseHill2_A4")</f>
        <v>3242_SkuseHill2_A4</v>
      </c>
      <c r="B2839" t="str">
        <f>HYPERLINK("http://www.corstruth.com.au/SA/PNG2/3242_SkuseHill2_cs.png","3242_SkuseHill2_0.25m Bins")</f>
        <v>3242_SkuseHill2_0.25m Bins</v>
      </c>
      <c r="C2839" t="str">
        <f>HYPERLINK("http://www.corstruth.com.au/SA/CSV/3242_SkuseHill2.csv","3242_SkuseHill2_CSV File 1m Bins")</f>
        <v>3242_SkuseHill2_CSV File 1m Bins</v>
      </c>
      <c r="D2839">
        <v>3242</v>
      </c>
      <c r="E2839" t="s">
        <v>2163</v>
      </c>
      <c r="F2839" t="str">
        <f>HYPERLINK("https://drillhole.pir.sa.gov.au/Details.aspx?DRILLHOLE_NO=3242","Geol Survey Link")</f>
        <v>Geol Survey Link</v>
      </c>
      <c r="I2839">
        <v>-30.318899999999999</v>
      </c>
      <c r="J2839">
        <v>133.55099999999999</v>
      </c>
      <c r="K2839" t="str">
        <f>HYPERLINK("https://sarigdata.pir.sa.gov.au/nvcl/NVCLDataServices/mosaic.html?datasetid=0971eb54-26e4-4ab5-b5a6-de0f38f3edb","3242_SkuseHill2_Core Image")</f>
        <v>3242_SkuseHill2_Core Image</v>
      </c>
    </row>
    <row r="2840" spans="1:11" x14ac:dyDescent="0.25">
      <c r="A2840" t="str">
        <f>HYPERLINK("http://www.corstruth.com.au/SA/3243_BlackFellowHill1_cs.png","3243_BlackFellowHill1_A4")</f>
        <v>3243_BlackFellowHill1_A4</v>
      </c>
      <c r="B2840" t="str">
        <f>HYPERLINK("http://www.corstruth.com.au/SA/PNG2/3243_BlackFellowHill1_cs.png","3243_BlackFellowHill1_0.25m Bins")</f>
        <v>3243_BlackFellowHill1_0.25m Bins</v>
      </c>
      <c r="C2840" t="str">
        <f>HYPERLINK("http://www.corstruth.com.au/SA/CSV/3243_BlackFellowHill1.csv","3243_BlackFellowHill1_CSV File 1m Bins")</f>
        <v>3243_BlackFellowHill1_CSV File 1m Bins</v>
      </c>
      <c r="D2840">
        <v>3243</v>
      </c>
      <c r="E2840" t="s">
        <v>2163</v>
      </c>
      <c r="F2840" t="str">
        <f>HYPERLINK("https://drillhole.pir.sa.gov.au/Details.aspx?DRILLHOLE_NO=3243","Geol Survey Link")</f>
        <v>Geol Survey Link</v>
      </c>
      <c r="I2840">
        <v>-30.328800000000001</v>
      </c>
      <c r="J2840">
        <v>133.53800000000001</v>
      </c>
      <c r="K2840" t="str">
        <f>HYPERLINK("https://sarigdata.pir.sa.gov.au/nvcl/NVCLDataServices/mosaic.html?datasetid=7e71d43b-96c3-4b75-969b-d04423edf2b","3243_BlackFellowHill1_Core Image")</f>
        <v>3243_BlackFellowHill1_Core Image</v>
      </c>
    </row>
    <row r="2841" spans="1:11" x14ac:dyDescent="0.25">
      <c r="A2841" t="str">
        <f>HYPERLINK("http://www.corstruth.com.au/SA/325455_17ATDD005_cs.png","325455_17ATDD005_A4")</f>
        <v>325455_17ATDD005_A4</v>
      </c>
      <c r="B2841" t="str">
        <f>HYPERLINK("http://www.corstruth.com.au/SA/PNG2/325455_17ATDD005_cs.png","325455_17ATDD005_0.25m Bins")</f>
        <v>325455_17ATDD005_0.25m Bins</v>
      </c>
      <c r="C2841" t="str">
        <f>HYPERLINK("http://www.corstruth.com.au/SA/CSV/325455_17ATDD005.csv","325455_17ATDD005_CSV File 1m Bins")</f>
        <v>325455_17ATDD005_CSV File 1m Bins</v>
      </c>
      <c r="D2841">
        <v>325455</v>
      </c>
      <c r="E2841" t="s">
        <v>2163</v>
      </c>
      <c r="F2841" t="str">
        <f>HYPERLINK("https://drillhole.pir.sa.gov.au/Details.aspx?DRILLHOLE_NO=325455","Geol Survey Link")</f>
        <v>Geol Survey Link</v>
      </c>
      <c r="I2841">
        <v>-29.6843</v>
      </c>
      <c r="J2841">
        <v>134.09299999999999</v>
      </c>
      <c r="K2841" t="str">
        <f>HYPERLINK("https://sarigdata.pir.sa.gov.au/nvcl/NVCLDataServices/mosaic.html?datasetid=4771301c-d5b3-4fea-ab25-f725a9c988d","325455_17ATDD005_Core Image")</f>
        <v>325455_17ATDD005_Core Image</v>
      </c>
    </row>
    <row r="2842" spans="1:11" x14ac:dyDescent="0.25">
      <c r="A2842" t="str">
        <f>HYPERLINK("http://www.corstruth.com.au/SA/325497_THDD056_cs.png","325497_THDD056_A4")</f>
        <v>325497_THDD056_A4</v>
      </c>
      <c r="B2842" t="str">
        <f>HYPERLINK("http://www.corstruth.com.au/SA/PNG2/325497_THDD056_cs.png","325497_THDD056_0.25m Bins")</f>
        <v>325497_THDD056_0.25m Bins</v>
      </c>
      <c r="C2842" t="str">
        <f>HYPERLINK("http://www.corstruth.com.au/SA/CSV/325497_THDD056.csv","325497_THDD056_CSV File 1m Bins")</f>
        <v>325497_THDD056_CSV File 1m Bins</v>
      </c>
      <c r="D2842">
        <v>325497</v>
      </c>
      <c r="E2842" t="s">
        <v>2163</v>
      </c>
      <c r="F2842" t="str">
        <f>HYPERLINK("https://drillhole.pir.sa.gov.au/Details.aspx?DRILLHOLE_NO=325497","Geol Survey Link")</f>
        <v>Geol Survey Link</v>
      </c>
      <c r="I2842">
        <v>-30.6631</v>
      </c>
      <c r="J2842">
        <v>134.95500000000001</v>
      </c>
      <c r="K2842" t="str">
        <f>HYPERLINK("https://sarigdata.pir.sa.gov.au/nvcl/NVCLDataServices/mosaic.html?datasetid=bb35c404-9320-4802-b607-44f98cd4d82","325497_THDD056_Core Image")</f>
        <v>325497_THDD056_Core Image</v>
      </c>
    </row>
    <row r="2843" spans="1:11" x14ac:dyDescent="0.25">
      <c r="A2843" t="str">
        <f>HYPERLINK("http://www.corstruth.com.au/SA/325499_THDD064_cs.png","325499_THDD064_A4")</f>
        <v>325499_THDD064_A4</v>
      </c>
      <c r="B2843" t="str">
        <f>HYPERLINK("http://www.corstruth.com.au/SA/PNG2/325499_THDD064_cs.png","325499_THDD064_0.25m Bins")</f>
        <v>325499_THDD064_0.25m Bins</v>
      </c>
      <c r="C2843" t="str">
        <f>HYPERLINK("http://www.corstruth.com.au/SA/CSV/325499_THDD064.csv","325499_THDD064_CSV File 1m Bins")</f>
        <v>325499_THDD064_CSV File 1m Bins</v>
      </c>
      <c r="D2843">
        <v>325499</v>
      </c>
      <c r="E2843" t="s">
        <v>2163</v>
      </c>
      <c r="F2843" t="str">
        <f>HYPERLINK("https://drillhole.pir.sa.gov.au/Details.aspx?DRILLHOLE_NO=325499","Geol Survey Link")</f>
        <v>Geol Survey Link</v>
      </c>
      <c r="I2843">
        <v>-30.662099999999999</v>
      </c>
      <c r="J2843">
        <v>134.952</v>
      </c>
      <c r="K2843" t="str">
        <f>HYPERLINK("https://sarigdata.pir.sa.gov.au/nvcl/NVCLDataServices/mosaic.html?datasetid=0ae67e20-e44e-48c6-90ad-5e3b739abfd","325499_THDD064_Core Image")</f>
        <v>325499_THDD064_Core Image</v>
      </c>
    </row>
    <row r="2844" spans="1:11" x14ac:dyDescent="0.25">
      <c r="A2844" t="str">
        <f>HYPERLINK("http://www.corstruth.com.au/SA/325500_THDD065_cs.png","325500_THDD065_A4")</f>
        <v>325500_THDD065_A4</v>
      </c>
      <c r="B2844" t="str">
        <f>HYPERLINK("http://www.corstruth.com.au/SA/PNG2/325500_THDD065_cs.png","325500_THDD065_0.25m Bins")</f>
        <v>325500_THDD065_0.25m Bins</v>
      </c>
      <c r="C2844" t="str">
        <f>HYPERLINK("http://www.corstruth.com.au/SA/CSV/325500_THDD065.csv","325500_THDD065_CSV File 1m Bins")</f>
        <v>325500_THDD065_CSV File 1m Bins</v>
      </c>
      <c r="D2844">
        <v>325500</v>
      </c>
      <c r="E2844" t="s">
        <v>2163</v>
      </c>
      <c r="F2844" t="str">
        <f>HYPERLINK("https://drillhole.pir.sa.gov.au/Details.aspx?DRILLHOLE_NO=325500","Geol Survey Link")</f>
        <v>Geol Survey Link</v>
      </c>
      <c r="I2844">
        <v>-30.662600000000001</v>
      </c>
      <c r="J2844">
        <v>134.953</v>
      </c>
      <c r="K2844" t="str">
        <f>HYPERLINK("https://sarigdata.pir.sa.gov.au/nvcl/NVCLDataServices/mosaic.html?datasetid=4d56cf25-4d70-403d-9f3e-834d9b30676","325500_THDD065_Core Image")</f>
        <v>325500_THDD065_Core Image</v>
      </c>
    </row>
    <row r="2845" spans="1:11" x14ac:dyDescent="0.25">
      <c r="A2845" t="str">
        <f>HYPERLINK("http://www.corstruth.com.au/SA/325501_THDD066_cs.png","325501_THDD066_A4")</f>
        <v>325501_THDD066_A4</v>
      </c>
      <c r="B2845" t="str">
        <f>HYPERLINK("http://www.corstruth.com.au/SA/PNG2/325501_THDD066_cs.png","325501_THDD066_0.25m Bins")</f>
        <v>325501_THDD066_0.25m Bins</v>
      </c>
      <c r="C2845" t="str">
        <f>HYPERLINK("http://www.corstruth.com.au/SA/CSV/325501_THDD066.csv","325501_THDD066_CSV File 1m Bins")</f>
        <v>325501_THDD066_CSV File 1m Bins</v>
      </c>
      <c r="D2845">
        <v>325501</v>
      </c>
      <c r="E2845" t="s">
        <v>2163</v>
      </c>
      <c r="F2845" t="str">
        <f>HYPERLINK("https://drillhole.pir.sa.gov.au/Details.aspx?DRILLHOLE_NO=325501","Geol Survey Link")</f>
        <v>Geol Survey Link</v>
      </c>
      <c r="I2845">
        <v>-30.6614</v>
      </c>
      <c r="J2845">
        <v>134.952</v>
      </c>
      <c r="K2845" t="str">
        <f>HYPERLINK("https://sarigdata.pir.sa.gov.au/nvcl/NVCLDataServices/mosaic.html?datasetid=0fe1ad18-8a55-45e0-a3e6-d7094d82564","325501_THDD066_Core Image")</f>
        <v>325501_THDD066_Core Image</v>
      </c>
    </row>
    <row r="2846" spans="1:11" x14ac:dyDescent="0.25">
      <c r="A2846" t="str">
        <f>HYPERLINK("http://www.corstruth.com.au/SA/325502_THDD067_cs.png","325502_THDD067_A4")</f>
        <v>325502_THDD067_A4</v>
      </c>
      <c r="B2846" t="str">
        <f>HYPERLINK("http://www.corstruth.com.au/SA/PNG2/325502_THDD067_cs.png","325502_THDD067_0.25m Bins")</f>
        <v>325502_THDD067_0.25m Bins</v>
      </c>
      <c r="C2846" t="str">
        <f>HYPERLINK("http://www.corstruth.com.au/SA/CSV/325502_THDD067.csv","325502_THDD067_CSV File 1m Bins")</f>
        <v>325502_THDD067_CSV File 1m Bins</v>
      </c>
      <c r="D2846">
        <v>325502</v>
      </c>
      <c r="E2846" t="s">
        <v>2163</v>
      </c>
      <c r="F2846" t="str">
        <f>HYPERLINK("https://drillhole.pir.sa.gov.au/Details.aspx?DRILLHOLE_NO=325502","Geol Survey Link")</f>
        <v>Geol Survey Link</v>
      </c>
      <c r="I2846">
        <v>-30.663</v>
      </c>
      <c r="J2846">
        <v>134.95400000000001</v>
      </c>
      <c r="K2846" t="str">
        <f>HYPERLINK("https://sarigdata.pir.sa.gov.au/nvcl/NVCLDataServices/mosaic.html?datasetid=c5866567-257f-4b83-8a77-e768d13c51d","325502_THDD067_Core Image")</f>
        <v>325502_THDD067_Core Image</v>
      </c>
    </row>
    <row r="2847" spans="1:11" x14ac:dyDescent="0.25">
      <c r="A2847" t="str">
        <f>HYPERLINK("http://www.corstruth.com.au/SA/326631_GDDH14_cs.png","326631_GDDH14_A4")</f>
        <v>326631_GDDH14_A4</v>
      </c>
      <c r="D2847">
        <v>326631</v>
      </c>
      <c r="E2847" t="s">
        <v>2163</v>
      </c>
      <c r="F2847" t="str">
        <f>HYPERLINK("https://drillhole.pir.sa.gov.au/Details.aspx?DRILLHOLE_NO=326631","Geol Survey Link")</f>
        <v>Geol Survey Link</v>
      </c>
      <c r="I2847">
        <v>-26.895499999999998</v>
      </c>
      <c r="J2847">
        <v>133.405</v>
      </c>
    </row>
    <row r="2848" spans="1:11" x14ac:dyDescent="0.25">
      <c r="A2848" t="str">
        <f>HYPERLINK("http://www.corstruth.com.au/SA/327316_RD20_cs.png","327316_RD20_A4")</f>
        <v>327316_RD20_A4</v>
      </c>
      <c r="B2848" t="str">
        <f>HYPERLINK("http://www.corstruth.com.au/SA/PNG2/327316_RD20_cs.png","327316_RD20_0.25m Bins")</f>
        <v>327316_RD20_0.25m Bins</v>
      </c>
      <c r="C2848" t="str">
        <f>HYPERLINK("http://www.corstruth.com.au/SA/CSV/327316_RD20.csv","327316_RD20_CSV File 1m Bins")</f>
        <v>327316_RD20_CSV File 1m Bins</v>
      </c>
      <c r="D2848">
        <v>327316</v>
      </c>
      <c r="E2848" t="s">
        <v>2163</v>
      </c>
      <c r="F2848" t="str">
        <f>HYPERLINK("https://drillhole.pir.sa.gov.au/Details.aspx?DRILLHOLE_NO=327316","Geol Survey Link")</f>
        <v>Geol Survey Link</v>
      </c>
      <c r="I2848">
        <v>-30.442399999999999</v>
      </c>
      <c r="J2848">
        <v>136.898</v>
      </c>
      <c r="K2848" t="str">
        <f>HYPERLINK("https://sarigdata.pir.sa.gov.au/nvcl/NVCLDataServices/mosaic.html?datasetid=bb91a6e6-7ca7-4052-a6d0-b0c4ea9d9c2","327316_RD20_Core Image")</f>
        <v>327316_RD20_Core Image</v>
      </c>
    </row>
    <row r="2849" spans="1:11" x14ac:dyDescent="0.25">
      <c r="A2849" t="str">
        <f>HYPERLINK("http://www.corstruth.com.au/SA/327317_RD20W1_cs.png","327317_RD20W1_A4")</f>
        <v>327317_RD20W1_A4</v>
      </c>
      <c r="B2849" t="str">
        <f>HYPERLINK("http://www.corstruth.com.au/SA/PNG2/327317_RD20W1_cs.png","327317_RD20W1_0.25m Bins")</f>
        <v>327317_RD20W1_0.25m Bins</v>
      </c>
      <c r="C2849" t="str">
        <f>HYPERLINK("http://www.corstruth.com.au/SA/CSV/327317_RD20W1.csv","327317_RD20W1_CSV File 1m Bins")</f>
        <v>327317_RD20W1_CSV File 1m Bins</v>
      </c>
      <c r="D2849">
        <v>327317</v>
      </c>
      <c r="E2849" t="s">
        <v>2163</v>
      </c>
      <c r="F2849" t="str">
        <f>HYPERLINK("https://drillhole.pir.sa.gov.au/Details.aspx?DRILLHOLE_NO=327317","Geol Survey Link")</f>
        <v>Geol Survey Link</v>
      </c>
      <c r="I2849">
        <v>-30.442399999999999</v>
      </c>
      <c r="J2849">
        <v>136.898</v>
      </c>
      <c r="K2849" t="str">
        <f>HYPERLINK("https://sarigdata.pir.sa.gov.au/nvcl/NVCLDataServices/mosaic.html?datasetid=ce04e50f-332b-401d-b66c-c9cc1f8eb5e","327317_RD20W1_Core Image")</f>
        <v>327317_RD20W1_Core Image</v>
      </c>
    </row>
    <row r="2850" spans="1:11" x14ac:dyDescent="0.25">
      <c r="A2850" t="str">
        <f>HYPERLINK("http://www.corstruth.com.au/SA/327318_RD24_cs.png","327318_RD24_A4")</f>
        <v>327318_RD24_A4</v>
      </c>
      <c r="B2850" t="str">
        <f>HYPERLINK("http://www.corstruth.com.au/SA/PNG2/327318_RD24_cs.png","327318_RD24_0.25m Bins")</f>
        <v>327318_RD24_0.25m Bins</v>
      </c>
      <c r="C2850" t="str">
        <f>HYPERLINK("http://www.corstruth.com.au/SA/CSV/327318_RD24.csv","327318_RD24_CSV File 1m Bins")</f>
        <v>327318_RD24_CSV File 1m Bins</v>
      </c>
      <c r="D2850">
        <v>327318</v>
      </c>
      <c r="E2850" t="s">
        <v>2163</v>
      </c>
      <c r="F2850" t="str">
        <f>HYPERLINK("https://drillhole.pir.sa.gov.au/Details.aspx?DRILLHOLE_NO=327318","Geol Survey Link")</f>
        <v>Geol Survey Link</v>
      </c>
      <c r="I2850">
        <v>-30.456099999999999</v>
      </c>
      <c r="J2850">
        <v>136.90199999999999</v>
      </c>
      <c r="K2850" t="str">
        <f>HYPERLINK("https://sarigdata.pir.sa.gov.au/nvcl/NVCLDataServices/mosaic.html?datasetid=800e72ca-9008-42cf-8f80-51e313163fe","327318_RD24_Core Image")</f>
        <v>327318_RD24_Core Image</v>
      </c>
    </row>
    <row r="2851" spans="1:11" x14ac:dyDescent="0.25">
      <c r="A2851" t="str">
        <f>HYPERLINK("http://www.corstruth.com.au/SA/327319_RD26_cs.png","327319_RD26_A4")</f>
        <v>327319_RD26_A4</v>
      </c>
      <c r="B2851" t="str">
        <f>HYPERLINK("http://www.corstruth.com.au/SA/PNG2/327319_RD26_cs.png","327319_RD26_0.25m Bins")</f>
        <v>327319_RD26_0.25m Bins</v>
      </c>
      <c r="C2851" t="str">
        <f>HYPERLINK("http://www.corstruth.com.au/SA/CSV/327319_RD26.csv","327319_RD26_CSV File 1m Bins")</f>
        <v>327319_RD26_CSV File 1m Bins</v>
      </c>
      <c r="D2851">
        <v>327319</v>
      </c>
      <c r="E2851" t="s">
        <v>2163</v>
      </c>
      <c r="F2851" t="str">
        <f>HYPERLINK("https://drillhole.pir.sa.gov.au/Details.aspx?DRILLHOLE_NO=327319","Geol Survey Link")</f>
        <v>Geol Survey Link</v>
      </c>
      <c r="I2851">
        <v>-30.434999999999999</v>
      </c>
      <c r="J2851">
        <v>136.89599999999999</v>
      </c>
      <c r="K2851" t="str">
        <f>HYPERLINK("https://sarigdata.pir.sa.gov.au/nvcl/NVCLDataServices/mosaic.html?datasetid=ce67271b-696c-443f-a0a6-79e2595eb93","327319_RD26_Core Image")</f>
        <v>327319_RD26_Core Image</v>
      </c>
    </row>
    <row r="2852" spans="1:11" x14ac:dyDescent="0.25">
      <c r="A2852" t="str">
        <f>HYPERLINK("http://www.corstruth.com.au/SA/327321_RD75_cs.png","327321_RD75_A4")</f>
        <v>327321_RD75_A4</v>
      </c>
      <c r="B2852" t="str">
        <f>HYPERLINK("http://www.corstruth.com.au/SA/PNG2/327321_RD75_cs.png","327321_RD75_0.25m Bins")</f>
        <v>327321_RD75_0.25m Bins</v>
      </c>
      <c r="C2852" t="str">
        <f>HYPERLINK("http://www.corstruth.com.au/SA/CSV/327321_RD75.csv","327321_RD75_CSV File 1m Bins")</f>
        <v>327321_RD75_CSV File 1m Bins</v>
      </c>
      <c r="D2852">
        <v>327321</v>
      </c>
      <c r="E2852" t="s">
        <v>2163</v>
      </c>
      <c r="F2852" t="str">
        <f>HYPERLINK("https://drillhole.pir.sa.gov.au/Details.aspx?DRILLHOLE_NO=327321","Geol Survey Link")</f>
        <v>Geol Survey Link</v>
      </c>
      <c r="I2852">
        <v>-30.452400000000001</v>
      </c>
      <c r="J2852">
        <v>136.88399999999999</v>
      </c>
      <c r="K2852" t="str">
        <f>HYPERLINK("https://sarigdata.pir.sa.gov.au/nvcl/NVCLDataServices/mosaic.html?datasetid=92764afb-02e8-4540-a07f-0d2c8251c1a","327321_RD75_Core Image")</f>
        <v>327321_RD75_Core Image</v>
      </c>
    </row>
    <row r="2853" spans="1:11" x14ac:dyDescent="0.25">
      <c r="A2853" t="str">
        <f>HYPERLINK("http://www.corstruth.com.au/SA/333094_RD102W1_cs.png","333094_RD102W1_A4")</f>
        <v>333094_RD102W1_A4</v>
      </c>
      <c r="B2853" t="str">
        <f>HYPERLINK("http://www.corstruth.com.au/SA/PNG2/333094_RD102W1_cs.png","333094_RD102W1_0.25m Bins")</f>
        <v>333094_RD102W1_0.25m Bins</v>
      </c>
      <c r="C2853" t="str">
        <f>HYPERLINK("http://www.corstruth.com.au/SA/CSV/333094_RD102W1.csv","333094_RD102W1_CSV File 1m Bins")</f>
        <v>333094_RD102W1_CSV File 1m Bins</v>
      </c>
      <c r="D2853">
        <v>333094</v>
      </c>
      <c r="E2853" t="s">
        <v>2163</v>
      </c>
      <c r="F2853" t="str">
        <f>HYPERLINK("https://drillhole.pir.sa.gov.au/Details.aspx?DRILLHOLE_NO=333094","Geol Survey Link")</f>
        <v>Geol Survey Link</v>
      </c>
      <c r="I2853">
        <v>-30.4404</v>
      </c>
      <c r="J2853">
        <v>136.90600000000001</v>
      </c>
    </row>
    <row r="2854" spans="1:11" x14ac:dyDescent="0.25">
      <c r="A2854" t="str">
        <f>HYPERLINK("http://www.corstruth.com.au/SA/333095_RD144_cs.png","333095_RD144_A4")</f>
        <v>333095_RD144_A4</v>
      </c>
      <c r="B2854" t="str">
        <f>HYPERLINK("http://www.corstruth.com.au/SA/PNG2/333095_RD144_cs.png","333095_RD144_0.25m Bins")</f>
        <v>333095_RD144_0.25m Bins</v>
      </c>
      <c r="C2854" t="str">
        <f>HYPERLINK("http://www.corstruth.com.au/SA/CSV/333095_RD144.csv","333095_RD144_CSV File 1m Bins")</f>
        <v>333095_RD144_CSV File 1m Bins</v>
      </c>
      <c r="D2854">
        <v>333095</v>
      </c>
      <c r="E2854" t="s">
        <v>2163</v>
      </c>
      <c r="F2854" t="str">
        <f>HYPERLINK("https://drillhole.pir.sa.gov.au/Details.aspx?DRILLHOLE_NO=333095","Geol Survey Link")</f>
        <v>Geol Survey Link</v>
      </c>
      <c r="I2854">
        <v>-30.441800000000001</v>
      </c>
      <c r="J2854">
        <v>136.864</v>
      </c>
    </row>
    <row r="2855" spans="1:11" x14ac:dyDescent="0.25">
      <c r="A2855" t="str">
        <f>HYPERLINK("http://www.corstruth.com.au/SA/333096_RD161_cs.png","333096_RD161_A4")</f>
        <v>333096_RD161_A4</v>
      </c>
      <c r="B2855" t="str">
        <f>HYPERLINK("http://www.corstruth.com.au/SA/PNG2/333096_RD161_cs.png","333096_RD161_0.25m Bins")</f>
        <v>333096_RD161_0.25m Bins</v>
      </c>
      <c r="C2855" t="str">
        <f>HYPERLINK("http://www.corstruth.com.au/SA/CSV/333096_RD161.csv","333096_RD161_CSV File 1m Bins")</f>
        <v>333096_RD161_CSV File 1m Bins</v>
      </c>
      <c r="D2855">
        <v>333096</v>
      </c>
      <c r="E2855" t="s">
        <v>2163</v>
      </c>
      <c r="F2855" t="str">
        <f>HYPERLINK("https://drillhole.pir.sa.gov.au/Details.aspx?DRILLHOLE_NO=333096","Geol Survey Link")</f>
        <v>Geol Survey Link</v>
      </c>
      <c r="I2855">
        <v>-30.461400000000001</v>
      </c>
      <c r="J2855">
        <v>136.91200000000001</v>
      </c>
    </row>
    <row r="2856" spans="1:11" x14ac:dyDescent="0.25">
      <c r="A2856" t="str">
        <f>HYPERLINK("http://www.corstruth.com.au/SA/333098_RD38_cs.png","333098_RD38_A4")</f>
        <v>333098_RD38_A4</v>
      </c>
      <c r="B2856" t="str">
        <f>HYPERLINK("http://www.corstruth.com.au/SA/PNG2/333098_RD38_cs.png","333098_RD38_0.25m Bins")</f>
        <v>333098_RD38_0.25m Bins</v>
      </c>
      <c r="C2856" t="str">
        <f>HYPERLINK("http://www.corstruth.com.au/SA/CSV/333098_RD38.csv","333098_RD38_CSV File 1m Bins")</f>
        <v>333098_RD38_CSV File 1m Bins</v>
      </c>
      <c r="D2856">
        <v>333098</v>
      </c>
      <c r="E2856" t="s">
        <v>2163</v>
      </c>
      <c r="F2856" t="str">
        <f>HYPERLINK("https://drillhole.pir.sa.gov.au/Details.aspx?DRILLHOLE_NO=333098","Geol Survey Link")</f>
        <v>Geol Survey Link</v>
      </c>
      <c r="I2856">
        <v>-30.440100000000001</v>
      </c>
      <c r="J2856">
        <v>136.87200000000001</v>
      </c>
      <c r="K2856" t="str">
        <f>HYPERLINK("https://sarigdata.pir.sa.gov.au/nvcl/NVCLDataServices/mosaic.html?datasetid=db22095a-c507-4991-a5a3-a23aa494818","333098_RD38_Core Image")</f>
        <v>333098_RD38_Core Image</v>
      </c>
    </row>
    <row r="2857" spans="1:11" x14ac:dyDescent="0.25">
      <c r="A2857" t="str">
        <f>HYPERLINK("http://www.corstruth.com.au/SA/333099_RD80_cs.png","333099_RD80_A4")</f>
        <v>333099_RD80_A4</v>
      </c>
      <c r="B2857" t="str">
        <f>HYPERLINK("http://www.corstruth.com.au/SA/PNG2/333099_RD80_cs.png","333099_RD80_0.25m Bins")</f>
        <v>333099_RD80_0.25m Bins</v>
      </c>
      <c r="C2857" t="str">
        <f>HYPERLINK("http://www.corstruth.com.au/SA/CSV/333099_RD80.csv","333099_RD80_CSV File 1m Bins")</f>
        <v>333099_RD80_CSV File 1m Bins</v>
      </c>
      <c r="D2857">
        <v>333099</v>
      </c>
      <c r="E2857" t="s">
        <v>2163</v>
      </c>
      <c r="F2857" t="str">
        <f>HYPERLINK("https://drillhole.pir.sa.gov.au/Details.aspx?DRILLHOLE_NO=333099","Geol Survey Link")</f>
        <v>Geol Survey Link</v>
      </c>
      <c r="I2857">
        <v>-30.447399999999998</v>
      </c>
      <c r="J2857">
        <v>136.90799999999999</v>
      </c>
      <c r="K2857" t="str">
        <f>HYPERLINK("https://sarigdata.pir.sa.gov.au/nvcl/NVCLDataServices/mosaic.html?datasetid=ac52c00f-55eb-4cfa-939a-3dbec0e49f0","333099_RD80_Core Image")</f>
        <v>333099_RD80_Core Image</v>
      </c>
    </row>
    <row r="2858" spans="1:11" x14ac:dyDescent="0.25">
      <c r="A2858" t="str">
        <f>HYPERLINK("http://www.corstruth.com.au/SA/333100_RU41-11782_cs.png","333100_RU41-11782_A4")</f>
        <v>333100_RU41-11782_A4</v>
      </c>
      <c r="B2858" t="str">
        <f>HYPERLINK("http://www.corstruth.com.au/SA/PNG2/333100_RU41-11782_cs.png","333100_RU41-11782_0.25m Bins")</f>
        <v>333100_RU41-11782_0.25m Bins</v>
      </c>
      <c r="C2858" t="str">
        <f>HYPERLINK("http://www.corstruth.com.au/SA/CSV/333100_RU41-11782.csv","333100_RU41-11782_CSV File 1m Bins")</f>
        <v>333100_RU41-11782_CSV File 1m Bins</v>
      </c>
      <c r="D2858">
        <v>333100</v>
      </c>
      <c r="E2858" t="s">
        <v>2163</v>
      </c>
      <c r="F2858" t="str">
        <f>HYPERLINK("https://drillhole.pir.sa.gov.au/Details.aspx?DRILLHOLE_NO=333100","Geol Survey Link")</f>
        <v>Geol Survey Link</v>
      </c>
      <c r="I2858">
        <v>-30.446999999999999</v>
      </c>
      <c r="J2858">
        <v>136.89699999999999</v>
      </c>
      <c r="K2858" t="str">
        <f>HYPERLINK("https://sarigdata.pir.sa.gov.au/nvcl/NVCLDataServices/mosaic.html?datasetid=8969c4fd-fa74-4bb5-818a-5e2c6c2cf23","333100_RU41-11782_Core Image")</f>
        <v>333100_RU41-11782_Core Image</v>
      </c>
    </row>
    <row r="2859" spans="1:11" x14ac:dyDescent="0.25">
      <c r="A2859" t="str">
        <f>HYPERLINK("http://www.corstruth.com.au/SA/333101_RU41-11782W1_cs.png","333101_RU41-11782W1_A4")</f>
        <v>333101_RU41-11782W1_A4</v>
      </c>
      <c r="B2859" t="str">
        <f>HYPERLINK("http://www.corstruth.com.au/SA/PNG2/333101_RU41-11782W1_cs.png","333101_RU41-11782W1_0.25m Bins")</f>
        <v>333101_RU41-11782W1_0.25m Bins</v>
      </c>
      <c r="C2859" t="str">
        <f>HYPERLINK("http://www.corstruth.com.au/SA/CSV/333101_RU41-11782W1.csv","333101_RU41-11782W1_CSV File 1m Bins")</f>
        <v>333101_RU41-11782W1_CSV File 1m Bins</v>
      </c>
      <c r="D2859">
        <v>333101</v>
      </c>
      <c r="E2859" t="s">
        <v>2163</v>
      </c>
      <c r="F2859" t="str">
        <f>HYPERLINK("https://drillhole.pir.sa.gov.au/Details.aspx?DRILLHOLE_NO=333101","Geol Survey Link")</f>
        <v>Geol Survey Link</v>
      </c>
      <c r="I2859">
        <v>-30.446999999999999</v>
      </c>
      <c r="J2859">
        <v>136.89699999999999</v>
      </c>
      <c r="K2859" t="str">
        <f>HYPERLINK("https://sarigdata.pir.sa.gov.au/nvcl/NVCLDataServices/mosaic.html?datasetid=f88bcb78-6fca-46c7-831c-ab778028cbe","333101_RU41-11782W1_Core Image")</f>
        <v>333101_RU41-11782W1_Core Image</v>
      </c>
    </row>
    <row r="2860" spans="1:11" x14ac:dyDescent="0.25">
      <c r="A2860" t="str">
        <f>HYPERLINK("http://www.corstruth.com.au/SA/333102_RU41-11783_cs.png","333102_RU41-11783_A4")</f>
        <v>333102_RU41-11783_A4</v>
      </c>
      <c r="B2860" t="str">
        <f>HYPERLINK("http://www.corstruth.com.au/SA/PNG2/333102_RU41-11783_cs.png","333102_RU41-11783_0.25m Bins")</f>
        <v>333102_RU41-11783_0.25m Bins</v>
      </c>
      <c r="C2860" t="str">
        <f>HYPERLINK("http://www.corstruth.com.au/SA/CSV/333102_RU41-11783.csv","333102_RU41-11783_CSV File 1m Bins")</f>
        <v>333102_RU41-11783_CSV File 1m Bins</v>
      </c>
      <c r="D2860">
        <v>333102</v>
      </c>
      <c r="E2860" t="s">
        <v>2163</v>
      </c>
      <c r="F2860" t="str">
        <f>HYPERLINK("https://drillhole.pir.sa.gov.au/Details.aspx?DRILLHOLE_NO=333102","Geol Survey Link")</f>
        <v>Geol Survey Link</v>
      </c>
      <c r="I2860">
        <v>-30.446999999999999</v>
      </c>
      <c r="J2860">
        <v>136.89699999999999</v>
      </c>
      <c r="K2860" t="str">
        <f>HYPERLINK("https://sarigdata.pir.sa.gov.au/nvcl/NVCLDataServices/mosaic.html?datasetid=d863e8d0-ff63-45c7-b3c9-56d96bbda5c","333102_RU41-11783_Core Image")</f>
        <v>333102_RU41-11783_Core Image</v>
      </c>
    </row>
    <row r="2861" spans="1:11" x14ac:dyDescent="0.25">
      <c r="A2861" t="str">
        <f>HYPERLINK("http://www.corstruth.com.au/SA/344154_MG14D_cs.png","344154_MG14D_A4")</f>
        <v>344154_MG14D_A4</v>
      </c>
      <c r="B2861" t="str">
        <f>HYPERLINK("http://www.corstruth.com.au/SA/PNG2/344154_MG14D_cs.png","344154_MG14D_0.25m Bins")</f>
        <v>344154_MG14D_0.25m Bins</v>
      </c>
      <c r="C2861" t="str">
        <f>HYPERLINK("http://www.corstruth.com.au/SA/CSV/344154_MG14D.csv","344154_MG14D_CSV File 1m Bins")</f>
        <v>344154_MG14D_CSV File 1m Bins</v>
      </c>
      <c r="D2861">
        <v>344154</v>
      </c>
      <c r="E2861" t="s">
        <v>2163</v>
      </c>
      <c r="F2861" t="str">
        <f>HYPERLINK("https://drillhole.pir.sa.gov.au/Details.aspx?DRILLHOLE_NO=344154","Geol Survey Link")</f>
        <v>Geol Survey Link</v>
      </c>
      <c r="I2861">
        <v>-31.435099999999998</v>
      </c>
      <c r="J2861">
        <v>137.15299999999999</v>
      </c>
      <c r="K2861" t="str">
        <f>HYPERLINK("https://sarigdata.pir.sa.gov.au/nvcl/NVCLDataServices/mosaic.html?datasetid=5e5b0f00-79c0-46c4-86cc-c316cef626f","344154_MG14D_Core Image")</f>
        <v>344154_MG14D_Core Image</v>
      </c>
    </row>
    <row r="2862" spans="1:11" x14ac:dyDescent="0.25">
      <c r="A2862" t="str">
        <f>HYPERLINK("http://www.corstruth.com.au/SA/3525_TALL_TPS01_cs.png","3525_TALL_TPS01_A4")</f>
        <v>3525_TALL_TPS01_A4</v>
      </c>
      <c r="D2862">
        <v>3525</v>
      </c>
      <c r="E2862" t="s">
        <v>2163</v>
      </c>
      <c r="F2862" t="str">
        <f>HYPERLINK("https://drillhole.pir.sa.gov.au/Details.aspx?DRILLHOLE_NO=3525","Geol Survey Link")</f>
        <v>Geol Survey Link</v>
      </c>
      <c r="I2862">
        <v>-29.517900000000001</v>
      </c>
      <c r="J2862">
        <v>133.87700000000001</v>
      </c>
    </row>
    <row r="2863" spans="1:11" x14ac:dyDescent="0.25">
      <c r="A2863" t="str">
        <f>HYPERLINK("http://www.corstruth.com.au/SA/3526_TALL_TPS07_cs.png","3526_TALL_TPS07_A4")</f>
        <v>3526_TALL_TPS07_A4</v>
      </c>
      <c r="D2863">
        <v>3526</v>
      </c>
      <c r="E2863" t="s">
        <v>2163</v>
      </c>
      <c r="F2863" t="str">
        <f>HYPERLINK("https://drillhole.pir.sa.gov.au/Details.aspx?DRILLHOLE_NO=3526","Geol Survey Link")</f>
        <v>Geol Survey Link</v>
      </c>
      <c r="I2863">
        <v>-29.508500000000002</v>
      </c>
      <c r="J2863">
        <v>133.76300000000001</v>
      </c>
    </row>
    <row r="2864" spans="1:11" x14ac:dyDescent="0.25">
      <c r="A2864" t="str">
        <f>HYPERLINK("http://www.corstruth.com.au/SA/3527_TALL_TPS08_cs.png","3527_TALL_TPS08_A4")</f>
        <v>3527_TALL_TPS08_A4</v>
      </c>
      <c r="D2864">
        <v>3527</v>
      </c>
      <c r="E2864" t="s">
        <v>2163</v>
      </c>
      <c r="F2864" t="str">
        <f>HYPERLINK("https://drillhole.pir.sa.gov.au/Details.aspx?DRILLHOLE_NO=3527","Geol Survey Link")</f>
        <v>Geol Survey Link</v>
      </c>
      <c r="I2864">
        <v>-29.508099999999999</v>
      </c>
      <c r="J2864">
        <v>133.76900000000001</v>
      </c>
    </row>
    <row r="2865" spans="1:11" x14ac:dyDescent="0.25">
      <c r="A2865" t="str">
        <f>HYPERLINK("http://www.corstruth.com.au/SA/3528_TALL_TPS09_cs.png","3528_TALL_TPS09_A4")</f>
        <v>3528_TALL_TPS09_A4</v>
      </c>
      <c r="D2865">
        <v>3528</v>
      </c>
      <c r="E2865" t="s">
        <v>2163</v>
      </c>
      <c r="F2865" t="str">
        <f>HYPERLINK("https://drillhole.pir.sa.gov.au/Details.aspx?DRILLHOLE_NO=3528","Geol Survey Link")</f>
        <v>Geol Survey Link</v>
      </c>
      <c r="I2865">
        <v>-29.536799999999999</v>
      </c>
      <c r="J2865">
        <v>133.75399999999999</v>
      </c>
    </row>
    <row r="2866" spans="1:11" x14ac:dyDescent="0.25">
      <c r="A2866" t="str">
        <f>HYPERLINK("http://www.corstruth.com.au/SA/3529_TALL_TPS12_cs.png","3529_TALL_TPS12_A4")</f>
        <v>3529_TALL_TPS12_A4</v>
      </c>
      <c r="D2866">
        <v>3529</v>
      </c>
      <c r="E2866" t="s">
        <v>2163</v>
      </c>
      <c r="F2866" t="str">
        <f>HYPERLINK("https://drillhole.pir.sa.gov.au/Details.aspx?DRILLHOLE_NO=3529","Geol Survey Link")</f>
        <v>Geol Survey Link</v>
      </c>
      <c r="I2866">
        <v>-29.597300000000001</v>
      </c>
      <c r="J2866">
        <v>133.72</v>
      </c>
    </row>
    <row r="2867" spans="1:11" x14ac:dyDescent="0.25">
      <c r="A2867" t="str">
        <f>HYPERLINK("http://www.corstruth.com.au/SA/3530_TALL_TPS10_cs.png","3530_TALL_TPS10_A4")</f>
        <v>3530_TALL_TPS10_A4</v>
      </c>
      <c r="D2867">
        <v>3530</v>
      </c>
      <c r="E2867" t="s">
        <v>2163</v>
      </c>
      <c r="F2867" t="str">
        <f>HYPERLINK("https://drillhole.pir.sa.gov.au/Details.aspx?DRILLHOLE_NO=3530","Geol Survey Link")</f>
        <v>Geol Survey Link</v>
      </c>
      <c r="I2867">
        <v>-29.607800000000001</v>
      </c>
      <c r="J2867">
        <v>133.53200000000001</v>
      </c>
    </row>
    <row r="2868" spans="1:11" x14ac:dyDescent="0.25">
      <c r="A2868" t="str">
        <f>HYPERLINK("http://www.corstruth.com.au/SA/3531_TALL_TPS11_cs.png","3531_TALL_TPS11_A4")</f>
        <v>3531_TALL_TPS11_A4</v>
      </c>
      <c r="D2868">
        <v>3531</v>
      </c>
      <c r="E2868" t="s">
        <v>2163</v>
      </c>
      <c r="F2868" t="str">
        <f>HYPERLINK("https://drillhole.pir.sa.gov.au/Details.aspx?DRILLHOLE_NO=3531","Geol Survey Link")</f>
        <v>Geol Survey Link</v>
      </c>
      <c r="I2868">
        <v>-29.632200000000001</v>
      </c>
      <c r="J2868">
        <v>133.53100000000001</v>
      </c>
    </row>
    <row r="2869" spans="1:11" x14ac:dyDescent="0.25">
      <c r="A2869" t="str">
        <f>HYPERLINK("http://www.corstruth.com.au/SA/3532_TALL_TPS04_cs.png","3532_TALL_TPS04_A4")</f>
        <v>3532_TALL_TPS04_A4</v>
      </c>
      <c r="D2869">
        <v>3532</v>
      </c>
      <c r="E2869" t="s">
        <v>2163</v>
      </c>
      <c r="F2869" t="str">
        <f>HYPERLINK("https://drillhole.pir.sa.gov.au/Details.aspx?DRILLHOLE_NO=3532","Geol Survey Link")</f>
        <v>Geol Survey Link</v>
      </c>
      <c r="I2869">
        <v>-29.647099999999998</v>
      </c>
      <c r="J2869">
        <v>133.53700000000001</v>
      </c>
    </row>
    <row r="2870" spans="1:11" x14ac:dyDescent="0.25">
      <c r="A2870" t="str">
        <f>HYPERLINK("http://www.corstruth.com.au/SA/3533_TALL_TPS06_cs.png","3533_TALL_TPS06_A4")</f>
        <v>3533_TALL_TPS06_A4</v>
      </c>
      <c r="D2870">
        <v>3533</v>
      </c>
      <c r="E2870" t="s">
        <v>2163</v>
      </c>
      <c r="F2870" t="str">
        <f>HYPERLINK("https://drillhole.pir.sa.gov.au/Details.aspx?DRILLHOLE_NO=3533","Geol Survey Link")</f>
        <v>Geol Survey Link</v>
      </c>
      <c r="I2870">
        <v>-29.659199999999998</v>
      </c>
      <c r="J2870">
        <v>133.53</v>
      </c>
    </row>
    <row r="2871" spans="1:11" x14ac:dyDescent="0.25">
      <c r="A2871" t="str">
        <f>HYPERLINK("http://www.corstruth.com.au/SA/3534_TALL_TPS05_cs.png","3534_TALL_TPS05_A4")</f>
        <v>3534_TALL_TPS05_A4</v>
      </c>
      <c r="D2871">
        <v>3534</v>
      </c>
      <c r="E2871" t="s">
        <v>2163</v>
      </c>
      <c r="F2871" t="str">
        <f>HYPERLINK("https://drillhole.pir.sa.gov.au/Details.aspx?DRILLHOLE_NO=3534","Geol Survey Link")</f>
        <v>Geol Survey Link</v>
      </c>
      <c r="I2871">
        <v>-29.714700000000001</v>
      </c>
      <c r="J2871">
        <v>133.52799999999999</v>
      </c>
    </row>
    <row r="2872" spans="1:11" x14ac:dyDescent="0.25">
      <c r="A2872" t="str">
        <f>HYPERLINK("http://www.corstruth.com.au/SA/3612_Manya2_cs.png","3612_Manya2_A4")</f>
        <v>3612_Manya2_A4</v>
      </c>
      <c r="B2872" t="str">
        <f>HYPERLINK("http://www.corstruth.com.au/SA/PNG2/3612_Manya2_cs.png","3612_Manya2_0.25m Bins")</f>
        <v>3612_Manya2_0.25m Bins</v>
      </c>
      <c r="C2872" t="str">
        <f>HYPERLINK("http://www.corstruth.com.au/SA/CSV/3612_Manya2.csv","3612_Manya2_CSV File 1m Bins")</f>
        <v>3612_Manya2_CSV File 1m Bins</v>
      </c>
      <c r="D2872">
        <v>3612</v>
      </c>
      <c r="E2872" t="s">
        <v>2163</v>
      </c>
      <c r="F2872" t="str">
        <f>HYPERLINK("https://drillhole.pir.sa.gov.au/Details.aspx?DRILLHOLE_NO=3612","Geol Survey Link")</f>
        <v>Geol Survey Link</v>
      </c>
      <c r="I2872">
        <v>-27.9328</v>
      </c>
      <c r="J2872">
        <v>133.715</v>
      </c>
      <c r="K2872" t="str">
        <f>HYPERLINK("https://sarigdata.pir.sa.gov.au/nvcl/NVCLDataServices/mosaic.html?datasetid=bcaeac80-ac12-4df9-bed2-0d69b6751d6","3612_Manya2_Core Image")</f>
        <v>3612_Manya2_Core Image</v>
      </c>
    </row>
    <row r="2873" spans="1:11" x14ac:dyDescent="0.25">
      <c r="A2873" t="str">
        <f>HYPERLINK("http://www.corstruth.com.au/SA/3689_Marla10_cs.png","3689_Marla10_A4")</f>
        <v>3689_Marla10_A4</v>
      </c>
      <c r="B2873" t="str">
        <f>HYPERLINK("http://www.corstruth.com.au/SA/PNG2/3689_Marla10_cs.png","3689_Marla10_0.25m Bins")</f>
        <v>3689_Marla10_0.25m Bins</v>
      </c>
      <c r="C2873" t="str">
        <f>HYPERLINK("http://www.corstruth.com.au/SA/CSV/3689_Marla10.csv","3689_Marla10_CSV File 1m Bins")</f>
        <v>3689_Marla10_CSV File 1m Bins</v>
      </c>
      <c r="D2873">
        <v>3689</v>
      </c>
      <c r="E2873" t="s">
        <v>2163</v>
      </c>
      <c r="F2873" t="str">
        <f>HYPERLINK("https://drillhole.pir.sa.gov.au/Details.aspx?DRILLHOLE_NO=3689","Geol Survey Link")</f>
        <v>Geol Survey Link</v>
      </c>
      <c r="I2873">
        <v>-27.348400000000002</v>
      </c>
      <c r="J2873">
        <v>133.76400000000001</v>
      </c>
      <c r="K2873" t="str">
        <f>HYPERLINK("https://sarigdata.pir.sa.gov.au/nvcl/NVCLDataServices/mosaic.html?datasetid=8097bc56-2fe1-4c25-b0ed-3d587e0b306","3689_Marla10_Core Image")</f>
        <v>3689_Marla10_Core Image</v>
      </c>
    </row>
    <row r="2874" spans="1:11" x14ac:dyDescent="0.25">
      <c r="A2874" t="str">
        <f>HYPERLINK("http://www.corstruth.com.au/SA/382_Lake_Maurice_West_1_cs.png","382_Lake_Maurice_West_1_A4")</f>
        <v>382_Lake_Maurice_West_1_A4</v>
      </c>
      <c r="B2874" t="str">
        <f>HYPERLINK("http://www.corstruth.com.au/SA/PNG2/382_Lake_Maurice_West_1_cs.png","382_Lake_Maurice_West_1_0.25m Bins")</f>
        <v>382_Lake_Maurice_West_1_0.25m Bins</v>
      </c>
      <c r="C2874" t="str">
        <f>HYPERLINK("http://www.corstruth.com.au/SA/CSV/382_Lake_Maurice_West_1.csv","382_Lake_Maurice_West_1_CSV File 1m Bins")</f>
        <v>382_Lake_Maurice_West_1_CSV File 1m Bins</v>
      </c>
      <c r="D2874">
        <v>382</v>
      </c>
      <c r="E2874" t="s">
        <v>2163</v>
      </c>
      <c r="F2874" t="str">
        <f>HYPERLINK("https://drillhole.pir.sa.gov.au/Details.aspx?DRILLHOLE_NO=382","Geol Survey Link")</f>
        <v>Geol Survey Link</v>
      </c>
      <c r="I2874">
        <v>-29.2819</v>
      </c>
      <c r="J2874">
        <v>130.751</v>
      </c>
      <c r="K2874" t="str">
        <f>HYPERLINK("https://sarigdata.pir.sa.gov.au/nvcl/NVCLDataServices/mosaic.html?datasetid=31ef4664-73af-4b7f-bdf0-1e3ad3ffee8","382_Lake_Maurice_West_1_Core Image")</f>
        <v>382_Lake_Maurice_West_1_Core Image</v>
      </c>
    </row>
    <row r="2875" spans="1:11" x14ac:dyDescent="0.25">
      <c r="A2875" t="str">
        <f>HYPERLINK("http://www.corstruth.com.au/SA/424_CAROLINE_CR2_2004_cs.png","424_CAROLINE_CR2_2004_A4")</f>
        <v>424_CAROLINE_CR2_2004_A4</v>
      </c>
      <c r="D2875">
        <v>424</v>
      </c>
      <c r="E2875" t="s">
        <v>2163</v>
      </c>
      <c r="F2875" t="str">
        <f>HYPERLINK("https://drillhole.pir.sa.gov.au/Details.aspx?DRILLHOLE_NO=424","Geol Survey Link")</f>
        <v>Geol Survey Link</v>
      </c>
      <c r="I2875">
        <v>-26.393799999999999</v>
      </c>
      <c r="J2875">
        <v>130.66800000000001</v>
      </c>
    </row>
    <row r="2876" spans="1:11" x14ac:dyDescent="0.25">
      <c r="A2876" t="str">
        <f>HYPERLINK("http://www.corstruth.com.au/SA/426_CAROLINE_CR4_2004_cs.png","426_CAROLINE_CR4_2004_A4")</f>
        <v>426_CAROLINE_CR4_2004_A4</v>
      </c>
      <c r="D2876">
        <v>426</v>
      </c>
      <c r="E2876" t="s">
        <v>2163</v>
      </c>
      <c r="F2876" t="str">
        <f>HYPERLINK("https://drillhole.pir.sa.gov.au/Details.aspx?DRILLHOLE_NO=426","Geol Survey Link")</f>
        <v>Geol Survey Link</v>
      </c>
      <c r="I2876">
        <v>-26.406700000000001</v>
      </c>
      <c r="J2876">
        <v>130.66800000000001</v>
      </c>
    </row>
    <row r="2877" spans="1:11" x14ac:dyDescent="0.25">
      <c r="A2877" t="str">
        <f>HYPERLINK("http://www.corstruth.com.au/SA/427_CAROLINE_CR5_2005_cs.png","427_CAROLINE_CR5_2005_A4")</f>
        <v>427_CAROLINE_CR5_2005_A4</v>
      </c>
      <c r="D2877">
        <v>427</v>
      </c>
      <c r="E2877" t="s">
        <v>2163</v>
      </c>
      <c r="F2877" t="str">
        <f>HYPERLINK("https://drillhole.pir.sa.gov.au/Details.aspx?DRILLHOLE_NO=427","Geol Survey Link")</f>
        <v>Geol Survey Link</v>
      </c>
      <c r="I2877">
        <v>-26.407800000000002</v>
      </c>
      <c r="J2877">
        <v>130.619</v>
      </c>
    </row>
    <row r="2878" spans="1:11" x14ac:dyDescent="0.25">
      <c r="A2878" t="str">
        <f>HYPERLINK("http://www.corstruth.com.au/SA/428_CAROLINE_CR6_2005_cs.png","428_CAROLINE_CR6_2005_A4")</f>
        <v>428_CAROLINE_CR6_2005_A4</v>
      </c>
      <c r="D2878">
        <v>428</v>
      </c>
      <c r="E2878" t="s">
        <v>2163</v>
      </c>
      <c r="F2878" t="str">
        <f>HYPERLINK("https://drillhole.pir.sa.gov.au/Details.aspx?DRILLHOLE_NO=428","Geol Survey Link")</f>
        <v>Geol Survey Link</v>
      </c>
      <c r="I2878">
        <v>-26.3994</v>
      </c>
      <c r="J2878">
        <v>130.72999999999999</v>
      </c>
    </row>
    <row r="2879" spans="1:11" x14ac:dyDescent="0.25">
      <c r="A2879" t="str">
        <f>HYPERLINK("http://www.corstruth.com.au/SA/429_CAROLINE_CR7_2005_cs.png","429_CAROLINE_CR7_2005_A4")</f>
        <v>429_CAROLINE_CR7_2005_A4</v>
      </c>
      <c r="D2879">
        <v>429</v>
      </c>
      <c r="E2879" t="s">
        <v>2163</v>
      </c>
      <c r="F2879" t="str">
        <f>HYPERLINK("https://drillhole.pir.sa.gov.au/Details.aspx?DRILLHOLE_NO=429","Geol Survey Link")</f>
        <v>Geol Survey Link</v>
      </c>
      <c r="I2879">
        <v>-26.305800000000001</v>
      </c>
      <c r="J2879">
        <v>130.62899999999999</v>
      </c>
    </row>
    <row r="2880" spans="1:11" x14ac:dyDescent="0.25">
      <c r="A2880" t="str">
        <f>HYPERLINK("http://www.corstruth.com.au/SA/430_CAROLINE_CR8_2005_cs.png","430_CAROLINE_CR8_2005_A4")</f>
        <v>430_CAROLINE_CR8_2005_A4</v>
      </c>
      <c r="D2880">
        <v>430</v>
      </c>
      <c r="E2880" t="s">
        <v>2163</v>
      </c>
      <c r="F2880" t="str">
        <f>HYPERLINK("https://drillhole.pir.sa.gov.au/Details.aspx?DRILLHOLE_NO=430","Geol Survey Link")</f>
        <v>Geol Survey Link</v>
      </c>
      <c r="I2880">
        <v>-26.316199999999998</v>
      </c>
      <c r="J2880">
        <v>130.703</v>
      </c>
    </row>
    <row r="2881" spans="1:11" x14ac:dyDescent="0.25">
      <c r="A2881" t="str">
        <f>HYPERLINK("http://www.corstruth.com.au/SA/476_LakeMauriceEast_cs.png","476_LakeMauriceEast_A4")</f>
        <v>476_LakeMauriceEast_A4</v>
      </c>
      <c r="B2881" t="str">
        <f>HYPERLINK("http://www.corstruth.com.au/SA/PNG2/476_LakeMauriceEast_cs.png","476_LakeMauriceEast_0.25m Bins")</f>
        <v>476_LakeMauriceEast_0.25m Bins</v>
      </c>
      <c r="C2881" t="str">
        <f>HYPERLINK("http://www.corstruth.com.au/SA/CSV/476_LakeMauriceEast.csv","476_LakeMauriceEast_CSV File 1m Bins")</f>
        <v>476_LakeMauriceEast_CSV File 1m Bins</v>
      </c>
      <c r="D2881">
        <v>476</v>
      </c>
      <c r="E2881" t="s">
        <v>2163</v>
      </c>
      <c r="F2881" t="str">
        <f>HYPERLINK("https://drillhole.pir.sa.gov.au/Details.aspx?DRILLHOLE_NO=476","Geol Survey Link")</f>
        <v>Geol Survey Link</v>
      </c>
      <c r="I2881">
        <v>-29.615100000000002</v>
      </c>
      <c r="J2881">
        <v>131.465</v>
      </c>
      <c r="K2881" t="str">
        <f>HYPERLINK("https://sarigdata.pir.sa.gov.au/nvcl/NVCLDataServices/mosaic.html?datasetid=ee186548-9e87-42c1-917e-235d90ba8f2","476_LakeMauriceEast_Core Image")</f>
        <v>476_LakeMauriceEast_Core Image</v>
      </c>
    </row>
    <row r="2882" spans="1:11" x14ac:dyDescent="0.25">
      <c r="A2882" t="str">
        <f>HYPERLINK("http://www.corstruth.com.au/SA/5008_TALL_TPS02_cs.png","5008_TALL_TPS02_A4")</f>
        <v>5008_TALL_TPS02_A4</v>
      </c>
      <c r="D2882">
        <v>5008</v>
      </c>
      <c r="E2882" t="s">
        <v>2163</v>
      </c>
      <c r="F2882" t="str">
        <f>HYPERLINK("https://drillhole.pir.sa.gov.au/Details.aspx?DRILLHOLE_NO=5008","Geol Survey Link")</f>
        <v>Geol Survey Link</v>
      </c>
      <c r="I2882">
        <v>-29.547699999999999</v>
      </c>
      <c r="J2882">
        <v>134.36699999999999</v>
      </c>
    </row>
    <row r="2883" spans="1:11" x14ac:dyDescent="0.25">
      <c r="A2883" t="str">
        <f>HYPERLINK("http://www.corstruth.com.au/SA/5009_TALL_TPS03_cs.png","5009_TALL_TPS03_A4")</f>
        <v>5009_TALL_TPS03_A4</v>
      </c>
      <c r="D2883">
        <v>5009</v>
      </c>
      <c r="E2883" t="s">
        <v>2163</v>
      </c>
      <c r="F2883" t="str">
        <f>HYPERLINK("https://drillhole.pir.sa.gov.au/Details.aspx?DRILLHOLE_NO=5009","Geol Survey Link")</f>
        <v>Geol Survey Link</v>
      </c>
      <c r="I2883">
        <v>-29.528099999999998</v>
      </c>
      <c r="J2883">
        <v>134.33699999999999</v>
      </c>
    </row>
    <row r="2884" spans="1:11" x14ac:dyDescent="0.25">
      <c r="A2884" t="str">
        <f>HYPERLINK("http://www.corstruth.com.au/SA/612_Ooldea_3_cs.png","612_Ooldea_3_A4")</f>
        <v>612_Ooldea_3_A4</v>
      </c>
      <c r="B2884" t="str">
        <f>HYPERLINK("http://www.corstruth.com.au/SA/PNG2/612_Ooldea_3_cs.png","612_Ooldea_3_0.25m Bins")</f>
        <v>612_Ooldea_3_0.25m Bins</v>
      </c>
      <c r="C2884" t="str">
        <f>HYPERLINK("http://www.corstruth.com.au/SA/CSV/612_Ooldea_3.csv","612_Ooldea_3_CSV File 1m Bins")</f>
        <v>612_Ooldea_3_CSV File 1m Bins</v>
      </c>
      <c r="D2884">
        <v>612</v>
      </c>
      <c r="E2884" t="s">
        <v>2163</v>
      </c>
      <c r="F2884" t="str">
        <f>HYPERLINK("https://drillhole.pir.sa.gov.au/Details.aspx?DRILLHOLE_NO=612","Geol Survey Link")</f>
        <v>Geol Survey Link</v>
      </c>
      <c r="I2884">
        <v>-30.628900000000002</v>
      </c>
      <c r="J2884">
        <v>131.916</v>
      </c>
      <c r="K2884" t="str">
        <f>HYPERLINK("https://sarigdata.pir.sa.gov.au/nvcl/NVCLDataServices/mosaic.html?datasetid=461e2184-9a0a-4ac9-b74f-62fada3a5d6","612_Ooldea_3_Core Image")</f>
        <v>612_Ooldea_3_Core Image</v>
      </c>
    </row>
    <row r="2885" spans="1:11" x14ac:dyDescent="0.25">
      <c r="A2885" t="str">
        <f>HYPERLINK("http://www.corstruth.com.au/SA/613_Ooldea_2_cs.png","613_Ooldea_2_A4")</f>
        <v>613_Ooldea_2_A4</v>
      </c>
      <c r="B2885" t="str">
        <f>HYPERLINK("http://www.corstruth.com.au/SA/PNG2/613_Ooldea_2_cs.png","613_Ooldea_2_0.25m Bins")</f>
        <v>613_Ooldea_2_0.25m Bins</v>
      </c>
      <c r="C2885" t="str">
        <f>HYPERLINK("http://www.corstruth.com.au/SA/CSV/613_Ooldea_2.csv","613_Ooldea_2_CSV File 1m Bins")</f>
        <v>613_Ooldea_2_CSV File 1m Bins</v>
      </c>
      <c r="D2885">
        <v>613</v>
      </c>
      <c r="E2885" t="s">
        <v>2163</v>
      </c>
      <c r="F2885" t="str">
        <f>HYPERLINK("https://drillhole.pir.sa.gov.au/Details.aspx?DRILLHOLE_NO=613","Geol Survey Link")</f>
        <v>Geol Survey Link</v>
      </c>
      <c r="I2885">
        <v>-30.585699999999999</v>
      </c>
      <c r="J2885">
        <v>131.76</v>
      </c>
      <c r="K2885" t="str">
        <f>HYPERLINK("https://sarigdata.pir.sa.gov.au/nvcl/NVCLDataServices/mosaic.html?datasetid=6b95cdc5-2d35-4d33-9843-f3056b0a170","613_Ooldea_2_Core Image")</f>
        <v>613_Ooldea_2_Core Image</v>
      </c>
    </row>
    <row r="2886" spans="1:11" x14ac:dyDescent="0.25">
      <c r="A2886" t="str">
        <f>HYPERLINK("http://www.corstruth.com.au/SA/6426_Wilgena1_cs.png","6426_Wilgena1_A4")</f>
        <v>6426_Wilgena1_A4</v>
      </c>
      <c r="B2886" t="str">
        <f>HYPERLINK("http://www.corstruth.com.au/SA/PNG2/6426_Wilgena1_cs.png","6426_Wilgena1_0.25m Bins")</f>
        <v>6426_Wilgena1_0.25m Bins</v>
      </c>
      <c r="C2886" t="str">
        <f>HYPERLINK("http://www.corstruth.com.au/SA/CSV/6426_Wilgena1.csv","6426_Wilgena1_CSV File 1m Bins")</f>
        <v>6426_Wilgena1_CSV File 1m Bins</v>
      </c>
      <c r="D2886">
        <v>6426</v>
      </c>
      <c r="E2886" t="s">
        <v>2163</v>
      </c>
      <c r="F2886" t="str">
        <f>HYPERLINK("https://drillhole.pir.sa.gov.au/Details.aspx?DRILLHOLE_NO=6426","Geol Survey Link")</f>
        <v>Geol Survey Link</v>
      </c>
      <c r="I2886">
        <v>-30.696899999999999</v>
      </c>
      <c r="J2886">
        <v>134.64099999999999</v>
      </c>
      <c r="K2886" t="str">
        <f>HYPERLINK("https://sarigdata.pir.sa.gov.au/nvcl/NVCLDataServices/mosaic.html?datasetid=118aaed9-c9c5-4362-bb14-5a5ddcbcce7","6426_Wilgena1_Core Image")</f>
        <v>6426_Wilgena1_Core Image</v>
      </c>
    </row>
    <row r="2887" spans="1:11" x14ac:dyDescent="0.25">
      <c r="A2887" t="str">
        <f>HYPERLINK("http://www.corstruth.com.au/SA/645_Ooldea_1_cs.png","645_Ooldea_1_A4")</f>
        <v>645_Ooldea_1_A4</v>
      </c>
      <c r="B2887" t="str">
        <f>HYPERLINK("http://www.corstruth.com.au/SA/PNG2/645_Ooldea_1_cs.png","645_Ooldea_1_0.25m Bins")</f>
        <v>645_Ooldea_1_0.25m Bins</v>
      </c>
      <c r="C2887" t="str">
        <f>HYPERLINK("http://www.corstruth.com.au/SA/CSV/645_Ooldea_1.csv","645_Ooldea_1_CSV File 1m Bins")</f>
        <v>645_Ooldea_1_CSV File 1m Bins</v>
      </c>
      <c r="D2887">
        <v>645</v>
      </c>
      <c r="E2887" t="s">
        <v>2163</v>
      </c>
      <c r="F2887" t="str">
        <f>HYPERLINK("https://drillhole.pir.sa.gov.au/Details.aspx?DRILLHOLE_NO=645","Geol Survey Link")</f>
        <v>Geol Survey Link</v>
      </c>
      <c r="I2887">
        <v>-30.460100000000001</v>
      </c>
      <c r="J2887">
        <v>131.63</v>
      </c>
      <c r="K2887" t="str">
        <f>HYPERLINK("https://sarigdata.pir.sa.gov.au/nvcl/NVCLDataServices/mosaic.html?datasetid=33b40990-e2eb-4905-ba75-8e226baaae9","645_Ooldea_1_Core Image")</f>
        <v>645_Ooldea_1_Core Image</v>
      </c>
    </row>
    <row r="2888" spans="1:11" x14ac:dyDescent="0.25">
      <c r="A2888" t="str">
        <f>HYPERLINK("http://www.corstruth.com.au/SA/6607_BULGUNNIA1_cs.png","6607_BULGUNNIA1_A4")</f>
        <v>6607_BULGUNNIA1_A4</v>
      </c>
      <c r="D2888">
        <v>6607</v>
      </c>
      <c r="E2888" t="s">
        <v>2163</v>
      </c>
      <c r="F2888" t="str">
        <f>HYPERLINK("https://drillhole.pir.sa.gov.au/Details.aspx?DRILLHOLE_NO=6607","Geol Survey Link")</f>
        <v>Geol Survey Link</v>
      </c>
      <c r="I2888">
        <v>-30.299299999999999</v>
      </c>
      <c r="J2888">
        <v>134.863</v>
      </c>
    </row>
    <row r="2889" spans="1:11" x14ac:dyDescent="0.25">
      <c r="A2889" t="str">
        <f>HYPERLINK("http://www.corstruth.com.au/SA/6608_BULGUNNIA2_cs.png","6608_BULGUNNIA2_A4")</f>
        <v>6608_BULGUNNIA2_A4</v>
      </c>
      <c r="D2889">
        <v>6608</v>
      </c>
      <c r="E2889" t="s">
        <v>2163</v>
      </c>
      <c r="F2889" t="str">
        <f>HYPERLINK("https://drillhole.pir.sa.gov.au/Details.aspx?DRILLHOLE_NO=6608","Geol Survey Link")</f>
        <v>Geol Survey Link</v>
      </c>
      <c r="I2889">
        <v>-30.273299999999999</v>
      </c>
      <c r="J2889">
        <v>134.887</v>
      </c>
    </row>
    <row r="2890" spans="1:11" x14ac:dyDescent="0.25">
      <c r="A2890" t="str">
        <f>HYPERLINK("http://www.corstruth.com.au/SA/6698_BDH1_cs.png","6698_BDH1_A4")</f>
        <v>6698_BDH1_A4</v>
      </c>
      <c r="B2890" t="str">
        <f>HYPERLINK("http://www.corstruth.com.au/SA/PNG2/6698_BDH1_cs.png","6698_BDH1_0.25m Bins")</f>
        <v>6698_BDH1_0.25m Bins</v>
      </c>
      <c r="C2890" t="str">
        <f>HYPERLINK("http://www.corstruth.com.au/SA/CSV/6698_BDH1.csv","6698_BDH1_CSV File 1m Bins")</f>
        <v>6698_BDH1_CSV File 1m Bins</v>
      </c>
      <c r="D2890">
        <v>6698</v>
      </c>
      <c r="E2890" t="s">
        <v>2163</v>
      </c>
      <c r="F2890" t="str">
        <f>HYPERLINK("https://drillhole.pir.sa.gov.au/Details.aspx?DRILLHOLE_NO=6698","Geol Survey Link")</f>
        <v>Geol Survey Link</v>
      </c>
      <c r="I2890">
        <v>-30.253399999999999</v>
      </c>
      <c r="J2890">
        <v>134.917</v>
      </c>
      <c r="K2890" t="str">
        <f>HYPERLINK("https://sarigdata.pir.sa.gov.au/nvcl/NVCLDataServices/mosaic.html?datasetid=35af3f70-3d4b-4e7a-8c88-eaefe34cc00","6698_BDH1_Core Image")</f>
        <v>6698_BDH1_Core Image</v>
      </c>
    </row>
    <row r="2891" spans="1:11" x14ac:dyDescent="0.25">
      <c r="A2891" t="str">
        <f>HYPERLINK("http://www.corstruth.com.au/SA/6699_BDH2_cs.png","6699_BDH2_A4")</f>
        <v>6699_BDH2_A4</v>
      </c>
      <c r="D2891">
        <v>6699</v>
      </c>
      <c r="E2891" t="s">
        <v>2163</v>
      </c>
      <c r="F2891" t="str">
        <f>HYPERLINK("https://drillhole.pir.sa.gov.au/Details.aspx?DRILLHOLE_NO=6699","Geol Survey Link")</f>
        <v>Geol Survey Link</v>
      </c>
      <c r="I2891">
        <v>-30.269100000000002</v>
      </c>
      <c r="J2891">
        <v>134.90700000000001</v>
      </c>
      <c r="K2891" t="str">
        <f>HYPERLINK("https://sarigdata.pir.sa.gov.au/nvcl/NVCLDataServices/mosaic.html?datasetid=c1b4220c-5707-437f-926a-572970d0be8","6699_BDH2_Core Image")</f>
        <v>6699_BDH2_Core Image</v>
      </c>
    </row>
    <row r="2892" spans="1:11" x14ac:dyDescent="0.25">
      <c r="A2892" t="str">
        <f>HYPERLINK("http://www.corstruth.com.au/SA/6700_BDH3_cs.png","6700_BDH3_A4")</f>
        <v>6700_BDH3_A4</v>
      </c>
      <c r="D2892">
        <v>6700</v>
      </c>
      <c r="E2892" t="s">
        <v>2163</v>
      </c>
      <c r="F2892" t="str">
        <f>HYPERLINK("https://drillhole.pir.sa.gov.au/Details.aspx?DRILLHOLE_NO=6700","Geol Survey Link")</f>
        <v>Geol Survey Link</v>
      </c>
      <c r="I2892">
        <v>-30.2471</v>
      </c>
      <c r="J2892">
        <v>134.947</v>
      </c>
      <c r="K2892" t="str">
        <f>HYPERLINK("https://sarigdata.pir.sa.gov.au/nvcl/NVCLDataServices/mosaic.html?datasetid=6873ec33-b164-4092-8ddb-c8f3a2a7a3b","6700_BDH3_Core Image")</f>
        <v>6700_BDH3_Core Image</v>
      </c>
    </row>
    <row r="2893" spans="1:11" x14ac:dyDescent="0.25">
      <c r="A2893" t="str">
        <f>HYPERLINK("http://www.corstruth.com.au/SA/68601_ALFRED_DD1_cs.png","68601_ALFRED_DD1_A4")</f>
        <v>68601_ALFRED_DD1_A4</v>
      </c>
      <c r="D2893">
        <v>68601</v>
      </c>
      <c r="E2893" t="s">
        <v>2163</v>
      </c>
      <c r="F2893" t="str">
        <f>HYPERLINK("https://drillhole.pir.sa.gov.au/Details.aspx?DRILLHOLE_NO=68601","Geol Survey Link")</f>
        <v>Geol Survey Link</v>
      </c>
      <c r="I2893">
        <v>-32.106699999999996</v>
      </c>
      <c r="J2893">
        <v>138.768</v>
      </c>
    </row>
    <row r="2894" spans="1:11" x14ac:dyDescent="0.25">
      <c r="A2894" t="str">
        <f>HYPERLINK("http://www.corstruth.com.au/SA/6904_CP02_cs.png","6904_CP02_A4")</f>
        <v>6904_CP02_A4</v>
      </c>
      <c r="B2894" t="str">
        <f>HYPERLINK("http://www.corstruth.com.au/SA/PNG2/6904_CP02_cs.png","6904_CP02_0.25m Bins")</f>
        <v>6904_CP02_0.25m Bins</v>
      </c>
      <c r="C2894" t="str">
        <f>HYPERLINK("http://www.corstruth.com.au/SA/CSV/6904_CP02.csv","6904_CP02_CSV File 1m Bins")</f>
        <v>6904_CP02_CSV File 1m Bins</v>
      </c>
      <c r="D2894">
        <v>6904</v>
      </c>
      <c r="E2894" t="s">
        <v>2163</v>
      </c>
      <c r="F2894" t="str">
        <f>HYPERLINK("https://drillhole.pir.sa.gov.au/Details.aspx?DRILLHOLE_NO=6904","Geol Survey Link")</f>
        <v>Geol Survey Link</v>
      </c>
      <c r="I2894">
        <v>-28.863299999999999</v>
      </c>
      <c r="J2894">
        <v>134.62100000000001</v>
      </c>
      <c r="K2894" t="str">
        <f>HYPERLINK("https://sarigdata.pir.sa.gov.au/nvcl/NVCLDataServices/mosaic.html?datasetid=79737388-0d73-4d58-b267-8251fba8ef4","6904_CP02_Core Image")</f>
        <v>6904_CP02_Core Image</v>
      </c>
    </row>
    <row r="2895" spans="1:11" x14ac:dyDescent="0.25">
      <c r="A2895" t="str">
        <f>HYPERLINK("http://www.corstruth.com.au/SA/6909_CP03_cs.png","6909_CP03_A4")</f>
        <v>6909_CP03_A4</v>
      </c>
      <c r="B2895" t="str">
        <f>HYPERLINK("http://www.corstruth.com.au/SA/PNG2/6909_CP03_cs.png","6909_CP03_0.25m Bins")</f>
        <v>6909_CP03_0.25m Bins</v>
      </c>
      <c r="C2895" t="str">
        <f>HYPERLINK("http://www.corstruth.com.au/SA/CSV/6909_CP03.csv","6909_CP03_CSV File 1m Bins")</f>
        <v>6909_CP03_CSV File 1m Bins</v>
      </c>
      <c r="D2895">
        <v>6909</v>
      </c>
      <c r="E2895" t="s">
        <v>2163</v>
      </c>
      <c r="F2895" t="str">
        <f>HYPERLINK("https://drillhole.pir.sa.gov.au/Details.aspx?DRILLHOLE_NO=6909","Geol Survey Link")</f>
        <v>Geol Survey Link</v>
      </c>
      <c r="I2895">
        <v>-28.863299999999999</v>
      </c>
      <c r="J2895">
        <v>134.62100000000001</v>
      </c>
      <c r="K2895" t="str">
        <f>HYPERLINK("https://sarigdata.pir.sa.gov.au/nvcl/NVCLDataServices/mosaic.html?datasetid=d306d684-e939-447f-a964-34d9f31c014","6909_CP03_Core Image")</f>
        <v>6909_CP03_Core Image</v>
      </c>
    </row>
    <row r="2896" spans="1:11" x14ac:dyDescent="0.25">
      <c r="A2896" t="str">
        <f>HYPERLINK("http://www.corstruth.com.au/SA/6910_CP04_cs.png","6910_CP04_A4")</f>
        <v>6910_CP04_A4</v>
      </c>
      <c r="B2896" t="str">
        <f>HYPERLINK("http://www.corstruth.com.au/SA/PNG2/6910_CP04_cs.png","6910_CP04_0.25m Bins")</f>
        <v>6910_CP04_0.25m Bins</v>
      </c>
      <c r="C2896" t="str">
        <f>HYPERLINK("http://www.corstruth.com.au/SA/CSV/6910_CP04.csv","6910_CP04_CSV File 1m Bins")</f>
        <v>6910_CP04_CSV File 1m Bins</v>
      </c>
      <c r="D2896">
        <v>6910</v>
      </c>
      <c r="E2896" t="s">
        <v>2163</v>
      </c>
      <c r="F2896" t="str">
        <f>HYPERLINK("https://drillhole.pir.sa.gov.au/Details.aspx?DRILLHOLE_NO=6910","Geol Survey Link")</f>
        <v>Geol Survey Link</v>
      </c>
      <c r="I2896">
        <v>-28.863299999999999</v>
      </c>
      <c r="J2896">
        <v>134.62100000000001</v>
      </c>
      <c r="K2896" t="str">
        <f>HYPERLINK("https://sarigdata.pir.sa.gov.au/nvcl/NVCLDataServices/mosaic.html?datasetid=f964659b-79dc-4450-85cb-d982793c4c0","6910_CP04_Core Image")</f>
        <v>6910_CP04_Core Image</v>
      </c>
    </row>
    <row r="2897" spans="1:11" x14ac:dyDescent="0.25">
      <c r="A2897" t="str">
        <f>HYPERLINK("http://www.corstruth.com.au/SA/72812_DDH1_cs.png","72812_DDH1_A4")</f>
        <v>72812_DDH1_A4</v>
      </c>
      <c r="B2897" t="str">
        <f>HYPERLINK("http://www.corstruth.com.au/SA/PNG2/72812_DDH1_cs.png","72812_DDH1_0.25m Bins")</f>
        <v>72812_DDH1_0.25m Bins</v>
      </c>
      <c r="C2897" t="str">
        <f>HYPERLINK("http://www.corstruth.com.au/SA/CSV/72812_DDH1.csv","72812_DDH1_CSV File 1m Bins")</f>
        <v>72812_DDH1_CSV File 1m Bins</v>
      </c>
      <c r="D2897">
        <v>72812</v>
      </c>
      <c r="E2897" t="s">
        <v>2163</v>
      </c>
      <c r="F2897" t="str">
        <f>HYPERLINK("https://drillhole.pir.sa.gov.au/Details.aspx?DRILLHOLE_NO=72812","Geol Survey Link")</f>
        <v>Geol Survey Link</v>
      </c>
      <c r="I2897">
        <v>-35.492600000000003</v>
      </c>
      <c r="J2897">
        <v>139.43</v>
      </c>
    </row>
    <row r="2898" spans="1:11" x14ac:dyDescent="0.25">
      <c r="A2898" t="str">
        <f>HYPERLINK("http://www.corstruth.com.au/SA/75571_S11_cs.png","75571_S11_A4")</f>
        <v>75571_S11_A4</v>
      </c>
      <c r="B2898" t="str">
        <f>HYPERLINK("http://www.corstruth.com.au/SA/PNG2/75571_S11_cs.png","75571_S11_0.25m Bins")</f>
        <v>75571_S11_0.25m Bins</v>
      </c>
      <c r="C2898" t="str">
        <f>HYPERLINK("http://www.corstruth.com.au/SA/CSV/75571_S11.csv","75571_S11_CSV File 1m Bins")</f>
        <v>75571_S11_CSV File 1m Bins</v>
      </c>
      <c r="D2898">
        <v>75571</v>
      </c>
      <c r="E2898" t="s">
        <v>2163</v>
      </c>
      <c r="F2898" t="str">
        <f>HYPERLINK("https://drillhole.pir.sa.gov.au/Details.aspx?DRILLHOLE_NO=75571","Geol Survey Link")</f>
        <v>Geol Survey Link</v>
      </c>
      <c r="I2898">
        <v>-34.665999999999997</v>
      </c>
      <c r="J2898">
        <v>139.285</v>
      </c>
      <c r="K2898" t="str">
        <f>HYPERLINK("https://sarigdata.pir.sa.gov.au/nvcl/NVCLDataServices/mosaic.html?datasetid=f71adfe6-9728-457b-a40f-152490eb2c0","75571_S11_Core Image")</f>
        <v>75571_S11_Core Image</v>
      </c>
    </row>
    <row r="2899" spans="1:11" x14ac:dyDescent="0.25">
      <c r="A2899" t="str">
        <f>HYPERLINK("http://www.corstruth.com.au/SA/75573_KongoliaS14_cs.png","75573_KongoliaS14_A4")</f>
        <v>75573_KongoliaS14_A4</v>
      </c>
      <c r="B2899" t="str">
        <f>HYPERLINK("http://www.corstruth.com.au/SA/PNG2/75573_KongoliaS14_cs.png","75573_KongoliaS14_0.25m Bins")</f>
        <v>75573_KongoliaS14_0.25m Bins</v>
      </c>
      <c r="C2899" t="str">
        <f>HYPERLINK("http://www.corstruth.com.au/SA/CSV/75573_KongoliaS14.csv","75573_KongoliaS14_CSV File 1m Bins")</f>
        <v>75573_KongoliaS14_CSV File 1m Bins</v>
      </c>
      <c r="D2899">
        <v>75573</v>
      </c>
      <c r="E2899" t="s">
        <v>2163</v>
      </c>
      <c r="F2899" t="str">
        <f>HYPERLINK("https://drillhole.pir.sa.gov.au/Details.aspx?DRILLHOLE_NO=75573","Geol Survey Link")</f>
        <v>Geol Survey Link</v>
      </c>
      <c r="I2899">
        <v>-34.672400000000003</v>
      </c>
      <c r="J2899">
        <v>139.28800000000001</v>
      </c>
      <c r="K2899" t="str">
        <f>HYPERLINK("https://sarigdata.pir.sa.gov.au/nvcl/NVCLDataServices/mosaic.html?datasetid=5e9ae293-fd16-423b-8718-3613b42e781","75573_KongoliaS14_Core Image")</f>
        <v>75573_KongoliaS14_Core Image</v>
      </c>
    </row>
    <row r="2900" spans="1:11" x14ac:dyDescent="0.25">
      <c r="A2900" t="str">
        <f>HYPERLINK("http://www.corstruth.com.au/SA/77469_BD1_cs.png","77469_BD1_A4")</f>
        <v>77469_BD1_A4</v>
      </c>
      <c r="B2900" t="str">
        <f>HYPERLINK("http://www.corstruth.com.au/SA/PNG2/77469_BD1_cs.png","77469_BD1_0.25m Bins")</f>
        <v>77469_BD1_0.25m Bins</v>
      </c>
      <c r="C2900" t="str">
        <f>HYPERLINK("http://www.corstruth.com.au/SA/CSV/77469_BD1.csv","77469_BD1_CSV File 1m Bins")</f>
        <v>77469_BD1_CSV File 1m Bins</v>
      </c>
      <c r="D2900">
        <v>77469</v>
      </c>
      <c r="E2900" t="s">
        <v>2163</v>
      </c>
      <c r="F2900" t="str">
        <f>HYPERLINK("https://drillhole.pir.sa.gov.au/Details.aspx?DRILLHOLE_NO=77469","Geol Survey Link")</f>
        <v>Geol Survey Link</v>
      </c>
      <c r="I2900">
        <v>-33.199800000000003</v>
      </c>
      <c r="J2900">
        <v>139.46299999999999</v>
      </c>
      <c r="K2900" t="str">
        <f>HYPERLINK("https://sarigdata.pir.sa.gov.au/nvcl/NVCLDataServices/mosaic.html?datasetid=a0b8bdcf-42da-4193-a4bc-23293028989","77469_BD1_Core Image")</f>
        <v>77469_BD1_Core Image</v>
      </c>
    </row>
    <row r="2901" spans="1:11" x14ac:dyDescent="0.25">
      <c r="A2901" t="str">
        <f>HYPERLINK("http://www.corstruth.com.au/SA/77471_BD2_cs.png","77471_BD2_A4")</f>
        <v>77471_BD2_A4</v>
      </c>
      <c r="B2901" t="str">
        <f>HYPERLINK("http://www.corstruth.com.au/SA/PNG2/77471_BD2_cs.png","77471_BD2_0.25m Bins")</f>
        <v>77471_BD2_0.25m Bins</v>
      </c>
      <c r="C2901" t="str">
        <f>HYPERLINK("http://www.corstruth.com.au/SA/CSV/77471_BD2.csv","77471_BD2_CSV File 1m Bins")</f>
        <v>77471_BD2_CSV File 1m Bins</v>
      </c>
      <c r="D2901">
        <v>77471</v>
      </c>
      <c r="E2901" t="s">
        <v>2163</v>
      </c>
      <c r="F2901" t="str">
        <f>HYPERLINK("https://drillhole.pir.sa.gov.au/Details.aspx?DRILLHOLE_NO=77471","Geol Survey Link")</f>
        <v>Geol Survey Link</v>
      </c>
      <c r="I2901">
        <v>-33.199399999999997</v>
      </c>
      <c r="J2901">
        <v>139.46</v>
      </c>
      <c r="K2901" t="str">
        <f>HYPERLINK("https://sarigdata.pir.sa.gov.au/nvcl/NVCLDataServices/mosaic.html?datasetid=f2e80108-2a7a-4298-a9d0-c1ac15d4dc8","77471_BD2_Core Image")</f>
        <v>77471_BD2_Core Image</v>
      </c>
    </row>
    <row r="2902" spans="1:11" x14ac:dyDescent="0.25">
      <c r="A2902" t="str">
        <f>HYPERLINK("http://www.corstruth.com.au/SA/77476_BD3_cs.png","77476_BD3_A4")</f>
        <v>77476_BD3_A4</v>
      </c>
      <c r="B2902" t="str">
        <f>HYPERLINK("http://www.corstruth.com.au/SA/PNG2/77476_BD3_cs.png","77476_BD3_0.25m Bins")</f>
        <v>77476_BD3_0.25m Bins</v>
      </c>
      <c r="C2902" t="str">
        <f>HYPERLINK("http://www.corstruth.com.au/SA/CSV/77476_BD3.csv","77476_BD3_CSV File 1m Bins")</f>
        <v>77476_BD3_CSV File 1m Bins</v>
      </c>
      <c r="D2902">
        <v>77476</v>
      </c>
      <c r="E2902" t="s">
        <v>2163</v>
      </c>
      <c r="F2902" t="str">
        <f>HYPERLINK("https://drillhole.pir.sa.gov.au/Details.aspx?DRILLHOLE_NO=77476","Geol Survey Link")</f>
        <v>Geol Survey Link</v>
      </c>
      <c r="I2902">
        <v>-33.186300000000003</v>
      </c>
      <c r="J2902">
        <v>139.46799999999999</v>
      </c>
      <c r="K2902" t="str">
        <f>HYPERLINK("https://sarigdata.pir.sa.gov.au/nvcl/NVCLDataServices/mosaic.html?datasetid=c4599d62-c7ec-4db3-b478-878cc245af0","77476_BD3_Core Image")</f>
        <v>77476_BD3_Core Image</v>
      </c>
    </row>
    <row r="2903" spans="1:11" x14ac:dyDescent="0.25">
      <c r="A2903" t="str">
        <f>HYPERLINK("http://www.corstruth.com.au/SA/77482_BD6_cs.png","77482_BD6_A4")</f>
        <v>77482_BD6_A4</v>
      </c>
      <c r="B2903" t="str">
        <f>HYPERLINK("http://www.corstruth.com.au/SA/PNG2/77482_BD6_cs.png","77482_BD6_0.25m Bins")</f>
        <v>77482_BD6_0.25m Bins</v>
      </c>
      <c r="C2903" t="str">
        <f>HYPERLINK("http://www.corstruth.com.au/SA/CSV/77482_BD6.csv","77482_BD6_CSV File 1m Bins")</f>
        <v>77482_BD6_CSV File 1m Bins</v>
      </c>
      <c r="D2903">
        <v>77482</v>
      </c>
      <c r="E2903" t="s">
        <v>2163</v>
      </c>
      <c r="F2903" t="str">
        <f>HYPERLINK("https://drillhole.pir.sa.gov.au/Details.aspx?DRILLHOLE_NO=77482","Geol Survey Link")</f>
        <v>Geol Survey Link</v>
      </c>
      <c r="I2903">
        <v>-33.202399999999997</v>
      </c>
      <c r="J2903">
        <v>139.45099999999999</v>
      </c>
      <c r="K2903" t="str">
        <f>HYPERLINK("https://sarigdata.pir.sa.gov.au/nvcl/NVCLDataServices/mosaic.html?datasetid=08a2e727-5f03-47dd-8479-31325134cd7","77482_BD6_Core Image")</f>
        <v>77482_BD6_Core Image</v>
      </c>
    </row>
    <row r="2904" spans="1:11" x14ac:dyDescent="0.25">
      <c r="A2904" t="str">
        <f>HYPERLINK("http://www.corstruth.com.au/SA/77483_BD5_cs.png","77483_BD5_A4")</f>
        <v>77483_BD5_A4</v>
      </c>
      <c r="B2904" t="str">
        <f>HYPERLINK("http://www.corstruth.com.au/SA/PNG2/77483_BD5_cs.png","77483_BD5_0.25m Bins")</f>
        <v>77483_BD5_0.25m Bins</v>
      </c>
      <c r="C2904" t="str">
        <f>HYPERLINK("http://www.corstruth.com.au/SA/CSV/77483_BD5.csv","77483_BD5_CSV File 1m Bins")</f>
        <v>77483_BD5_CSV File 1m Bins</v>
      </c>
      <c r="D2904">
        <v>77483</v>
      </c>
      <c r="E2904" t="s">
        <v>2163</v>
      </c>
      <c r="F2904" t="str">
        <f>HYPERLINK("https://drillhole.pir.sa.gov.au/Details.aspx?DRILLHOLE_NO=77483","Geol Survey Link")</f>
        <v>Geol Survey Link</v>
      </c>
      <c r="I2904">
        <v>-33.187100000000001</v>
      </c>
      <c r="J2904">
        <v>139.46600000000001</v>
      </c>
      <c r="K2904" t="str">
        <f>HYPERLINK("https://sarigdata.pir.sa.gov.au/nvcl/NVCLDataServices/mosaic.html?datasetid=775513ba-b76e-4e8c-8fe4-148b9f2804a","77483_BD5_Core Image")</f>
        <v>77483_BD5_Core Image</v>
      </c>
    </row>
    <row r="2905" spans="1:11" x14ac:dyDescent="0.25">
      <c r="A2905" t="str">
        <f>HYPERLINK("http://www.corstruth.com.au/SA/77623_BD-4_cs.png","77623_BD-4_A4")</f>
        <v>77623_BD-4_A4</v>
      </c>
      <c r="B2905" t="str">
        <f>HYPERLINK("http://www.corstruth.com.au/SA/PNG2/77623_BD-4_cs.png","77623_BD-4_0.25m Bins")</f>
        <v>77623_BD-4_0.25m Bins</v>
      </c>
      <c r="C2905" t="str">
        <f>HYPERLINK("http://www.corstruth.com.au/SA/CSV/77623_BD-4.csv","77623_BD-4_CSV File 1m Bins")</f>
        <v>77623_BD-4_CSV File 1m Bins</v>
      </c>
      <c r="D2905">
        <v>77623</v>
      </c>
      <c r="E2905" t="s">
        <v>2163</v>
      </c>
      <c r="F2905" t="str">
        <f>HYPERLINK("https://drillhole.pir.sa.gov.au/Details.aspx?DRILLHOLE_NO=77623","Geol Survey Link")</f>
        <v>Geol Survey Link</v>
      </c>
      <c r="I2905">
        <v>-33.203600000000002</v>
      </c>
      <c r="J2905">
        <v>139.452</v>
      </c>
      <c r="K2905" t="str">
        <f>HYPERLINK("https://sarigdata.pir.sa.gov.au/nvcl/NVCLDataServices/mosaic.html?datasetid=8668e569-0908-49e7-ab4c-164a820c07a","77623_BD-4_Core Image")</f>
        <v>77623_BD-4_Core Image</v>
      </c>
    </row>
    <row r="2906" spans="1:11" x14ac:dyDescent="0.25">
      <c r="A2906" t="str">
        <f>HYPERLINK("http://www.corstruth.com.au/SA/77626_BD7_cs.png","77626_BD7_A4")</f>
        <v>77626_BD7_A4</v>
      </c>
      <c r="B2906" t="str">
        <f>HYPERLINK("http://www.corstruth.com.au/SA/PNG2/77626_BD7_cs.png","77626_BD7_0.25m Bins")</f>
        <v>77626_BD7_0.25m Bins</v>
      </c>
      <c r="C2906" t="str">
        <f>HYPERLINK("http://www.corstruth.com.au/SA/CSV/77626_BD7.csv","77626_BD7_CSV File 1m Bins")</f>
        <v>77626_BD7_CSV File 1m Bins</v>
      </c>
      <c r="D2906">
        <v>77626</v>
      </c>
      <c r="E2906" t="s">
        <v>2163</v>
      </c>
      <c r="F2906" t="str">
        <f>HYPERLINK("https://drillhole.pir.sa.gov.au/Details.aspx?DRILLHOLE_NO=77626","Geol Survey Link")</f>
        <v>Geol Survey Link</v>
      </c>
      <c r="I2906">
        <v>-33.194000000000003</v>
      </c>
      <c r="J2906">
        <v>139.46</v>
      </c>
      <c r="K2906" t="str">
        <f>HYPERLINK("https://sarigdata.pir.sa.gov.au/nvcl/NVCLDataServices/mosaic.html?datasetid=5a5487c5-4a26-431b-8211-d150f05c3e6","77626_BD7_Core Image")</f>
        <v>77626_BD7_Core Image</v>
      </c>
    </row>
    <row r="2907" spans="1:11" x14ac:dyDescent="0.25">
      <c r="A2907" t="str">
        <f>HYPERLINK("http://www.corstruth.com.au/SA/78434_MGD151_cs.png","78434_MGD151_A4")</f>
        <v>78434_MGD151_A4</v>
      </c>
      <c r="B2907" t="str">
        <f>HYPERLINK("http://www.corstruth.com.au/SA/PNG2/78434_MGD151_cs.png","78434_MGD151_0.25m Bins")</f>
        <v>78434_MGD151_0.25m Bins</v>
      </c>
      <c r="C2907" t="str">
        <f>HYPERLINK("http://www.corstruth.com.au/SA/CSV/78434_MGD151.csv","78434_MGD151_CSV File 1m Bins")</f>
        <v>78434_MGD151_CSV File 1m Bins</v>
      </c>
      <c r="D2907">
        <v>78434</v>
      </c>
      <c r="E2907" t="s">
        <v>2163</v>
      </c>
      <c r="F2907" t="str">
        <f>HYPERLINK("https://drillhole.pir.sa.gov.au/Details.aspx?DRILLHOLE_NO=78434","Geol Survey Link")</f>
        <v>Geol Survey Link</v>
      </c>
      <c r="I2907">
        <v>-30.226400000000002</v>
      </c>
      <c r="J2907">
        <v>139.34700000000001</v>
      </c>
      <c r="K2907" t="str">
        <f>HYPERLINK("https://sarigdata.pir.sa.gov.au/nvcl/NVCLDataServices/mosaic.html?datasetid=03fa082a-c1b7-42c8-9939-d2576f28f78","78434_MGD151_Core Image")</f>
        <v>78434_MGD151_Core Image</v>
      </c>
    </row>
    <row r="2908" spans="1:11" x14ac:dyDescent="0.25">
      <c r="A2908" t="str">
        <f>HYPERLINK("http://www.corstruth.com.au/SA/84857_MBT-12_Core_cs.png","84857_MBT-12_Core_A4")</f>
        <v>84857_MBT-12_Core_A4</v>
      </c>
      <c r="B2908" t="str">
        <f>HYPERLINK("http://www.corstruth.com.au/SA/PNG2/84857_MBT-12_Core_cs.png","84857_MBT-12_Core_0.25m Bins")</f>
        <v>84857_MBT-12_Core_0.25m Bins</v>
      </c>
      <c r="C2908" t="str">
        <f>HYPERLINK("http://www.corstruth.com.au/SA/CSV/84857_MBT-12_Core.csv","84857_MBT-12_Core_CSV File 1m Bins")</f>
        <v>84857_MBT-12_Core_CSV File 1m Bins</v>
      </c>
      <c r="D2908">
        <v>84857</v>
      </c>
      <c r="E2908" t="s">
        <v>2163</v>
      </c>
      <c r="F2908" t="str">
        <f>HYPERLINK("https://drillhole.pir.sa.gov.au/Details.aspx?DRILLHOLE_NO=84857","Geol Survey Link")</f>
        <v>Geol Survey Link</v>
      </c>
      <c r="I2908">
        <v>-35.155000000000001</v>
      </c>
      <c r="J2908">
        <v>139.779</v>
      </c>
      <c r="K2908" t="str">
        <f>HYPERLINK("https://sarigdata.pir.sa.gov.au/nvcl/NVCLDataServices/mosaic.html?datasetid=89b29613-2db2-4019-a1bb-ddf3949135a","84857_MBT-12_Core_Core Image")</f>
        <v>84857_MBT-12_Core_Core Image</v>
      </c>
    </row>
    <row r="2909" spans="1:11" x14ac:dyDescent="0.25">
      <c r="A2909" t="str">
        <f>HYPERLINK("http://www.corstruth.com.au/SA/87184_RD3_cs.png","87184_RD3_A4")</f>
        <v>87184_RD3_A4</v>
      </c>
      <c r="D2909">
        <v>87184</v>
      </c>
      <c r="E2909" t="s">
        <v>2163</v>
      </c>
      <c r="F2909" t="str">
        <f>HYPERLINK("https://drillhole.pir.sa.gov.au/Details.aspx?DRILLHOLE_NO=87184","Geol Survey Link")</f>
        <v>Geol Survey Link</v>
      </c>
      <c r="I2909">
        <v>-32.953899999999997</v>
      </c>
      <c r="J2909">
        <v>139.71799999999999</v>
      </c>
      <c r="K2909" t="str">
        <f>HYPERLINK("https://sarigdata.pir.sa.gov.au/nvcl/NVCLDataServices/mosaic.html?datasetid=5dfa6e6d-f997-4b17-a7f8-ff3900391f8","87184_RD3_Core Image")</f>
        <v>87184_RD3_Core Image</v>
      </c>
    </row>
    <row r="2910" spans="1:11" x14ac:dyDescent="0.25">
      <c r="A2910" t="str">
        <f>HYPERLINK("http://www.corstruth.com.au/SA/87185_RD1_cs.png","87185_RD1_A4")</f>
        <v>87185_RD1_A4</v>
      </c>
      <c r="D2910">
        <v>87185</v>
      </c>
      <c r="E2910" t="s">
        <v>2163</v>
      </c>
      <c r="F2910" t="str">
        <f>HYPERLINK("https://drillhole.pir.sa.gov.au/Details.aspx?DRILLHOLE_NO=87185","Geol Survey Link")</f>
        <v>Geol Survey Link</v>
      </c>
      <c r="I2910">
        <v>-32.955399999999997</v>
      </c>
      <c r="J2910">
        <v>139.715</v>
      </c>
      <c r="K2910" t="str">
        <f>HYPERLINK("https://sarigdata.pir.sa.gov.au/nvcl/NVCLDataServices/mosaic.html?datasetid=714327d9-c57b-4c05-8a22-ab16f0c921f","87185_RD1_Core Image")</f>
        <v>87185_RD1_Core Image</v>
      </c>
    </row>
    <row r="2911" spans="1:11" x14ac:dyDescent="0.25">
      <c r="A2911" t="str">
        <f>HYPERLINK("http://www.corstruth.com.au/SA/87186_RD2_cs.png","87186_RD2_A4")</f>
        <v>87186_RD2_A4</v>
      </c>
      <c r="D2911">
        <v>87186</v>
      </c>
      <c r="E2911" t="s">
        <v>2163</v>
      </c>
      <c r="F2911" t="str">
        <f>HYPERLINK("https://drillhole.pir.sa.gov.au/Details.aspx?DRILLHOLE_NO=87186","Geol Survey Link")</f>
        <v>Geol Survey Link</v>
      </c>
      <c r="I2911">
        <v>-32.958199999999998</v>
      </c>
      <c r="J2911">
        <v>139.904</v>
      </c>
      <c r="K2911" t="str">
        <f>HYPERLINK("https://sarigdata.pir.sa.gov.au/nvcl/NVCLDataServices/mosaic.html?datasetid=4110d5c3-3266-41ef-b128-bc7ae464d25","87186_RD2_Core Image")</f>
        <v>87186_RD2_Core Image</v>
      </c>
    </row>
    <row r="2912" spans="1:11" x14ac:dyDescent="0.25">
      <c r="A2912" t="str">
        <f>HYPERLINK("http://www.corstruth.com.au/SA/87419_DDEC54_cs.png","87419_DDEC54_A4")</f>
        <v>87419_DDEC54_A4</v>
      </c>
      <c r="B2912" t="str">
        <f>HYPERLINK("http://www.corstruth.com.au/SA/PNG2/87419_DDEC54_cs.png","87419_DDEC54_0.25m Bins")</f>
        <v>87419_DDEC54_0.25m Bins</v>
      </c>
      <c r="C2912" t="str">
        <f>HYPERLINK("http://www.corstruth.com.au/SA/CSV/87419_DDEC54.csv","87419_DDEC54_CSV File 1m Bins")</f>
        <v>87419_DDEC54_CSV File 1m Bins</v>
      </c>
      <c r="D2912">
        <v>87419</v>
      </c>
      <c r="E2912" t="s">
        <v>2163</v>
      </c>
      <c r="F2912" t="str">
        <f>HYPERLINK("https://drillhole.pir.sa.gov.au/Details.aspx?DRILLHOLE_NO=87419","Geol Survey Link")</f>
        <v>Geol Survey Link</v>
      </c>
      <c r="I2912">
        <v>-32.011000000000003</v>
      </c>
      <c r="J2912">
        <v>139.834</v>
      </c>
      <c r="K2912" t="str">
        <f>HYPERLINK("https://sarigdata.pir.sa.gov.au/nvcl/NVCLDataServices/mosaic.html?datasetid=97b1be9d-aa66-4096-843b-52ee94463e1","87419_DDEC54_Core Image")</f>
        <v>87419_DDEC54_Core Image</v>
      </c>
    </row>
    <row r="2913" spans="1:11" x14ac:dyDescent="0.25">
      <c r="A2913" t="str">
        <f>HYPERLINK("http://www.corstruth.com.au/SA/87420_DDEC55_cs.png","87420_DDEC55_A4")</f>
        <v>87420_DDEC55_A4</v>
      </c>
      <c r="B2913" t="str">
        <f>HYPERLINK("http://www.corstruth.com.au/SA/PNG2/87420_DDEC55_cs.png","87420_DDEC55_0.25m Bins")</f>
        <v>87420_DDEC55_0.25m Bins</v>
      </c>
      <c r="C2913" t="str">
        <f>HYPERLINK("http://www.corstruth.com.au/SA/CSV/87420_DDEC55.csv","87420_DDEC55_CSV File 1m Bins")</f>
        <v>87420_DDEC55_CSV File 1m Bins</v>
      </c>
      <c r="D2913">
        <v>87420</v>
      </c>
      <c r="E2913" t="s">
        <v>2163</v>
      </c>
      <c r="F2913" t="str">
        <f>HYPERLINK("https://drillhole.pir.sa.gov.au/Details.aspx?DRILLHOLE_NO=87420","Geol Survey Link")</f>
        <v>Geol Survey Link</v>
      </c>
      <c r="I2913">
        <v>-32.011000000000003</v>
      </c>
      <c r="J2913">
        <v>139.834</v>
      </c>
      <c r="K2913" t="str">
        <f>HYPERLINK("https://sarigdata.pir.sa.gov.au/nvcl/NVCLDataServices/mosaic.html?datasetid=a4b2b66e-2a11-4362-8b14-db3d2139751","87420_DDEC55_Core Image")</f>
        <v>87420_DDEC55_Core Image</v>
      </c>
    </row>
    <row r="2914" spans="1:11" x14ac:dyDescent="0.25">
      <c r="A2914" t="str">
        <f>HYPERLINK("http://www.corstruth.com.au/SA/87421_DDEC56_cs.png","87421_DDEC56_A4")</f>
        <v>87421_DDEC56_A4</v>
      </c>
      <c r="B2914" t="str">
        <f>HYPERLINK("http://www.corstruth.com.au/SA/PNG2/87421_DDEC56_cs.png","87421_DDEC56_0.25m Bins")</f>
        <v>87421_DDEC56_0.25m Bins</v>
      </c>
      <c r="C2914" t="str">
        <f>HYPERLINK("http://www.corstruth.com.au/SA/CSV/87421_DDEC56.csv","87421_DDEC56_CSV File 1m Bins")</f>
        <v>87421_DDEC56_CSV File 1m Bins</v>
      </c>
      <c r="D2914">
        <v>87421</v>
      </c>
      <c r="E2914" t="s">
        <v>2163</v>
      </c>
      <c r="F2914" t="str">
        <f>HYPERLINK("https://drillhole.pir.sa.gov.au/Details.aspx?DRILLHOLE_NO=87421","Geol Survey Link")</f>
        <v>Geol Survey Link</v>
      </c>
      <c r="I2914">
        <v>-32.011000000000003</v>
      </c>
      <c r="J2914">
        <v>139.834</v>
      </c>
      <c r="K2914" t="str">
        <f>HYPERLINK("https://sarigdata.pir.sa.gov.au/nvcl/NVCLDataServices/mosaic.html?datasetid=467e0308-4860-4012-bd64-14218d9f2d4","87421_DDEC56_Core Image")</f>
        <v>87421_DDEC56_Core Image</v>
      </c>
    </row>
    <row r="2915" spans="1:11" x14ac:dyDescent="0.25">
      <c r="A2915" t="str">
        <f>HYPERLINK("http://www.corstruth.com.au/SA/87767_Wertaloona_cs.png","87767_Wertaloona_A4")</f>
        <v>87767_Wertaloona_A4</v>
      </c>
      <c r="B2915" t="str">
        <f>HYPERLINK("http://www.corstruth.com.au/SA/PNG2/87767_Wertaloona_cs.png","87767_Wertaloona_0.25m Bins")</f>
        <v>87767_Wertaloona_0.25m Bins</v>
      </c>
      <c r="C2915" t="str">
        <f>HYPERLINK("http://www.corstruth.com.au/SA/CSV/87767_Wertaloona.csv","87767_Wertaloona_CSV File 1m Bins")</f>
        <v>87767_Wertaloona_CSV File 1m Bins</v>
      </c>
      <c r="D2915">
        <v>87767</v>
      </c>
      <c r="E2915" t="s">
        <v>2163</v>
      </c>
      <c r="F2915" t="str">
        <f>HYPERLINK("https://drillhole.pir.sa.gov.au/Details.aspx?DRILLHOLE_NO=87767","Geol Survey Link")</f>
        <v>Geol Survey Link</v>
      </c>
      <c r="I2915">
        <v>-30.937200000000001</v>
      </c>
      <c r="J2915">
        <v>139.50700000000001</v>
      </c>
      <c r="K2915" t="str">
        <f>HYPERLINK("https://sarigdata.pir.sa.gov.au/nvcl/NVCLDataServices/mosaic.html?datasetid=b250dff5-c172-455d-b1ce-e4fcdb938f1","87767_Wertaloona_Core Image")</f>
        <v>87767_Wertaloona_Core Image</v>
      </c>
    </row>
    <row r="2916" spans="1:11" x14ac:dyDescent="0.25">
      <c r="A2916" t="str">
        <f>HYPERLINK("http://www.corstruth.com.au/SA/87768_Wooltana_1_cs.png","87768_Wooltana_1_A4")</f>
        <v>87768_Wooltana_1_A4</v>
      </c>
      <c r="B2916" t="str">
        <f>HYPERLINK("http://www.corstruth.com.au/SA/PNG2/87768_Wooltana_1_cs.png","87768_Wooltana_1_0.25m Bins")</f>
        <v>87768_Wooltana_1_0.25m Bins</v>
      </c>
      <c r="C2916" t="str">
        <f>HYPERLINK("http://www.corstruth.com.au/SA/CSV/87768_Wooltana_1.csv","87768_Wooltana_1_CSV File 1m Bins")</f>
        <v>87768_Wooltana_1_CSV File 1m Bins</v>
      </c>
      <c r="D2916">
        <v>87768</v>
      </c>
      <c r="E2916" t="s">
        <v>2163</v>
      </c>
      <c r="F2916" t="str">
        <f>HYPERLINK("https://drillhole.pir.sa.gov.au/Details.aspx?DRILLHOLE_NO=87768","Geol Survey Link")</f>
        <v>Geol Survey Link</v>
      </c>
      <c r="I2916">
        <v>-30.581800000000001</v>
      </c>
      <c r="J2916">
        <v>139.572</v>
      </c>
      <c r="K2916" t="str">
        <f>HYPERLINK("https://sarigdata.pir.sa.gov.au/nvcl/NVCLDataServices/mosaic.html?datasetid=7bea7b8d-38e0-43e9-a712-990b00693e4","87768_Wooltana_1_Core Image")</f>
        <v>87768_Wooltana_1_Core Image</v>
      </c>
    </row>
    <row r="2917" spans="1:11" x14ac:dyDescent="0.25">
      <c r="A2917" t="str">
        <f>HYPERLINK("http://www.corstruth.com.au/SA/88050_GIDGEALPA17_cs.png","88050_GIDGEALPA17_A4")</f>
        <v>88050_GIDGEALPA17_A4</v>
      </c>
      <c r="D2917">
        <v>88050</v>
      </c>
      <c r="E2917" t="s">
        <v>2163</v>
      </c>
      <c r="F2917" t="str">
        <f>HYPERLINK("https://drillhole.pir.sa.gov.au/Details.aspx?DRILLHOLE_NO=88050","Geol Survey Link")</f>
        <v>Geol Survey Link</v>
      </c>
      <c r="I2917">
        <v>-28.0151</v>
      </c>
      <c r="J2917">
        <v>139.994</v>
      </c>
    </row>
    <row r="2918" spans="1:11" x14ac:dyDescent="0.25">
      <c r="A2918" t="str">
        <f>HYPERLINK("http://www.corstruth.com.au/SA/88061_Gidgealpa_26_cs.png","88061_Gidgealpa_26_A4")</f>
        <v>88061_Gidgealpa_26_A4</v>
      </c>
      <c r="D2918">
        <v>88061</v>
      </c>
      <c r="E2918" t="s">
        <v>2163</v>
      </c>
      <c r="F2918" t="str">
        <f>HYPERLINK("https://drillhole.pir.sa.gov.au/Details.aspx?DRILLHOLE_NO=88061","Geol Survey Link")</f>
        <v>Geol Survey Link</v>
      </c>
      <c r="I2918">
        <v>-28.019600000000001</v>
      </c>
      <c r="J2918">
        <v>139.99199999999999</v>
      </c>
    </row>
    <row r="2919" spans="1:11" x14ac:dyDescent="0.25">
      <c r="A2919" t="str">
        <f>HYPERLINK("http://www.corstruth.com.au/SA/88132_GIDGEALPA32_cs.png","88132_GIDGEALPA32_A4")</f>
        <v>88132_GIDGEALPA32_A4</v>
      </c>
      <c r="D2919">
        <v>88132</v>
      </c>
      <c r="E2919" t="s">
        <v>2163</v>
      </c>
      <c r="F2919" t="str">
        <f>HYPERLINK("https://drillhole.pir.sa.gov.au/Details.aspx?DRILLHOLE_NO=88132","Geol Survey Link")</f>
        <v>Geol Survey Link</v>
      </c>
      <c r="I2919">
        <v>-28.0152</v>
      </c>
      <c r="J2919">
        <v>139.989</v>
      </c>
    </row>
    <row r="2920" spans="1:11" x14ac:dyDescent="0.25">
      <c r="A2920" t="str">
        <f>HYPERLINK("http://www.corstruth.com.au/SA/88162_GIDGEALPA37_cs.png","88162_GIDGEALPA37_A4")</f>
        <v>88162_GIDGEALPA37_A4</v>
      </c>
      <c r="D2920">
        <v>88162</v>
      </c>
      <c r="E2920" t="s">
        <v>2163</v>
      </c>
      <c r="F2920" t="str">
        <f>HYPERLINK("https://drillhole.pir.sa.gov.au/Details.aspx?DRILLHOLE_NO=88162","Geol Survey Link")</f>
        <v>Geol Survey Link</v>
      </c>
      <c r="I2920">
        <v>-28.015499999999999</v>
      </c>
      <c r="J2920">
        <v>139.99299999999999</v>
      </c>
    </row>
    <row r="2921" spans="1:11" x14ac:dyDescent="0.25">
      <c r="A2921" t="str">
        <f>HYPERLINK("http://www.corstruth.com.au/SA/88204_FlyLake1_cs.png","88204_FlyLake1_A4")</f>
        <v>88204_FlyLake1_A4</v>
      </c>
      <c r="D2921">
        <v>88204</v>
      </c>
      <c r="E2921" t="s">
        <v>2163</v>
      </c>
      <c r="F2921" t="str">
        <f>HYPERLINK("https://drillhole.pir.sa.gov.au/Details.aspx?DRILLHOLE_NO=88204","Geol Survey Link")</f>
        <v>Geol Survey Link</v>
      </c>
      <c r="I2921">
        <v>-27.635200000000001</v>
      </c>
      <c r="J2921">
        <v>139.94499999999999</v>
      </c>
      <c r="K2921" t="str">
        <f>HYPERLINK("https://sarigdata.pir.sa.gov.au/nvcl/NVCLDataServices/mosaic.html?datasetid=bedbce80-d343-4dbb-89f9-90ad2a592a9","88204_FlyLake1_Core Image")</f>
        <v>88204_FlyLake1_Core Image</v>
      </c>
    </row>
    <row r="2922" spans="1:11" x14ac:dyDescent="0.25">
      <c r="A2922" t="str">
        <f>HYPERLINK("http://www.corstruth.com.au/SA/88205_FlyLake2_cs.png","88205_FlyLake2_A4")</f>
        <v>88205_FlyLake2_A4</v>
      </c>
      <c r="D2922">
        <v>88205</v>
      </c>
      <c r="E2922" t="s">
        <v>2163</v>
      </c>
      <c r="F2922" t="str">
        <f>HYPERLINK("https://drillhole.pir.sa.gov.au/Details.aspx?DRILLHOLE_NO=88205","Geol Survey Link")</f>
        <v>Geol Survey Link</v>
      </c>
      <c r="I2922">
        <v>-27.621200000000002</v>
      </c>
      <c r="J2922">
        <v>139.97999999999999</v>
      </c>
      <c r="K2922" t="str">
        <f>HYPERLINK("https://sarigdata.pir.sa.gov.au/nvcl/NVCLDataServices/mosaic.html?datasetid=13cc5ae2-59f1-4846-9035-ce042333a06","88205_FlyLake2_Core Image")</f>
        <v>88205_FlyLake2_Core Image</v>
      </c>
    </row>
    <row r="2923" spans="1:11" x14ac:dyDescent="0.25">
      <c r="A2923" t="str">
        <f>HYPERLINK("http://www.corstruth.com.au/SA/88206_FlyLake3_cs.png","88206_FlyLake3_A4")</f>
        <v>88206_FlyLake3_A4</v>
      </c>
      <c r="D2923">
        <v>88206</v>
      </c>
      <c r="E2923" t="s">
        <v>2163</v>
      </c>
      <c r="F2923" t="str">
        <f>HYPERLINK("https://drillhole.pir.sa.gov.au/Details.aspx?DRILLHOLE_NO=88206","Geol Survey Link")</f>
        <v>Geol Survey Link</v>
      </c>
      <c r="I2923">
        <v>-27.661100000000001</v>
      </c>
      <c r="J2923">
        <v>139.93700000000001</v>
      </c>
      <c r="K2923" t="str">
        <f>HYPERLINK("https://sarigdata.pir.sa.gov.au/nvcl/NVCLDataServices/mosaic.html?datasetid=ab57d562-f721-4be5-8670-90f63b66e86","88206_FlyLake3_Core Image")</f>
        <v>88206_FlyLake3_Core Image</v>
      </c>
    </row>
    <row r="2924" spans="1:11" x14ac:dyDescent="0.25">
      <c r="A2924" t="str">
        <f>HYPERLINK("http://www.corstruth.com.au/SA/919_Nundroo_3_DDH_cs.png","919_Nundroo_3_DDH_A4")</f>
        <v>919_Nundroo_3_DDH_A4</v>
      </c>
      <c r="B2924" t="str">
        <f>HYPERLINK("http://www.corstruth.com.au/SA/PNG2/919_Nundroo_3_DDH_cs.png","919_Nundroo_3_DDH_0.25m Bins")</f>
        <v>919_Nundroo_3_DDH_0.25m Bins</v>
      </c>
      <c r="C2924" t="str">
        <f>HYPERLINK("http://www.corstruth.com.au/SA/CSV/919_Nundroo_3_DDH.csv","919_Nundroo_3_DDH_CSV File 1m Bins")</f>
        <v>919_Nundroo_3_DDH_CSV File 1m Bins</v>
      </c>
      <c r="D2924">
        <v>919</v>
      </c>
      <c r="E2924" t="s">
        <v>2163</v>
      </c>
      <c r="F2924" t="str">
        <f>HYPERLINK("https://drillhole.pir.sa.gov.au/Details.aspx?DRILLHOLE_NO=919","Geol Survey Link")</f>
        <v>Geol Survey Link</v>
      </c>
      <c r="I2924">
        <v>-31.784300000000002</v>
      </c>
      <c r="J2924">
        <v>132.21600000000001</v>
      </c>
      <c r="K2924" t="str">
        <f>HYPERLINK("https://sarigdata.pir.sa.gov.au/nvcl/NVCLDataServices/mosaic.html?datasetid=1d8ce938-b251-4853-8fd6-1687c2e0e8f","919_Nundroo_3_DDH_Core Image")</f>
        <v>919_Nundroo_3_DDH_Core Image</v>
      </c>
    </row>
    <row r="2925" spans="1:11" x14ac:dyDescent="0.25">
      <c r="A2925" t="str">
        <f>HYPERLINK("http://www.corstruth.com.au/SA/9482_LakeHarris1_cs.png","9482_LakeHarris1_A4")</f>
        <v>9482_LakeHarris1_A4</v>
      </c>
      <c r="B2925" t="str">
        <f>HYPERLINK("http://www.corstruth.com.au/SA/PNG2/9482_LakeHarris1_cs.png","9482_LakeHarris1_0.25m Bins")</f>
        <v>9482_LakeHarris1_0.25m Bins</v>
      </c>
      <c r="C2925" t="str">
        <f>HYPERLINK("http://www.corstruth.com.au/SA/CSV/9482_LakeHarris1.csv","9482_LakeHarris1_CSV File 1m Bins")</f>
        <v>9482_LakeHarris1_CSV File 1m Bins</v>
      </c>
      <c r="D2925">
        <v>9482</v>
      </c>
      <c r="E2925" t="s">
        <v>2163</v>
      </c>
      <c r="F2925" t="str">
        <f>HYPERLINK("https://drillhole.pir.sa.gov.au/Details.aspx?DRILLHOLE_NO=9482","Geol Survey Link")</f>
        <v>Geol Survey Link</v>
      </c>
      <c r="I2925">
        <v>-31.029199999999999</v>
      </c>
      <c r="J2925">
        <v>135.14099999999999</v>
      </c>
      <c r="K2925" t="str">
        <f>HYPERLINK("https://sarigdata.pir.sa.gov.au/nvcl/NVCLDataServices/mosaic.html?datasetid=26888185-1a1a-49f7-9d1a-9efb2f3ab5e","9482_LakeHarris1_Core Image")</f>
        <v>9482_LakeHarris1_Core Image</v>
      </c>
    </row>
    <row r="2926" spans="1:11" x14ac:dyDescent="0.25">
      <c r="A2926" t="str">
        <f>HYPERLINK("http://www.corstruth.com.au/SA/9483_LakeHaris2_cs.png","9483_LakeHaris2_A4")</f>
        <v>9483_LakeHaris2_A4</v>
      </c>
      <c r="B2926" t="str">
        <f>HYPERLINK("http://www.corstruth.com.au/SA/PNG2/9483_LakeHaris2_cs.png","9483_LakeHaris2_0.25m Bins")</f>
        <v>9483_LakeHaris2_0.25m Bins</v>
      </c>
      <c r="C2926" t="str">
        <f>HYPERLINK("http://www.corstruth.com.au/SA/CSV/9483_LakeHaris2.csv","9483_LakeHaris2_CSV File 1m Bins")</f>
        <v>9483_LakeHaris2_CSV File 1m Bins</v>
      </c>
      <c r="D2926">
        <v>9483</v>
      </c>
      <c r="E2926" t="s">
        <v>2163</v>
      </c>
      <c r="F2926" t="str">
        <f>HYPERLINK("https://drillhole.pir.sa.gov.au/Details.aspx?DRILLHOLE_NO=9483","Geol Survey Link")</f>
        <v>Geol Survey Link</v>
      </c>
      <c r="I2926">
        <v>-31.0305</v>
      </c>
      <c r="J2926">
        <v>135.137</v>
      </c>
      <c r="K2926" t="str">
        <f>HYPERLINK("https://sarigdata.pir.sa.gov.au/nvcl/NVCLDataServices/mosaic.html?datasetid=85cbca90-c1e7-4948-83b7-ca1f4fddf68","9483_LakeHaris2_Core Image")</f>
        <v>9483_LakeHaris2_Core Image</v>
      </c>
    </row>
    <row r="2927" spans="1:11" x14ac:dyDescent="0.25">
      <c r="A2927" t="str">
        <f>HYPERLINK("http://www.corstruth.com.au/SA/9569_DD88ME2_cs.png","9569_DD88ME2_A4")</f>
        <v>9569_DD88ME2_A4</v>
      </c>
      <c r="B2927" t="str">
        <f>HYPERLINK("http://www.corstruth.com.au/SA/PNG2/9569_DD88ME2_cs.png","9569_DD88ME2_0.25m Bins")</f>
        <v>9569_DD88ME2_0.25m Bins</v>
      </c>
      <c r="C2927" t="str">
        <f>HYPERLINK("http://www.corstruth.com.au/SA/CSV/9569_DD88ME2.csv","9569_DD88ME2_CSV File 1m Bins")</f>
        <v>9569_DD88ME2_CSV File 1m Bins</v>
      </c>
      <c r="D2927">
        <v>9569</v>
      </c>
      <c r="E2927" t="s">
        <v>2163</v>
      </c>
      <c r="F2927" t="str">
        <f>HYPERLINK("https://drillhole.pir.sa.gov.au/Details.aspx?DRILLHOLE_NO=9569","Geol Survey Link")</f>
        <v>Geol Survey Link</v>
      </c>
      <c r="I2927">
        <v>-30.661200000000001</v>
      </c>
      <c r="J2927">
        <v>135.024</v>
      </c>
      <c r="K2927" t="str">
        <f>HYPERLINK("https://sarigdata.pir.sa.gov.au/nvcl/NVCLDataServices/mosaic.html?datasetid=193d08b1-cfe0-4089-8758-479d576ef3a","9569_DD88ME2_Core Image")</f>
        <v>9569_DD88ME2_Core Image</v>
      </c>
    </row>
    <row r="2928" spans="1:11" x14ac:dyDescent="0.25">
      <c r="A2928" t="str">
        <f>HYPERLINK("http://www.corstruth.com.au/SA/9603_ERD4_cs.png","9603_ERD4_A4")</f>
        <v>9603_ERD4_A4</v>
      </c>
      <c r="D2928">
        <v>9603</v>
      </c>
      <c r="E2928" t="s">
        <v>2163</v>
      </c>
      <c r="F2928" t="str">
        <f>HYPERLINK("https://drillhole.pir.sa.gov.au/Details.aspx?DRILLHOLE_NO=9603","Geol Survey Link")</f>
        <v>Geol Survey Link</v>
      </c>
      <c r="I2928">
        <v>-30.758199999999999</v>
      </c>
      <c r="J2928">
        <v>135.32499999999999</v>
      </c>
      <c r="K2928" t="str">
        <f>HYPERLINK("https://sarigdata.pir.sa.gov.au/nvcl/NVCLDataServices/mosaic.html?datasetid=004af731-9330-4be2-80c0-6b14159ec62","9603_ERD4_Core Image")</f>
        <v>9603_ERD4_Core Image</v>
      </c>
    </row>
    <row r="2929" spans="1:11" x14ac:dyDescent="0.25">
      <c r="A2929" t="str">
        <f>HYPERLINK("http://www.corstruth.com.au/SA/9955_DD88HN1_cs.png","9955_DD88HN1_A4")</f>
        <v>9955_DD88HN1_A4</v>
      </c>
      <c r="B2929" t="str">
        <f>HYPERLINK("http://www.corstruth.com.au/SA/PNG2/9955_DD88HN1_cs.png","9955_DD88HN1_0.25m Bins")</f>
        <v>9955_DD88HN1_0.25m Bins</v>
      </c>
      <c r="C2929" t="str">
        <f>HYPERLINK("http://www.corstruth.com.au/SA/CSV/9955_DD88HN1.csv","9955_DD88HN1_CSV File 1m Bins")</f>
        <v>9955_DD88HN1_CSV File 1m Bins</v>
      </c>
      <c r="D2929">
        <v>9955</v>
      </c>
      <c r="E2929" t="s">
        <v>2163</v>
      </c>
      <c r="F2929" t="str">
        <f>HYPERLINK("https://drillhole.pir.sa.gov.au/Details.aspx?DRILLHOLE_NO=9955","Geol Survey Link")</f>
        <v>Geol Survey Link</v>
      </c>
      <c r="I2929">
        <v>-30.001200000000001</v>
      </c>
      <c r="J2929">
        <v>135.14599999999999</v>
      </c>
      <c r="K2929" t="str">
        <f>HYPERLINK("https://sarigdata.pir.sa.gov.au/nvcl/NVCLDataServices/mosaic.html?datasetid=a59b12aa-fffb-4ad1-a43e-9d16a0af2ae","9955_DD88HN1_Core Image")</f>
        <v>9955_DD88HN1_Core Image</v>
      </c>
    </row>
    <row r="2930" spans="1:11" x14ac:dyDescent="0.25">
      <c r="A2930" t="str">
        <f>HYPERLINK("http://www.corstruth.com.au/SA/9989_MtWoods1_cs.png","9989_MtWoods1_A4")</f>
        <v>9989_MtWoods1_A4</v>
      </c>
      <c r="B2930" t="str">
        <f>HYPERLINK("http://www.corstruth.com.au/SA/PNG2/9989_MtWoods1_cs.png","9989_MtWoods1_0.25m Bins")</f>
        <v>9989_MtWoods1_0.25m Bins</v>
      </c>
      <c r="C2930" t="str">
        <f>HYPERLINK("http://www.corstruth.com.au/SA/CSV/9989_MtWoods1.csv","9989_MtWoods1_CSV File 1m Bins")</f>
        <v>9989_MtWoods1_CSV File 1m Bins</v>
      </c>
      <c r="D2930">
        <v>9989</v>
      </c>
      <c r="E2930" t="s">
        <v>2163</v>
      </c>
      <c r="F2930" t="str">
        <f>HYPERLINK("https://drillhole.pir.sa.gov.au/Details.aspx?DRILLHOLE_NO=9989","Geol Survey Link")</f>
        <v>Geol Survey Link</v>
      </c>
      <c r="I2930">
        <v>-29.616800000000001</v>
      </c>
      <c r="J2930">
        <v>135.48699999999999</v>
      </c>
      <c r="K2930" t="str">
        <f>HYPERLINK("https://sarigdata.pir.sa.gov.au/nvcl/NVCLDataServices/mosaic.html?datasetid=f39faef1-281b-464e-81ab-a330d5854a8","9989_MtWoods1_Core Image")</f>
        <v>9989_MtWoods1_Core Image</v>
      </c>
    </row>
    <row r="2931" spans="1:11" x14ac:dyDescent="0.25">
      <c r="A2931" t="str">
        <f>HYPERLINK("http://www.corstruth.com.au/SA/285472_ACEDD002_cs.png","285472_ACEDD002_A4")</f>
        <v>285472_ACEDD002_A4</v>
      </c>
      <c r="B2931" t="str">
        <f>HYPERLINK("http://www.corstruth.com.au/SA/PNG2/285472_ACEDD002_cs.png","285472_ACEDD002_0.25m Bins")</f>
        <v>285472_ACEDD002_0.25m Bins</v>
      </c>
      <c r="C2931" t="str">
        <f>HYPERLINK("http://www.corstruth.com.au/SA/CSV/285472_ACEDD002.csv","285472_ACEDD002_CSV File 1m Bins")</f>
        <v>285472_ACEDD002_CSV File 1m Bins</v>
      </c>
      <c r="D2931" t="s">
        <v>2164</v>
      </c>
      <c r="E2931" t="s">
        <v>2163</v>
      </c>
      <c r="F2931" t="str">
        <f>HYPERLINK("https://drillhole.pir.sa.gov.au/Details.aspx?DRILLHOLE_NO=285472_ACEDD002","Geol Survey Link")</f>
        <v>Geol Survey Link</v>
      </c>
      <c r="I2931">
        <v>0</v>
      </c>
      <c r="J2931">
        <v>0</v>
      </c>
    </row>
    <row r="2932" spans="1:11" x14ac:dyDescent="0.25">
      <c r="A2932" t="str">
        <f>HYPERLINK("http://www.corstruth.com.au/NT/2317386_ND1_cs.png","2317386_ND1_A4")</f>
        <v>2317386_ND1_A4</v>
      </c>
      <c r="D2932">
        <v>2317386</v>
      </c>
      <c r="E2932" t="s">
        <v>2165</v>
      </c>
      <c r="I2932">
        <v>-17.8735</v>
      </c>
      <c r="J2932">
        <v>137.92599999999999</v>
      </c>
      <c r="K2932" t="str">
        <f>HYPERLINK("http://geology.data.nt.gov.au/NVCLDataServices/mosaic.html?datasetid=9122f0ab-9dc6-4cc1-977d-723afa9eeff","2317386_ND1_Core Image")</f>
        <v>2317386_ND1_Core Image</v>
      </c>
    </row>
    <row r="2933" spans="1:11" x14ac:dyDescent="0.25">
      <c r="A2933" t="str">
        <f>HYPERLINK("http://www.corstruth.com.au/NT/2317390_ND2_cs.png","2317390_ND2_A4")</f>
        <v>2317390_ND2_A4</v>
      </c>
      <c r="D2933">
        <v>2317390</v>
      </c>
      <c r="E2933" t="s">
        <v>2165</v>
      </c>
      <c r="I2933">
        <v>-17.881900000000002</v>
      </c>
      <c r="J2933">
        <v>137.89599999999999</v>
      </c>
      <c r="K2933" t="str">
        <f>HYPERLINK("http://geology.data.nt.gov.au/NVCLDataServices/mosaic.html?datasetid=f0ffdb6a-2df5-4920-bcbe-390ef44982a","2317390_ND2_Core Image")</f>
        <v>2317390_ND2_Core Image</v>
      </c>
    </row>
    <row r="2934" spans="1:11" x14ac:dyDescent="0.25">
      <c r="A2934" t="str">
        <f>HYPERLINK("http://www.corstruth.com.au/NT/8600022_EV044_cs.png","8600022_EV044_A4")</f>
        <v>8600022_EV044_A4</v>
      </c>
      <c r="D2934">
        <v>8600022</v>
      </c>
      <c r="E2934" t="s">
        <v>2165</v>
      </c>
      <c r="I2934">
        <v>-17.6812</v>
      </c>
      <c r="J2934">
        <v>137.81899999999999</v>
      </c>
    </row>
    <row r="2935" spans="1:11" x14ac:dyDescent="0.25">
      <c r="A2935" t="str">
        <f>HYPERLINK("http://www.corstruth.com.au/NT/8418373_NBDH037_cs.png","8418373_NBDH037_A4")</f>
        <v>8418373_NBDH037_A4</v>
      </c>
      <c r="B2935" t="str">
        <f>HYPERLINK("http://www.corstruth.com.au/NT/PNG2/8418373_NBDH037_cs.png","8418373_NBDH037_0.25m Bins")</f>
        <v>8418373_NBDH037_0.25m Bins</v>
      </c>
      <c r="C2935" t="str">
        <f>HYPERLINK("http://www.corstruth.com.au/NT/CSV/8418373_NBDH037.csv","8418373_NBDH037_CSV File 1m Bins")</f>
        <v>8418373_NBDH037_CSV File 1m Bins</v>
      </c>
      <c r="D2935">
        <v>8418373</v>
      </c>
      <c r="E2935" t="s">
        <v>2165</v>
      </c>
      <c r="G2935" t="s">
        <v>2166</v>
      </c>
      <c r="I2935">
        <v>-22.578099999999999</v>
      </c>
      <c r="J2935">
        <v>133.23699999999999</v>
      </c>
      <c r="K2935" t="str">
        <f>HYPERLINK("http://geology.data.nt.gov.au/NVCLDataServices/mosaic.html?datasetid=aa3ae833-e68e-480d-b91f-0cbf52761e0","8418373_NBDH037_Core Image")</f>
        <v>8418373_NBDH037_Core Image</v>
      </c>
    </row>
    <row r="2936" spans="1:11" x14ac:dyDescent="0.25">
      <c r="A2936" t="str">
        <f>HYPERLINK("http://www.corstruth.com.au/NT/8709318_SCDD2001_cs.png","8709318_SCDD2001_A4")</f>
        <v>8709318_SCDD2001_A4</v>
      </c>
      <c r="B2936" t="str">
        <f>HYPERLINK("http://www.corstruth.com.au/NT/PNG2/8709318_SCDD2001_cs.png","8709318_SCDD2001_0.25m Bins")</f>
        <v>8709318_SCDD2001_0.25m Bins</v>
      </c>
      <c r="C2936" t="str">
        <f>HYPERLINK("http://www.corstruth.com.au/NT/CSV/8709318_SCDD2001.csv","8709318_SCDD2001_CSV File 1m Bins")</f>
        <v>8709318_SCDD2001_CSV File 1m Bins</v>
      </c>
      <c r="D2936">
        <v>8709318</v>
      </c>
      <c r="E2936" t="s">
        <v>2165</v>
      </c>
      <c r="G2936" t="s">
        <v>2166</v>
      </c>
      <c r="I2936">
        <v>-22.142600000000002</v>
      </c>
      <c r="J2936">
        <v>132.80099999999999</v>
      </c>
      <c r="K2936" t="str">
        <f>HYPERLINK("http://geology.data.nt.gov.au/NVCLDataServices/mosaic.html?datasetid=c093ae3b-5505-40e8-b4fd-000b9c5b71c","8709318_SCDD2001_Core Image")</f>
        <v>8709318_SCDD2001_Core Image</v>
      </c>
    </row>
    <row r="2937" spans="1:11" x14ac:dyDescent="0.25">
      <c r="A2937" t="str">
        <f>HYPERLINK("http://www.corstruth.com.au/NT/8716498_21LMDD001_cs.png","8716498_21LMDD001_A4")</f>
        <v>8716498_21LMDD001_A4</v>
      </c>
      <c r="B2937" t="str">
        <f>HYPERLINK("http://www.corstruth.com.au/NT/PNG2/8716498_21LMDD001_cs.png","8716498_21LMDD001_0.25m Bins")</f>
        <v>8716498_21LMDD001_0.25m Bins</v>
      </c>
      <c r="C2937" t="str">
        <f>HYPERLINK("http://www.corstruth.com.au/NT/CSV/8716498_21LMDD001.csv","8716498_21LMDD001_CSV File 1m Bins")</f>
        <v>8716498_21LMDD001_CSV File 1m Bins</v>
      </c>
      <c r="D2937">
        <v>8716498</v>
      </c>
      <c r="E2937" t="s">
        <v>2165</v>
      </c>
      <c r="G2937" t="s">
        <v>2166</v>
      </c>
      <c r="I2937">
        <v>-22.9543</v>
      </c>
      <c r="J2937">
        <v>130.738</v>
      </c>
      <c r="K2937" t="str">
        <f>HYPERLINK("http://geology.data.nt.gov.au/NVCLDataServices/mosaic.html?datasetid=efd84ffe-3591-441d-b3ec-bf64330e1f5","8716498_21LMDD001_Core Image")</f>
        <v>8716498_21LMDD001_Core Image</v>
      </c>
    </row>
    <row r="2938" spans="1:11" x14ac:dyDescent="0.25">
      <c r="A2938" t="str">
        <f>HYPERLINK("http://www.corstruth.com.au/NT/8716499_21LMDD002_cs.png","8716499_21LMDD002_A4")</f>
        <v>8716499_21LMDD002_A4</v>
      </c>
      <c r="B2938" t="str">
        <f>HYPERLINK("http://www.corstruth.com.au/NT/PNG2/8716499_21LMDD002_cs.png","8716499_21LMDD002_0.25m Bins")</f>
        <v>8716499_21LMDD002_0.25m Bins</v>
      </c>
      <c r="C2938" t="str">
        <f>HYPERLINK("http://www.corstruth.com.au/NT/CSV/8716499_21LMDD002.csv","8716499_21LMDD002_CSV File 1m Bins")</f>
        <v>8716499_21LMDD002_CSV File 1m Bins</v>
      </c>
      <c r="D2938">
        <v>8716499</v>
      </c>
      <c r="E2938" t="s">
        <v>2165</v>
      </c>
      <c r="G2938" t="s">
        <v>2166</v>
      </c>
      <c r="I2938">
        <v>-22.9923</v>
      </c>
      <c r="J2938">
        <v>130.71199999999999</v>
      </c>
      <c r="K2938" t="str">
        <f>HYPERLINK("http://geology.data.nt.gov.au/NVCLDataServices/mosaic.html?datasetid=a595fe56-209d-43ea-9f94-06a1bacc50d","8716499_21LMDD002_Core Image")</f>
        <v>8716499_21LMDD002_Core Image</v>
      </c>
    </row>
    <row r="2939" spans="1:11" x14ac:dyDescent="0.25">
      <c r="A2939" t="str">
        <f>HYPERLINK("http://www.corstruth.com.au/NT/8729457_21MHDD001_cs.png","8729457_21MHDD001_A4")</f>
        <v>8729457_21MHDD001_A4</v>
      </c>
      <c r="B2939" t="str">
        <f>HYPERLINK("http://www.corstruth.com.au/NT/PNG2/8729457_21MHDD001_cs.png","8729457_21MHDD001_0.25m Bins")</f>
        <v>8729457_21MHDD001_0.25m Bins</v>
      </c>
      <c r="C2939" t="str">
        <f>HYPERLINK("http://www.corstruth.com.au/NT/CSV/8729457_21MHDD001.csv","8729457_21MHDD001_CSV File 1m Bins")</f>
        <v>8729457_21MHDD001_CSV File 1m Bins</v>
      </c>
      <c r="D2939">
        <v>8729457</v>
      </c>
      <c r="E2939" t="s">
        <v>2165</v>
      </c>
      <c r="G2939" t="s">
        <v>2166</v>
      </c>
      <c r="I2939">
        <v>-22.7607</v>
      </c>
      <c r="J2939">
        <v>135.75200000000001</v>
      </c>
      <c r="K2939" t="str">
        <f>HYPERLINK("http://geology.data.nt.gov.au/NVCLDataServices/mosaic.html?datasetid=22447fd1-cc21-419d-a6cd-c2b0187cda7","8729457_21MHDD001_Core Image")</f>
        <v>8729457_21MHDD001_Core Image</v>
      </c>
    </row>
    <row r="2940" spans="1:11" x14ac:dyDescent="0.25">
      <c r="A2940" t="str">
        <f>HYPERLINK("http://www.corstruth.com.au/NT/8729458_21MHDD002_cs.png","8729458_21MHDD002_A4")</f>
        <v>8729458_21MHDD002_A4</v>
      </c>
      <c r="B2940" t="str">
        <f>HYPERLINK("http://www.corstruth.com.au/NT/PNG2/8729458_21MHDD002_cs.png","8729458_21MHDD002_0.25m Bins")</f>
        <v>8729458_21MHDD002_0.25m Bins</v>
      </c>
      <c r="C2940" t="str">
        <f>HYPERLINK("http://www.corstruth.com.au/NT/CSV/8729458_21MHDD002.csv","8729458_21MHDD002_CSV File 1m Bins")</f>
        <v>8729458_21MHDD002_CSV File 1m Bins</v>
      </c>
      <c r="D2940">
        <v>8729458</v>
      </c>
      <c r="E2940" t="s">
        <v>2165</v>
      </c>
      <c r="G2940" t="s">
        <v>2166</v>
      </c>
      <c r="I2940">
        <v>-22.7607</v>
      </c>
      <c r="J2940">
        <v>135.75200000000001</v>
      </c>
    </row>
    <row r="2941" spans="1:11" x14ac:dyDescent="0.25">
      <c r="A2941" t="str">
        <f>HYPERLINK("http://www.corstruth.com.au/NT/8729459_21MHDD003_cs.png","8729459_21MHDD003_A4")</f>
        <v>8729459_21MHDD003_A4</v>
      </c>
      <c r="B2941" t="str">
        <f>HYPERLINK("http://www.corstruth.com.au/NT/PNG2/8729459_21MHDD003_cs.png","8729459_21MHDD003_0.25m Bins")</f>
        <v>8729459_21MHDD003_0.25m Bins</v>
      </c>
      <c r="C2941" t="str">
        <f>HYPERLINK("http://www.corstruth.com.au/NT/CSV/8729459_21MHDD003.csv","8729459_21MHDD003_CSV File 1m Bins")</f>
        <v>8729459_21MHDD003_CSV File 1m Bins</v>
      </c>
      <c r="D2941">
        <v>8729459</v>
      </c>
      <c r="E2941" t="s">
        <v>2165</v>
      </c>
      <c r="G2941" t="s">
        <v>2166</v>
      </c>
      <c r="I2941">
        <v>-22.7607</v>
      </c>
      <c r="J2941">
        <v>135.751</v>
      </c>
    </row>
    <row r="2942" spans="1:11" x14ac:dyDescent="0.25">
      <c r="A2942" t="str">
        <f>HYPERLINK("http://www.corstruth.com.au/NT/3127583_DD87SG4_cs.png","3127583_DD87SG4_A4")</f>
        <v>3127583_DD87SG4_A4</v>
      </c>
      <c r="D2942">
        <v>3127583</v>
      </c>
      <c r="E2942" t="s">
        <v>2165</v>
      </c>
      <c r="G2942" t="s">
        <v>2167</v>
      </c>
      <c r="I2942">
        <v>-23.308599999999998</v>
      </c>
      <c r="J2942">
        <v>134.233</v>
      </c>
    </row>
    <row r="2943" spans="1:11" x14ac:dyDescent="0.25">
      <c r="A2943" t="str">
        <f>HYPERLINK("http://www.corstruth.com.au/NT/3672526_DD97WR002_cs.png","3672526_DD97WR002_A4")</f>
        <v>3672526_DD97WR002_A4</v>
      </c>
      <c r="B2943" t="str">
        <f>HYPERLINK("http://www.corstruth.com.au/NT/PNG2/3672526_DD97WR002_cs.png","3672526_DD97WR002_0.25m Bins")</f>
        <v>3672526_DD97WR002_0.25m Bins</v>
      </c>
      <c r="C2943" t="str">
        <f>HYPERLINK("http://www.corstruth.com.au/NT/CSV/3672526_DD97WR002.csv","3672526_DD97WR002_CSV File 1m Bins")</f>
        <v>3672526_DD97WR002_CSV File 1m Bins</v>
      </c>
      <c r="D2943">
        <v>3672526</v>
      </c>
      <c r="E2943" t="s">
        <v>2165</v>
      </c>
      <c r="G2943" t="s">
        <v>2167</v>
      </c>
      <c r="I2943">
        <v>-23.992999999999999</v>
      </c>
      <c r="J2943">
        <v>133.375</v>
      </c>
      <c r="K2943" t="str">
        <f>HYPERLINK("http://geology.data.nt.gov.au/NVCLDataServices/mosaic.html?datasetid=5f2f4398-a63e-4839-a934-f2fa3e1d89c","3672526_DD97WR002_Core Image")</f>
        <v>3672526_DD97WR002_Core Image</v>
      </c>
    </row>
    <row r="2944" spans="1:11" x14ac:dyDescent="0.25">
      <c r="A2944" t="str">
        <f>HYPERLINK("http://www.corstruth.com.au/NT/8423219_BR05DD01_cs.png","8423219_BR05DD01_A4")</f>
        <v>8423219_BR05DD01_A4</v>
      </c>
      <c r="B2944" t="str">
        <f>HYPERLINK("http://www.corstruth.com.au/NT/PNG2/8423219_BR05DD01_cs.png","8423219_BR05DD01_0.25m Bins")</f>
        <v>8423219_BR05DD01_0.25m Bins</v>
      </c>
      <c r="C2944" t="str">
        <f>HYPERLINK("http://www.corstruth.com.au/NT/CSV/8423219_BR05DD01.csv","8423219_BR05DD01_CSV File 1m Bins")</f>
        <v>8423219_BR05DD01_CSV File 1m Bins</v>
      </c>
      <c r="D2944">
        <v>8423219</v>
      </c>
      <c r="E2944" t="s">
        <v>2165</v>
      </c>
      <c r="G2944" t="s">
        <v>2167</v>
      </c>
      <c r="I2944">
        <v>-24.4557</v>
      </c>
      <c r="J2944">
        <v>130.38300000000001</v>
      </c>
      <c r="K2944" t="str">
        <f>HYPERLINK("http://geology.data.nt.gov.au/NVCLDataServices/mosaic.html?datasetid=0b404005-a41d-48bf-b3c4-faf9e121d70","8423219_BR05DD01_Core Image")</f>
        <v>8423219_BR05DD01_Core Image</v>
      </c>
    </row>
    <row r="2945" spans="1:11" x14ac:dyDescent="0.25">
      <c r="A2945" t="str">
        <f>HYPERLINK("http://www.corstruth.com.au/NT/8423223_LA05DD01_cs.png","8423223_LA05DD01_A4")</f>
        <v>8423223_LA05DD01_A4</v>
      </c>
      <c r="B2945" t="str">
        <f>HYPERLINK("http://www.corstruth.com.au/NT/PNG2/8423223_LA05DD01_cs.png","8423223_LA05DD01_0.25m Bins")</f>
        <v>8423223_LA05DD01_0.25m Bins</v>
      </c>
      <c r="C2945" t="str">
        <f>HYPERLINK("http://www.corstruth.com.au/NT/CSV/8423223_LA05DD01.csv","8423223_LA05DD01_CSV File 1m Bins")</f>
        <v>8423223_LA05DD01_CSV File 1m Bins</v>
      </c>
      <c r="D2945">
        <v>8423223</v>
      </c>
      <c r="E2945" t="s">
        <v>2165</v>
      </c>
      <c r="G2945" t="s">
        <v>2167</v>
      </c>
      <c r="I2945">
        <v>-24.347200000000001</v>
      </c>
      <c r="J2945">
        <v>130.56899999999999</v>
      </c>
      <c r="K2945" t="str">
        <f>HYPERLINK("http://geology.data.nt.gov.au/NVCLDataServices/mosaic.html?datasetid=7c4576f0-f513-48ee-8450-543127725a1","8423223_LA05DD01_Core Image")</f>
        <v>8423223_LA05DD01_Core Image</v>
      </c>
    </row>
    <row r="2946" spans="1:11" x14ac:dyDescent="0.25">
      <c r="A2946" t="str">
        <f>HYPERLINK("http://www.corstruth.com.au/NT/8440773_Wallara1_cs.png","8440773_Wallara1_A4")</f>
        <v>8440773_Wallara1_A4</v>
      </c>
      <c r="B2946" t="str">
        <f>HYPERLINK("http://www.corstruth.com.au/NT/PNG2/8440773_Wallara1_cs.png","8440773_Wallara1_0.25m Bins")</f>
        <v>8440773_Wallara1_0.25m Bins</v>
      </c>
      <c r="C2946" t="str">
        <f>HYPERLINK("http://www.corstruth.com.au/NT/CSV/8440773_Wallara1.csv","8440773_Wallara1_CSV File 1m Bins")</f>
        <v>8440773_Wallara1_CSV File 1m Bins</v>
      </c>
      <c r="D2946">
        <v>8440773</v>
      </c>
      <c r="E2946" t="s">
        <v>2165</v>
      </c>
      <c r="G2946" t="s">
        <v>2167</v>
      </c>
      <c r="I2946">
        <v>-24.613800000000001</v>
      </c>
      <c r="J2946">
        <v>132.34100000000001</v>
      </c>
      <c r="K2946" t="str">
        <f>HYPERLINK("http://geology.data.nt.gov.au/NVCLDataServices/mosaic.html?datasetid=9bbd9c41-eadf-4a13-8e16-16938a043cb","8440773_Wallara1_Core Image")</f>
        <v>8440773_Wallara1_Core Image</v>
      </c>
    </row>
    <row r="2947" spans="1:11" x14ac:dyDescent="0.25">
      <c r="A2947" t="str">
        <f>HYPERLINK("http://www.corstruth.com.au/NT/8440854_Undandita_1A_cs.png","8440854_Undandita_1A_A4")</f>
        <v>8440854_Undandita_1A_A4</v>
      </c>
      <c r="B2947" t="str">
        <f>HYPERLINK("http://www.corstruth.com.au/NT/PNG2/8440854_Undandita_1A_cs.png","8440854_Undandita_1A_0.25m Bins")</f>
        <v>8440854_Undandita_1A_0.25m Bins</v>
      </c>
      <c r="C2947" t="str">
        <f>HYPERLINK("http://www.corstruth.com.au/NT/CSV/8440854_Undandita_1A.csv","8440854_Undandita_1A_CSV File 1m Bins")</f>
        <v>8440854_Undandita_1A_CSV File 1m Bins</v>
      </c>
      <c r="D2947">
        <v>8440854</v>
      </c>
      <c r="E2947" t="s">
        <v>2165</v>
      </c>
      <c r="G2947" t="s">
        <v>2167</v>
      </c>
      <c r="I2947">
        <v>-23.7119</v>
      </c>
      <c r="J2947">
        <v>131.934</v>
      </c>
      <c r="K2947" t="str">
        <f>HYPERLINK("http://geology.data.nt.gov.au/NVCLDataServices/mosaic.html?datasetid=47047031-59a1-499a-aac6-5a54ab8c88d","8440854_Undandita_1A_Core Image")</f>
        <v>8440854_Undandita_1A_Core Image</v>
      </c>
    </row>
    <row r="2948" spans="1:11" x14ac:dyDescent="0.25">
      <c r="A2948" t="str">
        <f>HYPERLINK("http://www.corstruth.com.au/NT/8440861_TempeVale1_cs.png","8440861_TempeVale1_A4")</f>
        <v>8440861_TempeVale1_A4</v>
      </c>
      <c r="B2948" t="str">
        <f>HYPERLINK("http://www.corstruth.com.au/NT/PNG2/8440861_TempeVale1_cs.png","8440861_TempeVale1_0.25m Bins")</f>
        <v>8440861_TempeVale1_0.25m Bins</v>
      </c>
      <c r="C2948" t="str">
        <f>HYPERLINK("http://www.corstruth.com.au/NT/CSV/8440861_TempeVale1.csv","8440861_TempeVale1_CSV File 1m Bins")</f>
        <v>8440861_TempeVale1_CSV File 1m Bins</v>
      </c>
      <c r="D2948">
        <v>8440861</v>
      </c>
      <c r="E2948" t="s">
        <v>2165</v>
      </c>
      <c r="G2948" t="s">
        <v>2167</v>
      </c>
      <c r="I2948">
        <v>-24.011900000000001</v>
      </c>
      <c r="J2948">
        <v>131.309</v>
      </c>
      <c r="K2948" t="str">
        <f>HYPERLINK("http://geology.data.nt.gov.au/NVCLDataServices/mosaic.html?datasetid=56114b4f-5f6f-421a-ba87-b6f4f68115e","8440861_TempeVale1_Core Image")</f>
        <v>8440861_TempeVale1_Core Image</v>
      </c>
    </row>
    <row r="2949" spans="1:11" x14ac:dyDescent="0.25">
      <c r="A2949" t="str">
        <f>HYPERLINK("http://www.corstruth.com.au/NT/8440866_Finke1_cs.png","8440866_Finke1_A4")</f>
        <v>8440866_Finke1_A4</v>
      </c>
      <c r="B2949" t="str">
        <f>HYPERLINK("http://www.corstruth.com.au/NT/PNG2/8440866_Finke1_cs.png","8440866_Finke1_0.25m Bins")</f>
        <v>8440866_Finke1_0.25m Bins</v>
      </c>
      <c r="C2949" t="str">
        <f>HYPERLINK("http://www.corstruth.com.au/NT/CSV/8440866_Finke1.csv","8440866_Finke1_CSV File 1m Bins")</f>
        <v>8440866_Finke1_CSV File 1m Bins</v>
      </c>
      <c r="D2949">
        <v>8440866</v>
      </c>
      <c r="E2949" t="s">
        <v>2165</v>
      </c>
      <c r="G2949" t="s">
        <v>2167</v>
      </c>
      <c r="I2949">
        <v>-24.1663</v>
      </c>
      <c r="J2949">
        <v>132.94999999999999</v>
      </c>
      <c r="K2949" t="str">
        <f>HYPERLINK("http://geology.data.nt.gov.au/NVCLDataServices/mosaic.html?datasetid=dc2c2d8d-8b4c-43de-8877-5cdebde1fe9","8440866_Finke1_Core Image")</f>
        <v>8440866_Finke1_Core Image</v>
      </c>
    </row>
    <row r="2950" spans="1:11" x14ac:dyDescent="0.25">
      <c r="A2950" t="str">
        <f>HYPERLINK("http://www.corstruth.com.au/NT/8440871_TentHill1_cs.png","8440871_TentHill1_A4")</f>
        <v>8440871_TentHill1_A4</v>
      </c>
      <c r="B2950" t="str">
        <f>HYPERLINK("http://www.corstruth.com.au/NT/PNG2/8440871_TentHill1_cs.png","8440871_TentHill1_0.25m Bins")</f>
        <v>8440871_TentHill1_0.25m Bins</v>
      </c>
      <c r="C2950" t="str">
        <f>HYPERLINK("http://www.corstruth.com.au/NT/CSV/8440871_TentHill1.csv","8440871_TentHill1_CSV File 1m Bins")</f>
        <v>8440871_TentHill1_CSV File 1m Bins</v>
      </c>
      <c r="D2950">
        <v>8440871</v>
      </c>
      <c r="E2950" t="s">
        <v>2165</v>
      </c>
      <c r="G2950" t="s">
        <v>2167</v>
      </c>
      <c r="I2950">
        <v>-24.227799999999998</v>
      </c>
      <c r="J2950">
        <v>132.04300000000001</v>
      </c>
      <c r="K2950" t="str">
        <f>HYPERLINK("http://geology.data.nt.gov.au/NVCLDataServices/mosaic.html?datasetid=1764036d-a829-43cd-8102-323e2e66b5c","8440871_TentHill1_Core Image")</f>
        <v>8440871_TentHill1_Core Image</v>
      </c>
    </row>
    <row r="2951" spans="1:11" x14ac:dyDescent="0.25">
      <c r="A2951" t="str">
        <f>HYPERLINK("http://www.corstruth.com.au/NT/8440877_MtWinter2A_cs.png","8440877_MtWinter2A_A4")</f>
        <v>8440877_MtWinter2A_A4</v>
      </c>
      <c r="B2951" t="str">
        <f>HYPERLINK("http://www.corstruth.com.au/NT/PNG2/8440877_MtWinter2A_cs.png","8440877_MtWinter2A_0.25m Bins")</f>
        <v>8440877_MtWinter2A_0.25m Bins</v>
      </c>
      <c r="C2951" t="str">
        <f>HYPERLINK("http://www.corstruth.com.au/NT/CSV/8440877_MtWinter2A.csv","8440877_MtWinter2A_CSV File 1m Bins")</f>
        <v>8440877_MtWinter2A_CSV File 1m Bins</v>
      </c>
      <c r="D2951">
        <v>8440877</v>
      </c>
      <c r="E2951" t="s">
        <v>2165</v>
      </c>
      <c r="G2951" t="s">
        <v>2167</v>
      </c>
      <c r="I2951">
        <v>-23.8626</v>
      </c>
      <c r="J2951">
        <v>130.798</v>
      </c>
      <c r="K2951" t="str">
        <f>HYPERLINK("http://geology.data.nt.gov.au/NVCLDataServices/mosaic.html?datasetid=7ace5b5a-403a-45a2-8572-ed241859316","8440877_MtWinter2A_Core Image")</f>
        <v>8440877_MtWinter2A_Core Image</v>
      </c>
    </row>
    <row r="2952" spans="1:11" x14ac:dyDescent="0.25">
      <c r="A2952" t="str">
        <f>HYPERLINK("http://www.corstruth.com.au/NT/8446590_BMR_Hermannsburg_41_cs.png","8446590_BMR_Hermannsburg_41_A4")</f>
        <v>8446590_BMR_Hermannsburg_41_A4</v>
      </c>
      <c r="B2952" t="str">
        <f>HYPERLINK("http://www.corstruth.com.au/NT/PNG2/8446590_BMR_Hermannsburg_41_cs.png","8446590_BMR_Hermannsburg_41_0.25m Bins")</f>
        <v>8446590_BMR_Hermannsburg_41_0.25m Bins</v>
      </c>
      <c r="C2952" t="str">
        <f>HYPERLINK("http://www.corstruth.com.au/NT/CSV/8446590_BMR_Hermannsburg_41.csv","8446590_BMR_Hermannsburg_41_CSV File 1m Bins")</f>
        <v>8446590_BMR_Hermannsburg_41_CSV File 1m Bins</v>
      </c>
      <c r="D2952">
        <v>8446590</v>
      </c>
      <c r="E2952" t="s">
        <v>2165</v>
      </c>
      <c r="G2952" t="s">
        <v>2167</v>
      </c>
      <c r="I2952">
        <v>-23.940200000000001</v>
      </c>
      <c r="J2952">
        <v>132.11099999999999</v>
      </c>
      <c r="K2952" t="str">
        <f>HYPERLINK("http://geology.data.nt.gov.au/NVCLDataServices/mosaic.html?datasetid=f7d8501c-039c-47f4-abfa-1a2c1124062","8446590_BMR_Hermannsburg_41_Core Image")</f>
        <v>8446590_BMR_Hermannsburg_41_Core Image</v>
      </c>
    </row>
    <row r="2953" spans="1:11" x14ac:dyDescent="0.25">
      <c r="A2953" t="str">
        <f>HYPERLINK("http://www.corstruth.com.au/NT/8446594_BMR_Alice_Springs_27_cs.png","8446594_BMR_Alice_Springs_27_A4")</f>
        <v>8446594_BMR_Alice_Springs_27_A4</v>
      </c>
      <c r="B2953" t="str">
        <f>HYPERLINK("http://www.corstruth.com.au/NT/PNG2/8446594_BMR_Alice_Springs_27_cs.png","8446594_BMR_Alice_Springs_27_0.25m Bins")</f>
        <v>8446594_BMR_Alice_Springs_27_0.25m Bins</v>
      </c>
      <c r="C2953" t="str">
        <f>HYPERLINK("http://www.corstruth.com.au/NT/CSV/8446594_BMR_Alice_Springs_27.csv","8446594_BMR_Alice_Springs_27_CSV File 1m Bins")</f>
        <v>8446594_BMR_Alice_Springs_27_CSV File 1m Bins</v>
      </c>
      <c r="D2953">
        <v>8446594</v>
      </c>
      <c r="E2953" t="s">
        <v>2165</v>
      </c>
      <c r="G2953" t="s">
        <v>2167</v>
      </c>
      <c r="I2953">
        <v>-23.697299999999998</v>
      </c>
      <c r="J2953">
        <v>134.214</v>
      </c>
      <c r="K2953" t="str">
        <f>HYPERLINK("http://geology.data.nt.gov.au/NVCLDataServices/mosaic.html?datasetid=6332d730-6ab4-4fcb-94f8-7e1ca148b5e","8446594_BMR_Alice_Springs_27_Core Image")</f>
        <v>8446594_BMR_Alice_Springs_27_Core Image</v>
      </c>
    </row>
    <row r="2954" spans="1:11" x14ac:dyDescent="0.25">
      <c r="A2954" t="str">
        <f>HYPERLINK("http://www.corstruth.com.au/NT/8446598_BMR_Mt_Liebig_2_cs.png","8446598_BMR_Mt_Liebig_2_A4")</f>
        <v>8446598_BMR_Mt_Liebig_2_A4</v>
      </c>
      <c r="B2954" t="str">
        <f>HYPERLINK("http://www.corstruth.com.au/NT/PNG2/8446598_BMR_Mt_Liebig_2_cs.png","8446598_BMR_Mt_Liebig_2_0.25m Bins")</f>
        <v>8446598_BMR_Mt_Liebig_2_0.25m Bins</v>
      </c>
      <c r="C2954" t="str">
        <f>HYPERLINK("http://www.corstruth.com.au/NT/CSV/8446598_BMR_Mt_Liebig_2.csv","8446598_BMR_Mt_Liebig_2_CSV File 1m Bins")</f>
        <v>8446598_BMR_Mt_Liebig_2_CSV File 1m Bins</v>
      </c>
      <c r="D2954">
        <v>8446598</v>
      </c>
      <c r="E2954" t="s">
        <v>2165</v>
      </c>
      <c r="G2954" t="s">
        <v>2167</v>
      </c>
      <c r="I2954">
        <v>-23.893999999999998</v>
      </c>
      <c r="J2954">
        <v>131.81800000000001</v>
      </c>
      <c r="K2954" t="str">
        <f>HYPERLINK("http://geology.data.nt.gov.au/NVCLDataServices/mosaic.html?datasetid=110d9775-e025-403d-abac-cfa5fd01ad1","8446598_BMR_Mt_Liebig_2_Core Image")</f>
        <v>8446598_BMR_Mt_Liebig_2_Core Image</v>
      </c>
    </row>
    <row r="2955" spans="1:11" x14ac:dyDescent="0.25">
      <c r="A2955" t="str">
        <f>HYPERLINK("http://www.corstruth.com.au/NT/8446884_East_Mereenie_4_cs.png","8446884_East_Mereenie_4_A4")</f>
        <v>8446884_East_Mereenie_4_A4</v>
      </c>
      <c r="B2955" t="str">
        <f>HYPERLINK("http://www.corstruth.com.au/NT/PNG2/8446884_East_Mereenie_4_cs.png","8446884_East_Mereenie_4_0.25m Bins")</f>
        <v>8446884_East_Mereenie_4_0.25m Bins</v>
      </c>
      <c r="C2955" t="str">
        <f>HYPERLINK("http://www.corstruth.com.au/NT/CSV/8446884_East_Mereenie_4.csv","8446884_East_Mereenie_4_CSV File 1m Bins")</f>
        <v>8446884_East_Mereenie_4_CSV File 1m Bins</v>
      </c>
      <c r="D2955">
        <v>8446884</v>
      </c>
      <c r="E2955" t="s">
        <v>2165</v>
      </c>
      <c r="G2955" t="s">
        <v>2167</v>
      </c>
      <c r="I2955">
        <v>-24.031099999999999</v>
      </c>
      <c r="J2955">
        <v>131.631</v>
      </c>
      <c r="K2955" t="str">
        <f>HYPERLINK("http://geology.data.nt.gov.au/NVCLDataServices/mosaic.html?datasetid=39ec3c56-8d02-4d29-bd92-554f7a90466","8446884_East_Mereenie_4_Core Image")</f>
        <v>8446884_East_Mereenie_4_Core Image</v>
      </c>
    </row>
    <row r="2956" spans="1:11" x14ac:dyDescent="0.25">
      <c r="A2956" t="str">
        <f>HYPERLINK("http://www.corstruth.com.au/NT/8719085_East_Mereenie_5_cs.png","8719085_East_Mereenie_5_A4")</f>
        <v>8719085_East_Mereenie_5_A4</v>
      </c>
      <c r="B2956" t="str">
        <f>HYPERLINK("http://www.corstruth.com.au/NT/PNG2/8719085_East_Mereenie_5_cs.png","8719085_East_Mereenie_5_0.25m Bins")</f>
        <v>8719085_East_Mereenie_5_0.25m Bins</v>
      </c>
      <c r="C2956" t="str">
        <f>HYPERLINK("http://www.corstruth.com.au/NT/CSV/8719085_East_Mereenie_5.csv","8719085_East_Mereenie_5_CSV File 1m Bins")</f>
        <v>8719085_East_Mereenie_5_CSV File 1m Bins</v>
      </c>
      <c r="D2956">
        <v>8719085</v>
      </c>
      <c r="E2956" t="s">
        <v>2165</v>
      </c>
      <c r="G2956" t="s">
        <v>2167</v>
      </c>
      <c r="I2956">
        <v>-24.0214</v>
      </c>
      <c r="J2956">
        <v>131.61799999999999</v>
      </c>
    </row>
    <row r="2957" spans="1:11" x14ac:dyDescent="0.25">
      <c r="A2957" t="str">
        <f>HYPERLINK("http://www.corstruth.com.au/NT/8446669_RN38460_cs.png","8446669_RN38460_A4")</f>
        <v>8446669_RN38460_A4</v>
      </c>
      <c r="B2957" t="str">
        <f>HYPERLINK("http://www.corstruth.com.au/NT/PNG2/8446669_RN38460_cs.png","8446669_RN38460_0.25m Bins")</f>
        <v>8446669_RN38460_0.25m Bins</v>
      </c>
      <c r="C2957" t="str">
        <f>HYPERLINK("http://www.corstruth.com.au/NT/CSV/8446669_RN38460.csv","8446669_RN38460_CSV File 1m Bins")</f>
        <v>8446669_RN38460_CSV File 1m Bins</v>
      </c>
      <c r="D2957">
        <v>8446669</v>
      </c>
      <c r="E2957" t="s">
        <v>2165</v>
      </c>
      <c r="G2957" t="s">
        <v>2168</v>
      </c>
      <c r="I2957">
        <v>-12.1067</v>
      </c>
      <c r="J2957">
        <v>134.89099999999999</v>
      </c>
      <c r="K2957" t="str">
        <f>HYPERLINK("http://geology.data.nt.gov.au/NVCLDataServices/mosaic.html?datasetid=5ca98840-2097-4995-a136-407cfaa5867","8446669_RN38460_Core Image")</f>
        <v>8446669_RN38460_Core Image</v>
      </c>
    </row>
    <row r="2958" spans="1:11" x14ac:dyDescent="0.25">
      <c r="A2958" t="str">
        <f>HYPERLINK("http://www.corstruth.com.au/NT/8446673_RN38461_cs.png","8446673_RN38461_A4")</f>
        <v>8446673_RN38461_A4</v>
      </c>
      <c r="B2958" t="str">
        <f>HYPERLINK("http://www.corstruth.com.au/NT/PNG2/8446673_RN38461_cs.png","8446673_RN38461_0.25m Bins")</f>
        <v>8446673_RN38461_0.25m Bins</v>
      </c>
      <c r="C2958" t="str">
        <f>HYPERLINK("http://www.corstruth.com.au/NT/CSV/8446673_RN38461.csv","8446673_RN38461_CSV File 1m Bins")</f>
        <v>8446673_RN38461_CSV File 1m Bins</v>
      </c>
      <c r="D2958">
        <v>8446673</v>
      </c>
      <c r="E2958" t="s">
        <v>2165</v>
      </c>
      <c r="G2958" t="s">
        <v>2168</v>
      </c>
      <c r="I2958">
        <v>-12.0999</v>
      </c>
      <c r="J2958">
        <v>134.893</v>
      </c>
      <c r="K2958" t="str">
        <f>HYPERLINK("http://geology.data.nt.gov.au/NVCLDataServices/mosaic.html?datasetid=52500098-d059-4be9-9be6-d75d6609a36","8446673_RN38461_Core Image")</f>
        <v>8446673_RN38461_Core Image</v>
      </c>
    </row>
    <row r="2959" spans="1:11" x14ac:dyDescent="0.25">
      <c r="A2959" t="str">
        <f>HYPERLINK("http://www.corstruth.com.au/NT/8446677_RN38462_cs.png","8446677_RN38462_A4")</f>
        <v>8446677_RN38462_A4</v>
      </c>
      <c r="B2959" t="str">
        <f>HYPERLINK("http://www.corstruth.com.au/NT/PNG2/8446677_RN38462_cs.png","8446677_RN38462_0.25m Bins")</f>
        <v>8446677_RN38462_0.25m Bins</v>
      </c>
      <c r="C2959" t="str">
        <f>HYPERLINK("http://www.corstruth.com.au/NT/CSV/8446677_RN38462.csv","8446677_RN38462_CSV File 1m Bins")</f>
        <v>8446677_RN38462_CSV File 1m Bins</v>
      </c>
      <c r="D2959">
        <v>8446677</v>
      </c>
      <c r="E2959" t="s">
        <v>2165</v>
      </c>
      <c r="G2959" t="s">
        <v>2168</v>
      </c>
      <c r="I2959">
        <v>-12.087</v>
      </c>
      <c r="J2959">
        <v>134.89400000000001</v>
      </c>
      <c r="K2959" t="str">
        <f>HYPERLINK("http://geology.data.nt.gov.au/NVCLDataServices/mosaic.html?datasetid=ee690a1d-b1bb-4f87-ba73-9bbc3ac82f3","8446677_RN38462_Core Image")</f>
        <v>8446677_RN38462_Core Image</v>
      </c>
    </row>
    <row r="2960" spans="1:11" x14ac:dyDescent="0.25">
      <c r="A2960" t="str">
        <f>HYPERLINK("http://www.corstruth.com.au/NT/8447019_Tinganoo_Bay_1_cs.png","8447019_Tinganoo_Bay_1_A4")</f>
        <v>8447019_Tinganoo_Bay_1_A4</v>
      </c>
      <c r="B2960" t="str">
        <f>HYPERLINK("http://www.corstruth.com.au/NT/PNG2/8447019_Tinganoo_Bay_1_cs.png","8447019_Tinganoo_Bay_1_0.25m Bins")</f>
        <v>8447019_Tinganoo_Bay_1_0.25m Bins</v>
      </c>
      <c r="C2960" t="str">
        <f>HYPERLINK("http://www.corstruth.com.au/NT/CSV/8447019_Tinganoo_Bay_1.csv","8447019_Tinganoo_Bay_1_CSV File 1m Bins")</f>
        <v>8447019_Tinganoo_Bay_1_CSV File 1m Bins</v>
      </c>
      <c r="D2960">
        <v>8447019</v>
      </c>
      <c r="E2960" t="s">
        <v>2165</v>
      </c>
      <c r="G2960" t="s">
        <v>2168</v>
      </c>
      <c r="I2960">
        <v>-11.393599999999999</v>
      </c>
      <c r="J2960">
        <v>131.48500000000001</v>
      </c>
    </row>
    <row r="2961" spans="1:11" x14ac:dyDescent="0.25">
      <c r="A2961" t="str">
        <f>HYPERLINK("http://www.corstruth.com.au/NT/7963300_SLX001_cs.png","7963300_SLX001_A4")</f>
        <v>7963300_SLX001_A4</v>
      </c>
      <c r="B2961" t="str">
        <f>HYPERLINK("http://www.corstruth.com.au/NT/PNG2/7963300_SLX001_cs.png","7963300_SLX001_0.25m Bins")</f>
        <v>7963300_SLX001_0.25m Bins</v>
      </c>
      <c r="C2961" t="str">
        <f>HYPERLINK("http://www.corstruth.com.au/NT/CSV/7963300_SLX001.csv","7963300_SLX001_CSV File 1m Bins")</f>
        <v>7963300_SLX001_CSV File 1m Bins</v>
      </c>
      <c r="D2961">
        <v>7963300</v>
      </c>
      <c r="E2961" t="s">
        <v>2165</v>
      </c>
      <c r="G2961" t="s">
        <v>295</v>
      </c>
      <c r="I2961">
        <v>-23.125900000000001</v>
      </c>
      <c r="J2961">
        <v>134.85599999999999</v>
      </c>
      <c r="K2961" t="str">
        <f>HYPERLINK("http://geology.data.nt.gov.au/NVCLDataServices/mosaic.html?datasetid=9cb2a35d-3f93-4205-94ed-8fd736e4020","7963300_SLX001_Core Image")</f>
        <v>7963300_SLX001_Core Image</v>
      </c>
    </row>
    <row r="2962" spans="1:11" x14ac:dyDescent="0.25">
      <c r="A2962" t="str">
        <f>HYPERLINK("http://www.corstruth.com.au/NT/8423103_DD97AS2_cs.png","8423103_DD97AS2_A4")</f>
        <v>8423103_DD97AS2_A4</v>
      </c>
      <c r="B2962" t="str">
        <f>HYPERLINK("http://www.corstruth.com.au/NT/PNG2/8423103_DD97AS2_cs.png","8423103_DD97AS2_0.25m Bins")</f>
        <v>8423103_DD97AS2_0.25m Bins</v>
      </c>
      <c r="C2962" t="str">
        <f>HYPERLINK("http://www.corstruth.com.au/NT/CSV/8423103_DD97AS2.csv","8423103_DD97AS2_CSV File 1m Bins")</f>
        <v>8423103_DD97AS2_CSV File 1m Bins</v>
      </c>
      <c r="D2962">
        <v>8423103</v>
      </c>
      <c r="E2962" t="s">
        <v>2165</v>
      </c>
      <c r="G2962" t="s">
        <v>295</v>
      </c>
      <c r="I2962">
        <v>-22.204799999999999</v>
      </c>
      <c r="J2962">
        <v>131.29499999999999</v>
      </c>
      <c r="K2962" t="str">
        <f>HYPERLINK("http://geology.data.nt.gov.au/NVCLDataServices/mosaic.html?datasetid=f8d54015-c986-44fa-814b-ee53c808c3b","8423103_DD97AS2_Core Image")</f>
        <v>8423103_DD97AS2_Core Image</v>
      </c>
    </row>
    <row r="2963" spans="1:11" x14ac:dyDescent="0.25">
      <c r="A2963" t="str">
        <f>HYPERLINK("http://www.corstruth.com.au/NT/8423304_DD97AS1_cs.png","8423304_DD97AS1_A4")</f>
        <v>8423304_DD97AS1_A4</v>
      </c>
      <c r="B2963" t="str">
        <f>HYPERLINK("http://www.corstruth.com.au/NT/PNG2/8423304_DD97AS1_cs.png","8423304_DD97AS1_0.25m Bins")</f>
        <v>8423304_DD97AS1_0.25m Bins</v>
      </c>
      <c r="C2963" t="str">
        <f>HYPERLINK("http://www.corstruth.com.au/NT/CSV/8423304_DD97AS1.csv","8423304_DD97AS1_CSV File 1m Bins")</f>
        <v>8423304_DD97AS1_CSV File 1m Bins</v>
      </c>
      <c r="D2963">
        <v>8423304</v>
      </c>
      <c r="E2963" t="s">
        <v>2165</v>
      </c>
      <c r="G2963" t="s">
        <v>295</v>
      </c>
      <c r="I2963">
        <v>-22.296700000000001</v>
      </c>
      <c r="J2963">
        <v>131.43100000000001</v>
      </c>
      <c r="K2963" t="str">
        <f>HYPERLINK("http://geology.data.nt.gov.au/NVCLDataServices/mosaic.html?datasetid=eb886cf4-3429-4ab0-8770-e5afd912ad1","8423304_DD97AS1_Core Image")</f>
        <v>8423304_DD97AS1_Core Image</v>
      </c>
    </row>
    <row r="2964" spans="1:11" x14ac:dyDescent="0.25">
      <c r="A2964" t="str">
        <f>HYPERLINK("http://www.corstruth.com.au/NT/8440731_11CPD004_cs.png","8440731_11CPD004_A4")</f>
        <v>8440731_11CPD004_A4</v>
      </c>
      <c r="B2964" t="str">
        <f>HYPERLINK("http://www.corstruth.com.au/NT/PNG2/8440731_11CPD004_cs.png","8440731_11CPD004_0.25m Bins")</f>
        <v>8440731_11CPD004_0.25m Bins</v>
      </c>
      <c r="C2964" t="str">
        <f>HYPERLINK("http://www.corstruth.com.au/NT/CSV/8440731_11CPD004.csv","8440731_11CPD004_CSV File 1m Bins")</f>
        <v>8440731_11CPD004_CSV File 1m Bins</v>
      </c>
      <c r="D2964">
        <v>8440731</v>
      </c>
      <c r="E2964" t="s">
        <v>2165</v>
      </c>
      <c r="G2964" t="s">
        <v>295</v>
      </c>
      <c r="I2964">
        <v>-23.7669</v>
      </c>
      <c r="J2964">
        <v>136.85400000000001</v>
      </c>
      <c r="K2964" t="str">
        <f>HYPERLINK("http://geology.data.nt.gov.au/NVCLDataServices/mosaic.html?datasetid=3f410a2c-2306-4833-9898-50db4b67946","8440731_11CPD004_Core Image")</f>
        <v>8440731_11CPD004_Core Image</v>
      </c>
    </row>
    <row r="2965" spans="1:11" x14ac:dyDescent="0.25">
      <c r="A2965" t="str">
        <f>HYPERLINK("http://www.corstruth.com.au/NT/8440735_11CPD005_cs.png","8440735_11CPD005_A4")</f>
        <v>8440735_11CPD005_A4</v>
      </c>
      <c r="B2965" t="str">
        <f>HYPERLINK("http://www.corstruth.com.au/NT/PNG2/8440735_11CPD005_cs.png","8440735_11CPD005_0.25m Bins")</f>
        <v>8440735_11CPD005_0.25m Bins</v>
      </c>
      <c r="C2965" t="str">
        <f>HYPERLINK("http://www.corstruth.com.au/NT/CSV/8440735_11CPD005.csv","8440735_11CPD005_CSV File 1m Bins")</f>
        <v>8440735_11CPD005_CSV File 1m Bins</v>
      </c>
      <c r="D2965">
        <v>8440735</v>
      </c>
      <c r="E2965" t="s">
        <v>2165</v>
      </c>
      <c r="G2965" t="s">
        <v>295</v>
      </c>
      <c r="I2965">
        <v>-23.7682</v>
      </c>
      <c r="J2965">
        <v>136.85499999999999</v>
      </c>
      <c r="K2965" t="str">
        <f>HYPERLINK("http://geology.data.nt.gov.au/NVCLDataServices/mosaic.html?datasetid=00c6eae8-b76d-4ec8-8f65-73a793d05f8","8440735_11CPD005_Core Image")</f>
        <v>8440735_11CPD005_Core Image</v>
      </c>
    </row>
    <row r="2966" spans="1:11" x14ac:dyDescent="0.25">
      <c r="A2966" t="str">
        <f>HYPERLINK("http://www.corstruth.com.au/NT/8440800_DDNT_12_1_cs.png","8440800_DDNT_12_1_A4")</f>
        <v>8440800_DDNT_12_1_A4</v>
      </c>
      <c r="B2966" t="str">
        <f>HYPERLINK("http://www.corstruth.com.au/NT/PNG2/8440800_DDNT_12_1_cs.png","8440800_DDNT_12_1_0.25m Bins")</f>
        <v>8440800_DDNT_12_1_0.25m Bins</v>
      </c>
      <c r="C2966" t="str">
        <f>HYPERLINK("http://www.corstruth.com.au/NT/CSV/8440800_DDNT_12_1.csv","8440800_DDNT_12_1_CSV File 1m Bins")</f>
        <v>8440800_DDNT_12_1_CSV File 1m Bins</v>
      </c>
      <c r="D2966">
        <v>8440800</v>
      </c>
      <c r="E2966" t="s">
        <v>2165</v>
      </c>
      <c r="G2966" t="s">
        <v>295</v>
      </c>
      <c r="I2966">
        <v>-22.495200000000001</v>
      </c>
      <c r="J2966">
        <v>135.02500000000001</v>
      </c>
    </row>
    <row r="2967" spans="1:11" x14ac:dyDescent="0.25">
      <c r="A2967" t="str">
        <f>HYPERLINK("http://www.corstruth.com.au/NT/8440804_DDNT_12_2_cs.png","8440804_DDNT_12_2_A4")</f>
        <v>8440804_DDNT_12_2_A4</v>
      </c>
      <c r="B2967" t="str">
        <f>HYPERLINK("http://www.corstruth.com.au/NT/PNG2/8440804_DDNT_12_2_cs.png","8440804_DDNT_12_2_0.25m Bins")</f>
        <v>8440804_DDNT_12_2_0.25m Bins</v>
      </c>
      <c r="C2967" t="str">
        <f>HYPERLINK("http://www.corstruth.com.au/NT/CSV/8440804_DDNT_12_2.csv","8440804_DDNT_12_2_CSV File 1m Bins")</f>
        <v>8440804_DDNT_12_2_CSV File 1m Bins</v>
      </c>
      <c r="D2967">
        <v>8440804</v>
      </c>
      <c r="E2967" t="s">
        <v>2165</v>
      </c>
      <c r="G2967" t="s">
        <v>295</v>
      </c>
      <c r="I2967">
        <v>-22.4954</v>
      </c>
      <c r="J2967">
        <v>135.024</v>
      </c>
    </row>
    <row r="2968" spans="1:11" x14ac:dyDescent="0.25">
      <c r="A2968" t="str">
        <f>HYPERLINK("http://www.corstruth.com.au/NT/8440808_DDNT_12_3_cs.png","8440808_DDNT_12_3_A4")</f>
        <v>8440808_DDNT_12_3_A4</v>
      </c>
      <c r="B2968" t="str">
        <f>HYPERLINK("http://www.corstruth.com.au/NT/PNG2/8440808_DDNT_12_3_cs.png","8440808_DDNT_12_3_0.25m Bins")</f>
        <v>8440808_DDNT_12_3_0.25m Bins</v>
      </c>
      <c r="C2968" t="str">
        <f>HYPERLINK("http://www.corstruth.com.au/NT/CSV/8440808_DDNT_12_3.csv","8440808_DDNT_12_3_CSV File 1m Bins")</f>
        <v>8440808_DDNT_12_3_CSV File 1m Bins</v>
      </c>
      <c r="D2968">
        <v>8440808</v>
      </c>
      <c r="E2968" t="s">
        <v>2165</v>
      </c>
      <c r="G2968" t="s">
        <v>295</v>
      </c>
      <c r="I2968">
        <v>-22.4954</v>
      </c>
      <c r="J2968">
        <v>135.023</v>
      </c>
    </row>
    <row r="2969" spans="1:11" x14ac:dyDescent="0.25">
      <c r="A2969" t="str">
        <f>HYPERLINK("http://www.corstruth.com.au/NT/8445279_MMDD001_cs.png","8445279_MMDD001_A4")</f>
        <v>8445279_MMDD001_A4</v>
      </c>
      <c r="B2969" t="str">
        <f>HYPERLINK("http://www.corstruth.com.au/NT/PNG2/8445279_MMDD001_cs.png","8445279_MMDD001_0.25m Bins")</f>
        <v>8445279_MMDD001_0.25m Bins</v>
      </c>
      <c r="C2969" t="str">
        <f>HYPERLINK("http://www.corstruth.com.au/NT/CSV/8445279_MMDD001.csv","8445279_MMDD001_CSV File 1m Bins")</f>
        <v>8445279_MMDD001_CSV File 1m Bins</v>
      </c>
      <c r="D2969">
        <v>8445279</v>
      </c>
      <c r="E2969" t="s">
        <v>2165</v>
      </c>
      <c r="G2969" t="s">
        <v>295</v>
      </c>
      <c r="I2969">
        <v>-23.7727</v>
      </c>
      <c r="J2969">
        <v>135.60300000000001</v>
      </c>
      <c r="K2969" t="str">
        <f>HYPERLINK("http://geology.data.nt.gov.au/NVCLDataServices/mosaic.html?datasetid=21366bf5-6fde-4783-bf4b-6f8f47f75da","8445279_MMDD001_Core Image")</f>
        <v>8445279_MMDD001_Core Image</v>
      </c>
    </row>
    <row r="2970" spans="1:11" x14ac:dyDescent="0.25">
      <c r="A2970" t="str">
        <f>HYPERLINK("http://www.corstruth.com.au/NT/8445283_BWDD001_cs.png","8445283_BWDD001_A4")</f>
        <v>8445283_BWDD001_A4</v>
      </c>
      <c r="B2970" t="str">
        <f>HYPERLINK("http://www.corstruth.com.au/NT/PNG2/8445283_BWDD001_cs.png","8445283_BWDD001_0.25m Bins")</f>
        <v>8445283_BWDD001_0.25m Bins</v>
      </c>
      <c r="C2970" t="str">
        <f>HYPERLINK("http://www.corstruth.com.au/NT/CSV/8445283_BWDD001.csv","8445283_BWDD001_CSV File 1m Bins")</f>
        <v>8445283_BWDD001_CSV File 1m Bins</v>
      </c>
      <c r="D2970">
        <v>8445283</v>
      </c>
      <c r="E2970" t="s">
        <v>2165</v>
      </c>
      <c r="G2970" t="s">
        <v>295</v>
      </c>
      <c r="I2970">
        <v>-23.611699999999999</v>
      </c>
      <c r="J2970">
        <v>135.255</v>
      </c>
      <c r="K2970" t="str">
        <f>HYPERLINK("http://geology.data.nt.gov.au/NVCLDataServices/mosaic.html?datasetid=6e6d1a6e-2906-4f76-af77-d097740a1ee","8445283_BWDD001_Core Image")</f>
        <v>8445283_BWDD001_Core Image</v>
      </c>
    </row>
    <row r="2971" spans="1:11" x14ac:dyDescent="0.25">
      <c r="A2971" t="str">
        <f>HYPERLINK("http://www.corstruth.com.au/NT/8445287_APDD002_cs.png","8445287_APDD002_A4")</f>
        <v>8445287_APDD002_A4</v>
      </c>
      <c r="B2971" t="str">
        <f>HYPERLINK("http://www.corstruth.com.au/NT/PNG2/8445287_APDD002_cs.png","8445287_APDD002_0.25m Bins")</f>
        <v>8445287_APDD002_0.25m Bins</v>
      </c>
      <c r="C2971" t="str">
        <f>HYPERLINK("http://www.corstruth.com.au/NT/CSV/8445287_APDD002.csv","8445287_APDD002_CSV File 1m Bins")</f>
        <v>8445287_APDD002_CSV File 1m Bins</v>
      </c>
      <c r="D2971">
        <v>8445287</v>
      </c>
      <c r="E2971" t="s">
        <v>2165</v>
      </c>
      <c r="G2971" t="s">
        <v>295</v>
      </c>
      <c r="I2971">
        <v>-23.697500000000002</v>
      </c>
      <c r="J2971">
        <v>135.404</v>
      </c>
      <c r="K2971" t="str">
        <f>HYPERLINK("http://geology.data.nt.gov.au/NVCLDataServices/mosaic.html?datasetid=fa5b1db2-5a7e-4402-8199-7870dad2b96","8445287_APDD002_Core Image")</f>
        <v>8445287_APDD002_Core Image</v>
      </c>
    </row>
    <row r="2972" spans="1:11" x14ac:dyDescent="0.25">
      <c r="A2972" t="str">
        <f>HYPERLINK("http://www.corstruth.com.au/NT/8445291_APDD001_cs.png","8445291_APDD001_A4")</f>
        <v>8445291_APDD001_A4</v>
      </c>
      <c r="B2972" t="str">
        <f>HYPERLINK("http://www.corstruth.com.au/NT/PNG2/8445291_APDD001_cs.png","8445291_APDD001_0.25m Bins")</f>
        <v>8445291_APDD001_0.25m Bins</v>
      </c>
      <c r="C2972" t="str">
        <f>HYPERLINK("http://www.corstruth.com.au/NT/CSV/8445291_APDD001.csv","8445291_APDD001_CSV File 1m Bins")</f>
        <v>8445291_APDD001_CSV File 1m Bins</v>
      </c>
      <c r="D2972">
        <v>8445291</v>
      </c>
      <c r="E2972" t="s">
        <v>2165</v>
      </c>
      <c r="G2972" t="s">
        <v>295</v>
      </c>
      <c r="I2972">
        <v>-23.701499999999999</v>
      </c>
      <c r="J2972">
        <v>135.41800000000001</v>
      </c>
      <c r="K2972" t="str">
        <f>HYPERLINK("http://geology.data.nt.gov.au/NVCLDataServices/mosaic.html?datasetid=1340cd6c-8d13-43e1-b614-4883d858185","8445291_APDD001_Core Image")</f>
        <v>8445291_APDD001_Core Image</v>
      </c>
    </row>
    <row r="2973" spans="1:11" x14ac:dyDescent="0.25">
      <c r="A2973" t="str">
        <f>HYPERLINK("http://www.corstruth.com.au/NT/8445295_APDD003_cs.png","8445295_APDD003_A4")</f>
        <v>8445295_APDD003_A4</v>
      </c>
      <c r="B2973" t="str">
        <f>HYPERLINK("http://www.corstruth.com.au/NT/PNG2/8445295_APDD003_cs.png","8445295_APDD003_0.25m Bins")</f>
        <v>8445295_APDD003_0.25m Bins</v>
      </c>
      <c r="C2973" t="str">
        <f>HYPERLINK("http://www.corstruth.com.au/NT/CSV/8445295_APDD003.csv","8445295_APDD003_CSV File 1m Bins")</f>
        <v>8445295_APDD003_CSV File 1m Bins</v>
      </c>
      <c r="D2973">
        <v>8445295</v>
      </c>
      <c r="E2973" t="s">
        <v>2165</v>
      </c>
      <c r="G2973" t="s">
        <v>295</v>
      </c>
      <c r="I2973">
        <v>-23.703199999999999</v>
      </c>
      <c r="J2973">
        <v>135.4</v>
      </c>
      <c r="K2973" t="str">
        <f>HYPERLINK("http://geology.data.nt.gov.au/NVCLDataServices/mosaic.html?datasetid=0f2a5561-a509-4a11-a9f0-819bebe3531","8445295_APDD003_Core Image")</f>
        <v>8445295_APDD003_Core Image</v>
      </c>
    </row>
    <row r="2974" spans="1:11" x14ac:dyDescent="0.25">
      <c r="A2974" t="str">
        <f>HYPERLINK("http://www.corstruth.com.au/NT/8446353_13BARCD_038_cs.png","8446353_13BARCD_038_A4")</f>
        <v>8446353_13BARCD_038_A4</v>
      </c>
      <c r="B2974" t="str">
        <f>HYPERLINK("http://www.corstruth.com.au/NT/PNG2/8446353_13BARCD_038_cs.png","8446353_13BARCD_038_0.25m Bins")</f>
        <v>8446353_13BARCD_038_0.25m Bins</v>
      </c>
      <c r="C2974" t="str">
        <f>HYPERLINK("http://www.corstruth.com.au/NT/CSV/8446353_13BARCD_038.csv","8446353_13BARCD_038_CSV File 1m Bins")</f>
        <v>8446353_13BARCD_038_CSV File 1m Bins</v>
      </c>
      <c r="D2974">
        <v>8446353</v>
      </c>
      <c r="E2974" t="s">
        <v>2165</v>
      </c>
      <c r="G2974" t="s">
        <v>295</v>
      </c>
      <c r="I2974">
        <v>-23.126899999999999</v>
      </c>
      <c r="J2974">
        <v>134.21799999999999</v>
      </c>
      <c r="K2974" t="str">
        <f>HYPERLINK("http://geology.data.nt.gov.au/NVCLDataServices/mosaic.html?datasetid=d41c790c-0cbb-4fc4-915a-f7e190244d6","8446353_13BARCD_038_Core Image")</f>
        <v>8446353_13BARCD_038_Core Image</v>
      </c>
    </row>
    <row r="2975" spans="1:11" x14ac:dyDescent="0.25">
      <c r="A2975" t="str">
        <f>HYPERLINK("http://www.corstruth.com.au/NT/8446353_13BARCD_038_XRD_cs.png","8446353_13BARCD_038_XRD_A4")</f>
        <v>8446353_13BARCD_038_XRD_A4</v>
      </c>
      <c r="B2975" t="str">
        <f>HYPERLINK("http://www.corstruth.com.au/NT/PNG2/8446353_13BARCD_038_XRD_cs.png","8446353_13BARCD_038_XRD_0.25m Bins")</f>
        <v>8446353_13BARCD_038_XRD_0.25m Bins</v>
      </c>
      <c r="C2975" t="str">
        <f>HYPERLINK("http://www.corstruth.com.au/NT/CSV/8446353_13BARCD_038_XRD.csv","8446353_13BARCD_038_XRD_CSV File 1m Bins")</f>
        <v>8446353_13BARCD_038_XRD_CSV File 1m Bins</v>
      </c>
      <c r="D2975">
        <v>8446353</v>
      </c>
      <c r="E2975" t="s">
        <v>2165</v>
      </c>
      <c r="G2975" t="s">
        <v>295</v>
      </c>
      <c r="I2975">
        <v>-23.126899999999999</v>
      </c>
      <c r="J2975">
        <v>134.21799999999999</v>
      </c>
      <c r="K2975" t="str">
        <f>HYPERLINK("http://geology.data.nt.gov.au/NVCLDataServices/mosaic.html?datasetid=d41c790c-0cbb-4fc4-915a-f7e190244d6","8446353_13BARCD_038_XRD_Core Image")</f>
        <v>8446353_13BARCD_038_XRD_Core Image</v>
      </c>
    </row>
    <row r="2976" spans="1:11" x14ac:dyDescent="0.25">
      <c r="A2976" t="str">
        <f>HYPERLINK("http://www.corstruth.com.au/NT/8446357_Dneiper_1_cs.png","8446357_Dneiper_1_A4")</f>
        <v>8446357_Dneiper_1_A4</v>
      </c>
      <c r="B2976" t="str">
        <f>HYPERLINK("http://www.corstruth.com.au/NT/PNG2/8446357_Dneiper_1_cs.png","8446357_Dneiper_1_0.25m Bins")</f>
        <v>8446357_Dneiper_1_0.25m Bins</v>
      </c>
      <c r="C2976" t="str">
        <f>HYPERLINK("http://www.corstruth.com.au/NT/CSV/8446357_Dneiper_1.csv","8446357_Dneiper_1_CSV File 1m Bins")</f>
        <v>8446357_Dneiper_1_CSV File 1m Bins</v>
      </c>
      <c r="D2976">
        <v>8446357</v>
      </c>
      <c r="E2976" t="s">
        <v>2165</v>
      </c>
      <c r="G2976" t="s">
        <v>295</v>
      </c>
      <c r="I2976">
        <v>-22.7318</v>
      </c>
      <c r="J2976">
        <v>135.268</v>
      </c>
      <c r="K2976" t="str">
        <f>HYPERLINK("http://geology.data.nt.gov.au/NVCLDataServices/mosaic.html?datasetid=9ed4b667-7fdd-4439-a6d2-53bdc852753","8446357_Dneiper_1_Core Image")</f>
        <v>8446357_Dneiper_1_Core Image</v>
      </c>
    </row>
    <row r="2977" spans="1:11" x14ac:dyDescent="0.25">
      <c r="A2977" t="str">
        <f>HYPERLINK("http://www.corstruth.com.au/NT/8446362_DDH10_cs.png","8446362_DDH10_A4")</f>
        <v>8446362_DDH10_A4</v>
      </c>
      <c r="B2977" t="str">
        <f>HYPERLINK("http://www.corstruth.com.au/NT/PNG2/8446362_DDH10_cs.png","8446362_DDH10_0.25m Bins")</f>
        <v>8446362_DDH10_0.25m Bins</v>
      </c>
      <c r="C2977" t="str">
        <f>HYPERLINK("http://www.corstruth.com.au/NT/CSV/8446362_DDH10.csv","8446362_DDH10_CSV File 1m Bins")</f>
        <v>8446362_DDH10_CSV File 1m Bins</v>
      </c>
      <c r="D2977">
        <v>8446362</v>
      </c>
      <c r="E2977" t="s">
        <v>2165</v>
      </c>
      <c r="G2977" t="s">
        <v>295</v>
      </c>
      <c r="I2977">
        <v>-22.6496</v>
      </c>
      <c r="J2977">
        <v>136.267</v>
      </c>
      <c r="K2977" t="str">
        <f>HYPERLINK("http://geology.data.nt.gov.au/NVCLDataServices/mosaic.html?datasetid=7a206799-1206-4209-bf54-834ca81a9bc","8446362_DDH10_Core Image")</f>
        <v>8446362_DDH10_Core Image</v>
      </c>
    </row>
    <row r="2978" spans="1:11" x14ac:dyDescent="0.25">
      <c r="A2978" t="str">
        <f>HYPERLINK("http://www.corstruth.com.au/NT/8446368_DDH_J13_cs.png","8446368_DDH_J13_A4")</f>
        <v>8446368_DDH_J13_A4</v>
      </c>
      <c r="B2978" t="str">
        <f>HYPERLINK("http://www.corstruth.com.au/NT/PNG2/8446368_DDH_J13_cs.png","8446368_DDH_J13_0.25m Bins")</f>
        <v>8446368_DDH_J13_0.25m Bins</v>
      </c>
      <c r="C2978" t="str">
        <f>HYPERLINK("http://www.corstruth.com.au/NT/CSV/8446368_DDH_J13.csv","8446368_DDH_J13_CSV File 1m Bins")</f>
        <v>8446368_DDH_J13_CSV File 1m Bins</v>
      </c>
      <c r="D2978">
        <v>8446368</v>
      </c>
      <c r="E2978" t="s">
        <v>2165</v>
      </c>
      <c r="G2978" t="s">
        <v>295</v>
      </c>
      <c r="I2978">
        <v>-22.649100000000001</v>
      </c>
      <c r="J2978">
        <v>136.26900000000001</v>
      </c>
    </row>
    <row r="2979" spans="1:11" x14ac:dyDescent="0.25">
      <c r="A2979" t="str">
        <f>HYPERLINK("http://www.corstruth.com.au/NT/8446501_KJD010W1_cs.png","8446501_KJD010W1_A4")</f>
        <v>8446501_KJD010W1_A4</v>
      </c>
      <c r="B2979" t="str">
        <f>HYPERLINK("http://www.corstruth.com.au/NT/PNG2/8446501_KJD010W1_cs.png","8446501_KJD010W1_0.25m Bins")</f>
        <v>8446501_KJD010W1_0.25m Bins</v>
      </c>
      <c r="C2979" t="str">
        <f>HYPERLINK("http://www.corstruth.com.au/NT/CSV/8446501_KJD010W1.csv","8446501_KJD010W1_CSV File 1m Bins")</f>
        <v>8446501_KJD010W1_CSV File 1m Bins</v>
      </c>
      <c r="D2979">
        <v>8446501</v>
      </c>
      <c r="E2979" t="s">
        <v>2165</v>
      </c>
      <c r="G2979" t="s">
        <v>295</v>
      </c>
      <c r="I2979">
        <v>-22.6435</v>
      </c>
      <c r="J2979">
        <v>136.262</v>
      </c>
    </row>
    <row r="2980" spans="1:11" x14ac:dyDescent="0.25">
      <c r="A2980" t="str">
        <f>HYPERLINK("http://www.corstruth.com.au/NT/8446754_KJCD168_cs.png","8446754_KJCD168_A4")</f>
        <v>8446754_KJCD168_A4</v>
      </c>
      <c r="B2980" t="str">
        <f>HYPERLINK("http://www.corstruth.com.au/NT/PNG2/8446754_KJCD168_cs.png","8446754_KJCD168_0.25m Bins")</f>
        <v>8446754_KJCD168_0.25m Bins</v>
      </c>
      <c r="C2980" t="str">
        <f>HYPERLINK("http://www.corstruth.com.au/NT/CSV/8446754_KJCD168.csv","8446754_KJCD168_CSV File 1m Bins")</f>
        <v>8446754_KJCD168_CSV File 1m Bins</v>
      </c>
      <c r="D2980">
        <v>8446754</v>
      </c>
      <c r="E2980" t="s">
        <v>2165</v>
      </c>
      <c r="G2980" t="s">
        <v>295</v>
      </c>
      <c r="I2980">
        <v>-22.682500000000001</v>
      </c>
      <c r="J2980">
        <v>136.24600000000001</v>
      </c>
      <c r="K2980" t="str">
        <f>HYPERLINK("http://geology.data.nt.gov.au/NVCLDataServices/mosaic.html?datasetid=4718ddb8-78d6-4ce0-9afc-add93f3e173","8446754_KJCD168_Core Image")</f>
        <v>8446754_KJCD168_Core Image</v>
      </c>
    </row>
    <row r="2981" spans="1:11" x14ac:dyDescent="0.25">
      <c r="A2981" t="str">
        <f>HYPERLINK("http://www.corstruth.com.au/NT/7853531_LBD1_cs.png","7853531_LBD1_A4")</f>
        <v>7853531_LBD1_A4</v>
      </c>
      <c r="B2981" t="str">
        <f>HYPERLINK("http://www.corstruth.com.au/NT/PNG2/7853531_LBD1_cs.png","7853531_LBD1_0.25m Bins")</f>
        <v>7853531_LBD1_0.25m Bins</v>
      </c>
      <c r="C2981" t="str">
        <f>HYPERLINK("http://www.corstruth.com.au/NT/CSV/7853531_LBD1.csv","7853531_LBD1_CSV File 1m Bins")</f>
        <v>7853531_LBD1_CSV File 1m Bins</v>
      </c>
      <c r="D2981">
        <v>7853531</v>
      </c>
      <c r="E2981" t="s">
        <v>2165</v>
      </c>
      <c r="G2981" t="s">
        <v>2169</v>
      </c>
      <c r="I2981">
        <v>-17.4816</v>
      </c>
      <c r="J2981">
        <v>130.12799999999999</v>
      </c>
      <c r="K2981" t="str">
        <f>HYPERLINK("http://geology.data.nt.gov.au/NVCLDataServices/mosaic.html?datasetid=c7c90a44-3905-488d-9567-b87bb4c76ee","7853531_LBD1_Core Image")</f>
        <v>7853531_LBD1_Core Image</v>
      </c>
    </row>
    <row r="2982" spans="1:11" x14ac:dyDescent="0.25">
      <c r="A2982" t="str">
        <f>HYPERLINK("http://www.corstruth.com.au/NT/8445457_MSFDD001_cs.png","8445457_MSFDD001_A4")</f>
        <v>8445457_MSFDD001_A4</v>
      </c>
      <c r="B2982" t="str">
        <f>HYPERLINK("http://www.corstruth.com.au/NT/PNG2/8445457_MSFDD001_cs.png","8445457_MSFDD001_0.25m Bins")</f>
        <v>8445457_MSFDD001_0.25m Bins</v>
      </c>
      <c r="C2982" t="str">
        <f>HYPERLINK("http://www.corstruth.com.au/NT/CSV/8445457_MSFDD001.csv","8445457_MSFDD001_CSV File 1m Bins")</f>
        <v>8445457_MSFDD001_CSV File 1m Bins</v>
      </c>
      <c r="D2982">
        <v>8445457</v>
      </c>
      <c r="E2982" t="s">
        <v>2165</v>
      </c>
      <c r="G2982" t="s">
        <v>2169</v>
      </c>
      <c r="I2982">
        <v>-17.047799999999999</v>
      </c>
      <c r="J2982">
        <v>130.44300000000001</v>
      </c>
      <c r="K2982" t="str">
        <f>HYPERLINK("http://geology.data.nt.gov.au/NVCLDataServices/mosaic.html?datasetid=3454ee34-2137-4b8b-9a35-526bfeb653b","8445457_MSFDD001_Core Image")</f>
        <v>8445457_MSFDD001_Core Image</v>
      </c>
    </row>
    <row r="2983" spans="1:11" x14ac:dyDescent="0.25">
      <c r="A2983" t="str">
        <f>HYPERLINK("http://www.corstruth.com.au/NT/8445461_MSFDD002_cs.png","8445461_MSFDD002_A4")</f>
        <v>8445461_MSFDD002_A4</v>
      </c>
      <c r="B2983" t="str">
        <f>HYPERLINK("http://www.corstruth.com.au/NT/PNG2/8445461_MSFDD002_cs.png","8445461_MSFDD002_0.25m Bins")</f>
        <v>8445461_MSFDD002_0.25m Bins</v>
      </c>
      <c r="C2983" t="str">
        <f>HYPERLINK("http://www.corstruth.com.au/NT/CSV/8445461_MSFDD002.csv","8445461_MSFDD002_CSV File 1m Bins")</f>
        <v>8445461_MSFDD002_CSV File 1m Bins</v>
      </c>
      <c r="D2983">
        <v>8445461</v>
      </c>
      <c r="E2983" t="s">
        <v>2165</v>
      </c>
      <c r="G2983" t="s">
        <v>2169</v>
      </c>
      <c r="I2983">
        <v>-17.095600000000001</v>
      </c>
      <c r="J2983">
        <v>130.47</v>
      </c>
      <c r="K2983" t="str">
        <f>HYPERLINK("http://geology.data.nt.gov.au/NVCLDataServices/mosaic.html?datasetid=33fb7e13-68af-4aa0-b0cc-f673d62fc0d","8445461_MSFDD002_Core Image")</f>
        <v>8445461_MSFDD002_Core Image</v>
      </c>
    </row>
    <row r="2984" spans="1:11" x14ac:dyDescent="0.25">
      <c r="A2984" t="str">
        <f>HYPERLINK("http://www.corstruth.com.au/NT/8719098_LBD3_cs.png","8719098_LBD3_A4")</f>
        <v>8719098_LBD3_A4</v>
      </c>
      <c r="B2984" t="str">
        <f>HYPERLINK("http://www.corstruth.com.au/NT/PNG2/8719098_LBD3_cs.png","8719098_LBD3_0.25m Bins")</f>
        <v>8719098_LBD3_0.25m Bins</v>
      </c>
      <c r="C2984" t="str">
        <f>HYPERLINK("http://www.corstruth.com.au/NT/CSV/8719098_LBD3.csv","8719098_LBD3_CSV File 1m Bins")</f>
        <v>8719098_LBD3_CSV File 1m Bins</v>
      </c>
      <c r="D2984">
        <v>8719098</v>
      </c>
      <c r="E2984" t="s">
        <v>2165</v>
      </c>
      <c r="G2984" t="s">
        <v>2169</v>
      </c>
      <c r="I2984">
        <v>-17.491599999999998</v>
      </c>
      <c r="J2984">
        <v>130.13999999999999</v>
      </c>
    </row>
    <row r="2985" spans="1:11" x14ac:dyDescent="0.25">
      <c r="A2985" t="str">
        <f>HYPERLINK("http://www.corstruth.com.au/NT/8719099_LBD4_cs.png","8719099_LBD4_A4")</f>
        <v>8719099_LBD4_A4</v>
      </c>
      <c r="B2985" t="str">
        <f>HYPERLINK("http://www.corstruth.com.au/NT/PNG2/8719099_LBD4_cs.png","8719099_LBD4_0.25m Bins")</f>
        <v>8719099_LBD4_0.25m Bins</v>
      </c>
      <c r="C2985" t="str">
        <f>HYPERLINK("http://www.corstruth.com.au/NT/CSV/8719099_LBD4.csv","8719099_LBD4_CSV File 1m Bins")</f>
        <v>8719099_LBD4_CSV File 1m Bins</v>
      </c>
      <c r="D2985">
        <v>8719099</v>
      </c>
      <c r="E2985" t="s">
        <v>2165</v>
      </c>
      <c r="G2985" t="s">
        <v>2169</v>
      </c>
      <c r="I2985">
        <v>-17.490400000000001</v>
      </c>
      <c r="J2985">
        <v>130.14099999999999</v>
      </c>
    </row>
    <row r="2986" spans="1:11" x14ac:dyDescent="0.25">
      <c r="A2986" t="str">
        <f>HYPERLINK("http://www.corstruth.com.au/NT/877554_DD90VRB1_cs.png","877554_DD90VRB1_A4")</f>
        <v>877554_DD90VRB1_A4</v>
      </c>
      <c r="B2986" t="str">
        <f>HYPERLINK("http://www.corstruth.com.au/NT/PNG2/877554_DD90VRB1_cs.png","877554_DD90VRB1_0.25m Bins")</f>
        <v>877554_DD90VRB1_0.25m Bins</v>
      </c>
      <c r="C2986" t="str">
        <f>HYPERLINK("http://www.corstruth.com.au/NT/CSV/877554_DD90VRB1.csv","877554_DD90VRB1_CSV File 1m Bins")</f>
        <v>877554_DD90VRB1_CSV File 1m Bins</v>
      </c>
      <c r="D2986">
        <v>877554</v>
      </c>
      <c r="E2986" t="s">
        <v>2165</v>
      </c>
      <c r="G2986" t="s">
        <v>2169</v>
      </c>
      <c r="I2986">
        <v>-17.093</v>
      </c>
      <c r="J2986">
        <v>130.38399999999999</v>
      </c>
      <c r="K2986" t="str">
        <f>HYPERLINK("http://geology.data.nt.gov.au/NVCLDataServices/mosaic.html?datasetid=cafe421a-725d-431d-a8dc-7884f43bed1","877554_DD90VRB1_Core Image")</f>
        <v>877554_DD90VRB1_Core Image</v>
      </c>
    </row>
    <row r="2987" spans="1:11" x14ac:dyDescent="0.25">
      <c r="A2987" t="str">
        <f>HYPERLINK("http://www.corstruth.com.au/NT/879511_DD90VRB2_cs.png","879511_DD90VRB2_A4")</f>
        <v>879511_DD90VRB2_A4</v>
      </c>
      <c r="B2987" t="str">
        <f>HYPERLINK("http://www.corstruth.com.au/NT/PNG2/879511_DD90VRB2_cs.png","879511_DD90VRB2_0.25m Bins")</f>
        <v>879511_DD90VRB2_0.25m Bins</v>
      </c>
      <c r="C2987" t="str">
        <f>HYPERLINK("http://www.corstruth.com.au/NT/CSV/879511_DD90VRB2.csv","879511_DD90VRB2_CSV File 1m Bins")</f>
        <v>879511_DD90VRB2_CSV File 1m Bins</v>
      </c>
      <c r="D2987">
        <v>879511</v>
      </c>
      <c r="E2987" t="s">
        <v>2165</v>
      </c>
      <c r="G2987" t="s">
        <v>2169</v>
      </c>
      <c r="I2987">
        <v>-17.246099999999998</v>
      </c>
      <c r="J2987">
        <v>130.541</v>
      </c>
      <c r="K2987" t="str">
        <f>HYPERLINK("http://geology.data.nt.gov.au/NVCLDataServices/mosaic.html?datasetid=9819aeec-eb3e-4dfe-acbd-1d760284dd3","879511_DD90VRB2_Core Image")</f>
        <v>879511_DD90VRB2_Core Image</v>
      </c>
    </row>
    <row r="2988" spans="1:11" x14ac:dyDescent="0.25">
      <c r="A2988" t="str">
        <f>HYPERLINK("http://www.corstruth.com.au/NT/8447012_Bathurst_Island_Well_2_cs.png","8447012_Bathurst_Island_Well_2_A4")</f>
        <v>8447012_Bathurst_Island_Well_2_A4</v>
      </c>
      <c r="B2988" t="str">
        <f>HYPERLINK("http://www.corstruth.com.au/NT/PNG2/8447012_Bathurst_Island_Well_2_cs.png","8447012_Bathurst_Island_Well_2_0.25m Bins")</f>
        <v>8447012_Bathurst_Island_Well_2_0.25m Bins</v>
      </c>
      <c r="C2988" t="str">
        <f>HYPERLINK("http://www.corstruth.com.au/NT/CSV/8447012_Bathurst_Island_Well_2.csv","8447012_Bathurst_Island_Well_2_CSV File 1m Bins")</f>
        <v>8447012_Bathurst_Island_Well_2_CSV File 1m Bins</v>
      </c>
      <c r="D2988">
        <v>8447012</v>
      </c>
      <c r="E2988" t="s">
        <v>2165</v>
      </c>
      <c r="G2988" t="s">
        <v>358</v>
      </c>
      <c r="I2988">
        <v>-11.7569</v>
      </c>
      <c r="J2988">
        <v>130.36799999999999</v>
      </c>
    </row>
    <row r="2989" spans="1:11" x14ac:dyDescent="0.25">
      <c r="A2989" t="str">
        <f>HYPERLINK("http://www.corstruth.com.au/NT/8447018_Kulshill_1_cs.png","8447018_Kulshill_1_A4")</f>
        <v>8447018_Kulshill_1_A4</v>
      </c>
      <c r="B2989" t="str">
        <f>HYPERLINK("http://www.corstruth.com.au/NT/PNG2/8447018_Kulshill_1_cs.png","8447018_Kulshill_1_0.25m Bins")</f>
        <v>8447018_Kulshill_1_0.25m Bins</v>
      </c>
      <c r="C2989" t="str">
        <f>HYPERLINK("http://www.corstruth.com.au/NT/CSV/8447018_Kulshill_1.csv","8447018_Kulshill_1_CSV File 1m Bins")</f>
        <v>8447018_Kulshill_1_CSV File 1m Bins</v>
      </c>
      <c r="D2989">
        <v>8447018</v>
      </c>
      <c r="E2989" t="s">
        <v>2165</v>
      </c>
      <c r="G2989" t="s">
        <v>358</v>
      </c>
      <c r="I2989">
        <v>-14.361700000000001</v>
      </c>
      <c r="J2989">
        <v>129.54400000000001</v>
      </c>
    </row>
    <row r="2990" spans="1:11" x14ac:dyDescent="0.25">
      <c r="A2990" t="str">
        <f>HYPERLINK("http://www.corstruth.com.au/NT/8618171_Keep_River_1_cs.png","8618171_Keep_River_1_A4")</f>
        <v>8618171_Keep_River_1_A4</v>
      </c>
      <c r="B2990" t="str">
        <f>HYPERLINK("http://www.corstruth.com.au/NT/PNG2/8618171_Keep_River_1_cs.png","8618171_Keep_River_1_0.25m Bins")</f>
        <v>8618171_Keep_River_1_0.25m Bins</v>
      </c>
      <c r="C2990" t="str">
        <f>HYPERLINK("http://www.corstruth.com.au/NT/CSV/8618171_Keep_River_1.csv","8618171_Keep_River_1_CSV File 1m Bins")</f>
        <v>8618171_Keep_River_1_CSV File 1m Bins</v>
      </c>
      <c r="D2990">
        <v>8618171</v>
      </c>
      <c r="E2990" t="s">
        <v>2165</v>
      </c>
      <c r="G2990" t="s">
        <v>358</v>
      </c>
      <c r="I2990">
        <v>-15.166700000000001</v>
      </c>
      <c r="J2990">
        <v>129.09100000000001</v>
      </c>
    </row>
    <row r="2991" spans="1:11" x14ac:dyDescent="0.25">
      <c r="A2991" t="str">
        <f>HYPERLINK("http://www.corstruth.com.au/NT/8446564_Shenandoah_1A_cs.png","8446564_Shenandoah_1A_A4")</f>
        <v>8446564_Shenandoah_1A_A4</v>
      </c>
      <c r="B2991" t="str">
        <f>HYPERLINK("http://www.corstruth.com.au/NT/PNG2/8446564_Shenandoah_1A_cs.png","8446564_Shenandoah_1A_0.25m Bins")</f>
        <v>8446564_Shenandoah_1A_0.25m Bins</v>
      </c>
      <c r="C2991" t="str">
        <f>HYPERLINK("http://www.corstruth.com.au/NT/CSV/8446564_Shenandoah_1A.csv","8446564_Shenandoah_1A_CSV File 1m Bins")</f>
        <v>8446564_Shenandoah_1A_CSV File 1m Bins</v>
      </c>
      <c r="D2991">
        <v>8446564</v>
      </c>
      <c r="E2991" t="s">
        <v>2165</v>
      </c>
      <c r="G2991" t="s">
        <v>2170</v>
      </c>
      <c r="I2991">
        <v>-16.622900000000001</v>
      </c>
      <c r="J2991">
        <v>133.577</v>
      </c>
      <c r="K2991" t="str">
        <f>HYPERLINK("http://geology.data.nt.gov.au/NVCLDataServices/mosaic.html?datasetid=df93da68-0a00-4be1-bee5-5100634984c","8446564_Shenandoah_1A_Core Image")</f>
        <v>8446564_Shenandoah_1A_Core Image</v>
      </c>
    </row>
    <row r="2992" spans="1:11" x14ac:dyDescent="0.25">
      <c r="A2992" t="str">
        <f>HYPERLINK("http://www.corstruth.com.au/NT/8446723_ZK4001_cs.png","8446723_ZK4001_A4")</f>
        <v>8446723_ZK4001_A4</v>
      </c>
      <c r="B2992" t="str">
        <f>HYPERLINK("http://www.corstruth.com.au/NT/PNG2/8446723_ZK4001_cs.png","8446723_ZK4001_0.25m Bins")</f>
        <v>8446723_ZK4001_0.25m Bins</v>
      </c>
      <c r="C2992" t="str">
        <f>HYPERLINK("http://www.corstruth.com.au/NT/CSV/8446723_ZK4001.csv","8446723_ZK4001_CSV File 1m Bins")</f>
        <v>8446723_ZK4001_CSV File 1m Bins</v>
      </c>
      <c r="D2992">
        <v>8446723</v>
      </c>
      <c r="E2992" t="s">
        <v>2165</v>
      </c>
      <c r="G2992" t="s">
        <v>2170</v>
      </c>
      <c r="I2992">
        <v>-16.513100000000001</v>
      </c>
      <c r="J2992">
        <v>134.09700000000001</v>
      </c>
    </row>
    <row r="2993" spans="1:11" x14ac:dyDescent="0.25">
      <c r="A2993" t="str">
        <f>HYPERLINK("http://www.corstruth.com.au/NT/8458261_EADD213_cs.png","8458261_EADD213_A4")</f>
        <v>8458261_EADD213_A4</v>
      </c>
      <c r="B2993" t="str">
        <f>HYPERLINK("http://www.corstruth.com.au/NT/PNG2/8458261_EADD213_cs.png","8458261_EADD213_0.25m Bins")</f>
        <v>8458261_EADD213_0.25m Bins</v>
      </c>
      <c r="C2993" t="str">
        <f>HYPERLINK("http://www.corstruth.com.au/NT/CSV/8458261_EADD213.csv","8458261_EADD213_CSV File 1m Bins")</f>
        <v>8458261_EADD213_CSV File 1m Bins</v>
      </c>
      <c r="D2993">
        <v>8458261</v>
      </c>
      <c r="E2993" t="s">
        <v>2165</v>
      </c>
      <c r="G2993" t="s">
        <v>2170</v>
      </c>
      <c r="I2993">
        <v>-12.608700000000001</v>
      </c>
      <c r="J2993">
        <v>136.44</v>
      </c>
    </row>
    <row r="2994" spans="1:11" x14ac:dyDescent="0.25">
      <c r="A2994" t="str">
        <f>HYPERLINK("http://www.corstruth.com.au/NT/8458262_PJSTR2_cs.png","8458262_PJSTR2_A4")</f>
        <v>8458262_PJSTR2_A4</v>
      </c>
      <c r="B2994" t="str">
        <f>HYPERLINK("http://www.corstruth.com.au/NT/PNG2/8458262_PJSTR2_cs.png","8458262_PJSTR2_0.25m Bins")</f>
        <v>8458262_PJSTR2_0.25m Bins</v>
      </c>
      <c r="C2994" t="str">
        <f>HYPERLINK("http://www.corstruth.com.au/NT/CSV/8458262_PJSTR2.csv","8458262_PJSTR2_CSV File 1m Bins")</f>
        <v>8458262_PJSTR2_CSV File 1m Bins</v>
      </c>
      <c r="D2994">
        <v>8458262</v>
      </c>
      <c r="E2994" t="s">
        <v>2165</v>
      </c>
      <c r="G2994" t="s">
        <v>2170</v>
      </c>
      <c r="I2994">
        <v>-12.247999999999999</v>
      </c>
      <c r="J2994">
        <v>136.511</v>
      </c>
    </row>
    <row r="2995" spans="1:11" x14ac:dyDescent="0.25">
      <c r="A2995" t="str">
        <f>HYPERLINK("http://www.corstruth.com.au/NT/8458263_PJSTR3_cs.png","8458263_PJSTR3_A4")</f>
        <v>8458263_PJSTR3_A4</v>
      </c>
      <c r="B2995" t="str">
        <f>HYPERLINK("http://www.corstruth.com.au/NT/PNG2/8458263_PJSTR3_cs.png","8458263_PJSTR3_0.25m Bins")</f>
        <v>8458263_PJSTR3_0.25m Bins</v>
      </c>
      <c r="C2995" t="str">
        <f>HYPERLINK("http://www.corstruth.com.au/NT/CSV/8458263_PJSTR3.csv","8458263_PJSTR3_CSV File 1m Bins")</f>
        <v>8458263_PJSTR3_CSV File 1m Bins</v>
      </c>
      <c r="D2995">
        <v>8458263</v>
      </c>
      <c r="E2995" t="s">
        <v>2165</v>
      </c>
      <c r="G2995" t="s">
        <v>2170</v>
      </c>
      <c r="I2995">
        <v>-12.2613</v>
      </c>
      <c r="J2995">
        <v>136.50800000000001</v>
      </c>
    </row>
    <row r="2996" spans="1:11" x14ac:dyDescent="0.25">
      <c r="A2996" t="str">
        <f>HYPERLINK("http://www.corstruth.com.au/NT/8458265_EADD228_cs.png","8458265_EADD228_A4")</f>
        <v>8458265_EADD228_A4</v>
      </c>
      <c r="B2996" t="str">
        <f>HYPERLINK("http://www.corstruth.com.au/NT/PNG2/8458265_EADD228_cs.png","8458265_EADD228_0.25m Bins")</f>
        <v>8458265_EADD228_0.25m Bins</v>
      </c>
      <c r="C2996" t="str">
        <f>HYPERLINK("http://www.corstruth.com.au/NT/CSV/8458265_EADD228.csv","8458265_EADD228_CSV File 1m Bins")</f>
        <v>8458265_EADD228_CSV File 1m Bins</v>
      </c>
      <c r="D2996">
        <v>8458265</v>
      </c>
      <c r="E2996" t="s">
        <v>2165</v>
      </c>
      <c r="G2996" t="s">
        <v>2170</v>
      </c>
      <c r="I2996">
        <v>-12.6067</v>
      </c>
      <c r="J2996">
        <v>136.351</v>
      </c>
    </row>
    <row r="2997" spans="1:11" x14ac:dyDescent="0.25">
      <c r="A2997" t="str">
        <f>HYPERLINK("http://www.corstruth.com.au/NT/8458266_EADD242_cs.png","8458266_EADD242_A4")</f>
        <v>8458266_EADD242_A4</v>
      </c>
      <c r="B2997" t="str">
        <f>HYPERLINK("http://www.corstruth.com.au/NT/PNG2/8458266_EADD242_cs.png","8458266_EADD242_0.25m Bins")</f>
        <v>8458266_EADD242_0.25m Bins</v>
      </c>
      <c r="C2997" t="str">
        <f>HYPERLINK("http://www.corstruth.com.au/NT/CSV/8458266_EADD242.csv","8458266_EADD242_CSV File 1m Bins")</f>
        <v>8458266_EADD242_CSV File 1m Bins</v>
      </c>
      <c r="D2997">
        <v>8458266</v>
      </c>
      <c r="E2997" t="s">
        <v>2165</v>
      </c>
      <c r="G2997" t="s">
        <v>2170</v>
      </c>
      <c r="I2997">
        <v>-12.7399</v>
      </c>
      <c r="J2997">
        <v>136.31399999999999</v>
      </c>
    </row>
    <row r="2998" spans="1:11" x14ac:dyDescent="0.25">
      <c r="A2998" t="str">
        <f>HYPERLINK("http://www.corstruth.com.au/NT/8458267_EADD264_cs.png","8458267_EADD264_A4")</f>
        <v>8458267_EADD264_A4</v>
      </c>
      <c r="B2998" t="str">
        <f>HYPERLINK("http://www.corstruth.com.au/NT/PNG2/8458267_EADD264_cs.png","8458267_EADD264_0.25m Bins")</f>
        <v>8458267_EADD264_0.25m Bins</v>
      </c>
      <c r="C2998" t="str">
        <f>HYPERLINK("http://www.corstruth.com.au/NT/CSV/8458267_EADD264.csv","8458267_EADD264_CSV File 1m Bins")</f>
        <v>8458267_EADD264_CSV File 1m Bins</v>
      </c>
      <c r="D2998">
        <v>8458267</v>
      </c>
      <c r="E2998" t="s">
        <v>2165</v>
      </c>
      <c r="G2998" t="s">
        <v>2170</v>
      </c>
      <c r="I2998">
        <v>-12.780799999999999</v>
      </c>
      <c r="J2998">
        <v>136.24700000000001</v>
      </c>
    </row>
    <row r="2999" spans="1:11" x14ac:dyDescent="0.25">
      <c r="A2999" t="str">
        <f>HYPERLINK("http://www.corstruth.com.au/NT/8418353_KRVH1_cs.png","8418353_KRVH1_A4")</f>
        <v>8418353_KRVH1_A4</v>
      </c>
      <c r="D2999">
        <v>8418353</v>
      </c>
      <c r="E2999" t="s">
        <v>2165</v>
      </c>
      <c r="G2999" t="s">
        <v>2171</v>
      </c>
      <c r="I2999">
        <v>-14.6982</v>
      </c>
      <c r="J2999">
        <v>132.06899999999999</v>
      </c>
      <c r="K2999" t="str">
        <f>HYPERLINK("http://geology.data.nt.gov.au/NVCLDataServices/mosaic.html?datasetid=9de3bde3-efba-4779-a02d-0aa05182a81","8418353_KRVH1_Core Image")</f>
        <v>8418353_KRVH1_Core Image</v>
      </c>
    </row>
    <row r="3000" spans="1:11" x14ac:dyDescent="0.25">
      <c r="A3000" t="str">
        <f>HYPERLINK("http://www.corstruth.com.au/NT/8418558_TDD04_cs.png","8418558_TDD04_A4")</f>
        <v>8418558_TDD04_A4</v>
      </c>
      <c r="D3000">
        <v>8418558</v>
      </c>
      <c r="E3000" t="s">
        <v>2165</v>
      </c>
      <c r="G3000" t="s">
        <v>2171</v>
      </c>
      <c r="I3000">
        <v>-13.994</v>
      </c>
      <c r="J3000">
        <v>131.02199999999999</v>
      </c>
      <c r="K3000" t="str">
        <f>HYPERLINK("http://geology.data.nt.gov.au/NVCLDataServices/mosaic.html?datasetid=0973ca8a-6f59-42a3-a69e-f44c502a8e4","8418558_TDD04_Core Image")</f>
        <v>8418558_TDD04_Core Image</v>
      </c>
    </row>
    <row r="3001" spans="1:11" x14ac:dyDescent="0.25">
      <c r="A3001" t="str">
        <f>HYPERLINK("http://www.corstruth.com.au/NT/8418563_TDD05B_cs.png","8418563_TDD05B_A4")</f>
        <v>8418563_TDD05B_A4</v>
      </c>
      <c r="D3001">
        <v>8418563</v>
      </c>
      <c r="E3001" t="s">
        <v>2165</v>
      </c>
      <c r="G3001" t="s">
        <v>2171</v>
      </c>
      <c r="I3001">
        <v>-13.994</v>
      </c>
      <c r="J3001">
        <v>131.02199999999999</v>
      </c>
      <c r="K3001" t="str">
        <f>HYPERLINK("http://geology.data.nt.gov.au/NVCLDataServices/mosaic.html?datasetid=9020f604-0f59-4b7b-ba84-d3c28212e7e","8418563_TDD05B_Core Image")</f>
        <v>8418563_TDD05B_Core Image</v>
      </c>
    </row>
    <row r="3002" spans="1:11" x14ac:dyDescent="0.25">
      <c r="A3002" t="str">
        <f>HYPERLINK("http://www.corstruth.com.au/NT/8423152_TDD05_cs.png","8423152_TDD05_A4")</f>
        <v>8423152_TDD05_A4</v>
      </c>
      <c r="D3002">
        <v>8423152</v>
      </c>
      <c r="E3002" t="s">
        <v>2165</v>
      </c>
      <c r="G3002" t="s">
        <v>2171</v>
      </c>
      <c r="I3002">
        <v>-13.994</v>
      </c>
      <c r="J3002">
        <v>131.02199999999999</v>
      </c>
      <c r="K3002" t="str">
        <f>HYPERLINK("http://geology.data.nt.gov.au/NVCLDataServices/mosaic.html?datasetid=9016ecee-8249-4f5a-acc2-1d61a1485d7","8423152_TDD05_Core Image")</f>
        <v>8423152_TDD05_Core Image</v>
      </c>
    </row>
    <row r="3003" spans="1:11" x14ac:dyDescent="0.25">
      <c r="A3003" t="str">
        <f>HYPERLINK("http://www.corstruth.com.au/NT/8446546_SKDH05_cs.png","8446546_SKDH05_A4")</f>
        <v>8446546_SKDH05_A4</v>
      </c>
      <c r="B3003" t="str">
        <f>HYPERLINK("http://www.corstruth.com.au/NT/PNG2/8446546_SKDH05_cs.png","8446546_SKDH05_0.25m Bins")</f>
        <v>8446546_SKDH05_0.25m Bins</v>
      </c>
      <c r="C3003" t="str">
        <f>HYPERLINK("http://www.corstruth.com.au/NT/CSV/8446546_SKDH05.csv","8446546_SKDH05_CSV File 1m Bins")</f>
        <v>8446546_SKDH05_CSV File 1m Bins</v>
      </c>
      <c r="D3003">
        <v>8446546</v>
      </c>
      <c r="E3003" t="s">
        <v>2165</v>
      </c>
      <c r="G3003" t="s">
        <v>2171</v>
      </c>
      <c r="I3003">
        <v>-14.387499999999999</v>
      </c>
      <c r="J3003">
        <v>131.149</v>
      </c>
      <c r="K3003" t="str">
        <f>HYPERLINK("http://geology.data.nt.gov.au/NVCLDataServices/mosaic.html?datasetid=6ba8212d-38ec-4f8a-8e79-0ab05e676ec","8446546_SKDH05_Core Image")</f>
        <v>8446546_SKDH05_Core Image</v>
      </c>
    </row>
    <row r="3004" spans="1:11" x14ac:dyDescent="0.25">
      <c r="A3004" t="str">
        <f>HYPERLINK("http://www.corstruth.com.au/NT/8447014_CCVH1_cs.png","8447014_CCVH1_A4")</f>
        <v>8447014_CCVH1_A4</v>
      </c>
      <c r="B3004" t="str">
        <f>HYPERLINK("http://www.corstruth.com.au/NT/PNG2/8447014_CCVH1_cs.png","8447014_CCVH1_0.25m Bins")</f>
        <v>8447014_CCVH1_0.25m Bins</v>
      </c>
      <c r="C3004" t="str">
        <f>HYPERLINK("http://www.corstruth.com.au/NT/CSV/8447014_CCVH1.csv","8447014_CCVH1_CSV File 1m Bins")</f>
        <v>8447014_CCVH1_CSV File 1m Bins</v>
      </c>
      <c r="D3004">
        <v>8447014</v>
      </c>
      <c r="E3004" t="s">
        <v>2165</v>
      </c>
      <c r="G3004" t="s">
        <v>2171</v>
      </c>
      <c r="I3004">
        <v>-14.5604</v>
      </c>
      <c r="J3004">
        <v>132.16800000000001</v>
      </c>
    </row>
    <row r="3005" spans="1:11" x14ac:dyDescent="0.25">
      <c r="A3005" t="str">
        <f>HYPERLINK("http://www.corstruth.com.au/NT/8447015_NTGS83_2A_cs.png","8447015_NTGS83_2A_A4")</f>
        <v>8447015_NTGS83_2A_A4</v>
      </c>
      <c r="B3005" t="str">
        <f>HYPERLINK("http://www.corstruth.com.au/NT/PNG2/8447015_NTGS83_2A_cs.png","8447015_NTGS83_2A_0.25m Bins")</f>
        <v>8447015_NTGS83_2A_0.25m Bins</v>
      </c>
      <c r="C3005" t="str">
        <f>HYPERLINK("http://www.corstruth.com.au/NT/CSV/8447015_NTGS83_2A.csv","8447015_NTGS83_2A_CSV File 1m Bins")</f>
        <v>8447015_NTGS83_2A_CSV File 1m Bins</v>
      </c>
      <c r="D3005">
        <v>8447015</v>
      </c>
      <c r="E3005" t="s">
        <v>2165</v>
      </c>
      <c r="G3005" t="s">
        <v>2171</v>
      </c>
      <c r="I3005">
        <v>-13.9078</v>
      </c>
      <c r="J3005">
        <v>131.16200000000001</v>
      </c>
    </row>
    <row r="3006" spans="1:11" x14ac:dyDescent="0.25">
      <c r="A3006" t="str">
        <f>HYPERLINK("http://www.corstruth.com.au/NT/8447016_NTGS83_4_cs.png","8447016_NTGS83_4_A4")</f>
        <v>8447016_NTGS83_4_A4</v>
      </c>
      <c r="B3006" t="str">
        <f>HYPERLINK("http://www.corstruth.com.au/NT/PNG2/8447016_NTGS83_4_cs.png","8447016_NTGS83_4_0.25m Bins")</f>
        <v>8447016_NTGS83_4_0.25m Bins</v>
      </c>
      <c r="C3006" t="str">
        <f>HYPERLINK("http://www.corstruth.com.au/NT/CSV/8447016_NTGS83_4.csv","8447016_NTGS83_4_CSV File 1m Bins")</f>
        <v>8447016_NTGS83_4_CSV File 1m Bins</v>
      </c>
      <c r="D3006">
        <v>8447016</v>
      </c>
      <c r="E3006" t="s">
        <v>2165</v>
      </c>
      <c r="G3006" t="s">
        <v>2171</v>
      </c>
      <c r="I3006">
        <v>-13.952999999999999</v>
      </c>
      <c r="J3006">
        <v>131.245</v>
      </c>
    </row>
    <row r="3007" spans="1:11" x14ac:dyDescent="0.25">
      <c r="A3007" t="str">
        <f>HYPERLINK("http://www.corstruth.com.au/NT/8618203_NTGS83_5_cs.png","8618203_NTGS83_5_A4")</f>
        <v>8618203_NTGS83_5_A4</v>
      </c>
      <c r="B3007" t="str">
        <f>HYPERLINK("http://www.corstruth.com.au/NT/PNG2/8618203_NTGS83_5_cs.png","8618203_NTGS83_5_0.25m Bins")</f>
        <v>8618203_NTGS83_5_0.25m Bins</v>
      </c>
      <c r="C3007" t="str">
        <f>HYPERLINK("http://www.corstruth.com.au/NT/CSV/8618203_NTGS83_5.csv","8618203_NTGS83_5_CSV File 1m Bins")</f>
        <v>8618203_NTGS83_5_CSV File 1m Bins</v>
      </c>
      <c r="D3007">
        <v>8618203</v>
      </c>
      <c r="E3007" t="s">
        <v>2165</v>
      </c>
      <c r="G3007" t="s">
        <v>2171</v>
      </c>
      <c r="I3007">
        <v>-13.500500000000001</v>
      </c>
      <c r="J3007">
        <v>131.042</v>
      </c>
    </row>
    <row r="3008" spans="1:11" x14ac:dyDescent="0.25">
      <c r="A3008" t="str">
        <f>HYPERLINK("http://www.corstruth.com.au/NT/8685553_NTGS83_3_cs.png","8685553_NTGS83_3_A4")</f>
        <v>8685553_NTGS83_3_A4</v>
      </c>
      <c r="B3008" t="str">
        <f>HYPERLINK("http://www.corstruth.com.au/NT/PNG2/8685553_NTGS83_3_cs.png","8685553_NTGS83_3_0.25m Bins")</f>
        <v>8685553_NTGS83_3_0.25m Bins</v>
      </c>
      <c r="C3008" t="str">
        <f>HYPERLINK("http://www.corstruth.com.au/NT/CSV/8685553_NTGS83_3.csv","8685553_NTGS83_3_CSV File 1m Bins")</f>
        <v>8685553_NTGS83_3_CSV File 1m Bins</v>
      </c>
      <c r="D3008">
        <v>8685553</v>
      </c>
      <c r="E3008" t="s">
        <v>2165</v>
      </c>
      <c r="G3008" t="s">
        <v>2171</v>
      </c>
      <c r="I3008">
        <v>-13.8216</v>
      </c>
      <c r="J3008">
        <v>131.36600000000001</v>
      </c>
    </row>
    <row r="3009" spans="1:11" x14ac:dyDescent="0.25">
      <c r="A3009" t="str">
        <f>HYPERLINK("http://www.corstruth.com.au/NT/8685554_NTGS83_2_cs.png","8685554_NTGS83_2_A4")</f>
        <v>8685554_NTGS83_2_A4</v>
      </c>
      <c r="B3009" t="str">
        <f>HYPERLINK("http://www.corstruth.com.au/NT/PNG2/8685554_NTGS83_2_cs.png","8685554_NTGS83_2_0.25m Bins")</f>
        <v>8685554_NTGS83_2_0.25m Bins</v>
      </c>
      <c r="C3009" t="str">
        <f>HYPERLINK("http://www.corstruth.com.au/NT/CSV/8685554_NTGS83_2.csv","8685554_NTGS83_2_CSV File 1m Bins")</f>
        <v>8685554_NTGS83_2_CSV File 1m Bins</v>
      </c>
      <c r="D3009">
        <v>8685554</v>
      </c>
      <c r="E3009" t="s">
        <v>2165</v>
      </c>
      <c r="G3009" t="s">
        <v>2171</v>
      </c>
      <c r="I3009">
        <v>-13.9078</v>
      </c>
      <c r="J3009">
        <v>131.16200000000001</v>
      </c>
    </row>
    <row r="3010" spans="1:11" x14ac:dyDescent="0.25">
      <c r="A3010" t="str">
        <f>HYPERLINK("http://www.corstruth.com.au/NT/8708941_DDH3_cs.png","8708941_DDH3_A4")</f>
        <v>8708941_DDH3_A4</v>
      </c>
      <c r="B3010" t="str">
        <f>HYPERLINK("http://www.corstruth.com.au/NT/PNG2/8708941_DDH3_cs.png","8708941_DDH3_0.25m Bins")</f>
        <v>8708941_DDH3_0.25m Bins</v>
      </c>
      <c r="C3010" t="str">
        <f>HYPERLINK("http://www.corstruth.com.au/NT/CSV/8708941_DDH3.csv","8708941_DDH3_CSV File 1m Bins")</f>
        <v>8708941_DDH3_CSV File 1m Bins</v>
      </c>
      <c r="D3010">
        <v>8708941</v>
      </c>
      <c r="E3010" t="s">
        <v>2165</v>
      </c>
      <c r="G3010" t="s">
        <v>2171</v>
      </c>
      <c r="I3010">
        <v>-14.5319</v>
      </c>
      <c r="J3010">
        <v>132.80099999999999</v>
      </c>
    </row>
    <row r="3011" spans="1:11" x14ac:dyDescent="0.25">
      <c r="A3011" t="str">
        <f>HYPERLINK("http://www.corstruth.com.au/NT/8719093_D7_cs.png","8719093_D7_A4")</f>
        <v>8719093_D7_A4</v>
      </c>
      <c r="B3011" t="str">
        <f>HYPERLINK("http://www.corstruth.com.au/NT/PNG2/8719093_D7_cs.png","8719093_D7_0.25m Bins")</f>
        <v>8719093_D7_0.25m Bins</v>
      </c>
      <c r="C3011" t="str">
        <f>HYPERLINK("http://www.corstruth.com.au/NT/CSV/8719093_D7.csv","8719093_D7_CSV File 1m Bins")</f>
        <v>8719093_D7_CSV File 1m Bins</v>
      </c>
      <c r="D3011">
        <v>8719093</v>
      </c>
      <c r="E3011" t="s">
        <v>2165</v>
      </c>
      <c r="G3011" t="s">
        <v>2171</v>
      </c>
      <c r="I3011">
        <v>-14.1479</v>
      </c>
      <c r="J3011">
        <v>131.76400000000001</v>
      </c>
    </row>
    <row r="3012" spans="1:11" x14ac:dyDescent="0.25">
      <c r="A3012" t="str">
        <f>HYPERLINK("http://www.corstruth.com.au/NT/8719094_D8_cs.png","8719094_D8_A4")</f>
        <v>8719094_D8_A4</v>
      </c>
      <c r="B3012" t="str">
        <f>HYPERLINK("http://www.corstruth.com.au/NT/PNG2/8719094_D8_cs.png","8719094_D8_0.25m Bins")</f>
        <v>8719094_D8_0.25m Bins</v>
      </c>
      <c r="C3012" t="str">
        <f>HYPERLINK("http://www.corstruth.com.au/NT/CSV/8719094_D8.csv","8719094_D8_CSV File 1m Bins")</f>
        <v>8719094_D8_CSV File 1m Bins</v>
      </c>
      <c r="D3012">
        <v>8719094</v>
      </c>
      <c r="E3012" t="s">
        <v>2165</v>
      </c>
      <c r="G3012" t="s">
        <v>2171</v>
      </c>
      <c r="I3012">
        <v>-14.113300000000001</v>
      </c>
      <c r="J3012">
        <v>131.786</v>
      </c>
    </row>
    <row r="3013" spans="1:11" x14ac:dyDescent="0.25">
      <c r="A3013" t="str">
        <f>HYPERLINK("http://www.corstruth.com.au/NT/8719095_DDH1_cs.png","8719095_DDH1_A4")</f>
        <v>8719095_DDH1_A4</v>
      </c>
      <c r="B3013" t="str">
        <f>HYPERLINK("http://www.corstruth.com.au/NT/PNG2/8719095_DDH1_cs.png","8719095_DDH1_0.25m Bins")</f>
        <v>8719095_DDH1_0.25m Bins</v>
      </c>
      <c r="C3013" t="str">
        <f>HYPERLINK("http://www.corstruth.com.au/NT/CSV/8719095_DDH1.csv","8719095_DDH1_CSV File 1m Bins")</f>
        <v>8719095_DDH1_CSV File 1m Bins</v>
      </c>
      <c r="D3013">
        <v>8719095</v>
      </c>
      <c r="E3013" t="s">
        <v>2165</v>
      </c>
      <c r="G3013" t="s">
        <v>2171</v>
      </c>
      <c r="I3013">
        <v>-14.4993</v>
      </c>
      <c r="J3013">
        <v>131.34899999999999</v>
      </c>
    </row>
    <row r="3014" spans="1:11" x14ac:dyDescent="0.25">
      <c r="A3014" t="str">
        <f>HYPERLINK("http://www.corstruth.com.au/NT/982059_NTGS86_1_cs.png","982059_NTGS86_1_A4")</f>
        <v>982059_NTGS86_1_A4</v>
      </c>
      <c r="B3014" t="str">
        <f>HYPERLINK("http://www.corstruth.com.au/NT/PNG2/982059_NTGS86_1_cs.png","982059_NTGS86_1_0.25m Bins")</f>
        <v>982059_NTGS86_1_0.25m Bins</v>
      </c>
      <c r="C3014" t="str">
        <f>HYPERLINK("http://www.corstruth.com.au/NT/CSV/982059_NTGS86_1.csv","982059_NTGS86_1_CSV File 1m Bins")</f>
        <v>982059_NTGS86_1_CSV File 1m Bins</v>
      </c>
      <c r="D3014">
        <v>982059</v>
      </c>
      <c r="E3014" t="s">
        <v>2165</v>
      </c>
      <c r="G3014" t="s">
        <v>2171</v>
      </c>
      <c r="I3014">
        <v>-14.1625</v>
      </c>
      <c r="J3014">
        <v>131.398</v>
      </c>
    </row>
    <row r="3015" spans="1:11" x14ac:dyDescent="0.25">
      <c r="A3015" t="str">
        <f>HYPERLINK("http://www.corstruth.com.au/NT/1319618_GR11_cs.png","1319618_GR11_A4")</f>
        <v>1319618_GR11_A4</v>
      </c>
      <c r="B3015" t="str">
        <f>HYPERLINK("http://www.corstruth.com.au/NT/PNG2/1319618_GR11_cs.png","1319618_GR11_0.25m Bins")</f>
        <v>1319618_GR11_0.25m Bins</v>
      </c>
      <c r="C3015" t="str">
        <f>HYPERLINK("http://www.corstruth.com.au/NT/CSV/1319618_GR11.csv","1319618_GR11_CSV File 1m Bins")</f>
        <v>1319618_GR11_CSV File 1m Bins</v>
      </c>
      <c r="D3015">
        <v>1319618</v>
      </c>
      <c r="E3015" t="s">
        <v>2165</v>
      </c>
      <c r="G3015" t="s">
        <v>2172</v>
      </c>
      <c r="I3015">
        <v>-17.019200000000001</v>
      </c>
      <c r="J3015">
        <v>136.34100000000001</v>
      </c>
    </row>
    <row r="3016" spans="1:11" x14ac:dyDescent="0.25">
      <c r="A3016" t="str">
        <f>HYPERLINK("http://www.corstruth.com.au/NT/1852244_MD1A_cs.png","1852244_MD1A_A4")</f>
        <v>1852244_MD1A_A4</v>
      </c>
      <c r="B3016" t="str">
        <f>HYPERLINK("http://www.corstruth.com.au/NT/PNG2/1852244_MD1A_cs.png","1852244_MD1A_0.25m Bins")</f>
        <v>1852244_MD1A_0.25m Bins</v>
      </c>
      <c r="C3016" t="str">
        <f>HYPERLINK("http://www.corstruth.com.au/NT/CSV/1852244_MD1A.csv","1852244_MD1A_CSV File 1m Bins")</f>
        <v>1852244_MD1A_CSV File 1m Bins</v>
      </c>
      <c r="D3016">
        <v>1852244</v>
      </c>
      <c r="E3016" t="s">
        <v>2165</v>
      </c>
      <c r="G3016" t="s">
        <v>2172</v>
      </c>
      <c r="I3016">
        <v>-17.361599999999999</v>
      </c>
      <c r="J3016">
        <v>135.184</v>
      </c>
      <c r="K3016" t="str">
        <f>HYPERLINK("http://geology.data.nt.gov.au/NVCLDataServices/mosaic.html?datasetid=b12f7474-eb0f-4409-b5d9-677815d56f5","1852244_MD1A_Core Image")</f>
        <v>1852244_MD1A_Core Image</v>
      </c>
    </row>
    <row r="3017" spans="1:11" x14ac:dyDescent="0.25">
      <c r="A3017" t="str">
        <f>HYPERLINK("http://www.corstruth.com.au/NT/61605_GSD007_cs.png","61605_GSD007_A4")</f>
        <v>61605_GSD007_A4</v>
      </c>
      <c r="B3017" t="str">
        <f>HYPERLINK("http://www.corstruth.com.au/NT/PNG2/61605_GSD007_cs.png","61605_GSD007_0.25m Bins")</f>
        <v>61605_GSD007_0.25m Bins</v>
      </c>
      <c r="C3017" t="str">
        <f>HYPERLINK("http://www.corstruth.com.au/NT/CSV/61605_GSD007.csv","61605_GSD007_CSV File 1m Bins")</f>
        <v>61605_GSD007_CSV File 1m Bins</v>
      </c>
      <c r="D3017">
        <v>61605</v>
      </c>
      <c r="E3017" t="s">
        <v>2165</v>
      </c>
      <c r="G3017" t="s">
        <v>2172</v>
      </c>
      <c r="I3017">
        <v>-17.235600000000002</v>
      </c>
      <c r="J3017">
        <v>136.178</v>
      </c>
      <c r="K3017" t="str">
        <f>HYPERLINK("http://geology.data.nt.gov.au/NVCLDataServices/mosaic.html?datasetid=99170e8f-3786-4e85-b751-bf37148d5cc","61605_GSD007_Core Image")</f>
        <v>61605_GSD007_Core Image</v>
      </c>
    </row>
    <row r="3018" spans="1:11" x14ac:dyDescent="0.25">
      <c r="A3018" t="str">
        <f>HYPERLINK("http://www.corstruth.com.au/NT/7918379_JamisonNo1_cs.png","7918379_JamisonNo1_A4")</f>
        <v>7918379_JamisonNo1_A4</v>
      </c>
      <c r="B3018" t="str">
        <f>HYPERLINK("http://www.corstruth.com.au/NT/PNG2/7918379_JamisonNo1_cs.png","7918379_JamisonNo1_0.25m Bins")</f>
        <v>7918379_JamisonNo1_0.25m Bins</v>
      </c>
      <c r="C3018" t="str">
        <f>HYPERLINK("http://www.corstruth.com.au/NT/CSV/7918379_JamisonNo1.csv","7918379_JamisonNo1_CSV File 1m Bins")</f>
        <v>7918379_JamisonNo1_CSV File 1m Bins</v>
      </c>
      <c r="D3018">
        <v>7918379</v>
      </c>
      <c r="E3018" t="s">
        <v>2165</v>
      </c>
      <c r="G3018" t="s">
        <v>2172</v>
      </c>
      <c r="I3018">
        <v>-16.774899999999999</v>
      </c>
      <c r="J3018">
        <v>133.767</v>
      </c>
      <c r="K3018" t="str">
        <f>HYPERLINK("http://geology.data.nt.gov.au/NVCLDataServices/mosaic.html?datasetid=1ad669e9-0e37-49a4-9e07-77be5e3b79a","7918379_JamisonNo1_Core Image")</f>
        <v>7918379_JamisonNo1_Core Image</v>
      </c>
    </row>
    <row r="3019" spans="1:11" x14ac:dyDescent="0.25">
      <c r="A3019" t="str">
        <f>HYPERLINK("http://www.corstruth.com.au/NT/8440726_NDW12_01_cs.png","8440726_NDW12_01_A4")</f>
        <v>8440726_NDW12_01_A4</v>
      </c>
      <c r="B3019" t="str">
        <f>HYPERLINK("http://www.corstruth.com.au/NT/PNG2/8440726_NDW12_01_cs.png","8440726_NDW12_01_0.25m Bins")</f>
        <v>8440726_NDW12_01_0.25m Bins</v>
      </c>
      <c r="C3019" t="str">
        <f>HYPERLINK("http://www.corstruth.com.au/NT/CSV/8440726_NDW12_01.csv","8440726_NDW12_01_CSV File 1m Bins")</f>
        <v>8440726_NDW12_01_CSV File 1m Bins</v>
      </c>
      <c r="D3019">
        <v>8440726</v>
      </c>
      <c r="E3019" t="s">
        <v>2165</v>
      </c>
      <c r="G3019" t="s">
        <v>2172</v>
      </c>
      <c r="I3019">
        <v>-16.2302</v>
      </c>
      <c r="J3019">
        <v>133.381</v>
      </c>
      <c r="K3019" t="str">
        <f>HYPERLINK("http://geology.data.nt.gov.au/NVCLDataServices/mosaic.html?datasetid=91ae2971-d30c-4ab0-aed3-96e096ffa59","8440726_NDW12_01_Core Image")</f>
        <v>8440726_NDW12_01_Core Image</v>
      </c>
    </row>
    <row r="3020" spans="1:11" x14ac:dyDescent="0.25">
      <c r="A3020" t="str">
        <f>HYPERLINK("http://www.corstruth.com.au/NT/8440814_12BC001_cs.png","8440814_12BC001_A4")</f>
        <v>8440814_12BC001_A4</v>
      </c>
      <c r="B3020" t="str">
        <f>HYPERLINK("http://www.corstruth.com.au/NT/PNG2/8440814_12BC001_cs.png","8440814_12BC001_0.25m Bins")</f>
        <v>8440814_12BC001_0.25m Bins</v>
      </c>
      <c r="C3020" t="str">
        <f>HYPERLINK("http://www.corstruth.com.au/NT/CSV/8440814_12BC001.csv","8440814_12BC001_CSV File 1m Bins")</f>
        <v>8440814_12BC001_CSV File 1m Bins</v>
      </c>
      <c r="D3020">
        <v>8440814</v>
      </c>
      <c r="E3020" t="s">
        <v>2165</v>
      </c>
      <c r="G3020" t="s">
        <v>2172</v>
      </c>
      <c r="I3020">
        <v>-17.834399999999999</v>
      </c>
      <c r="J3020">
        <v>134.297</v>
      </c>
      <c r="K3020" t="str">
        <f>HYPERLINK("http://geology.data.nt.gov.au/NVCLDataServices/mosaic.html?datasetid=282d97e8-da6b-4d26-81b0-a3d808a6ad8","8440814_12BC001_Core Image")</f>
        <v>8440814_12BC001_Core Image</v>
      </c>
    </row>
    <row r="3021" spans="1:11" x14ac:dyDescent="0.25">
      <c r="A3021" t="str">
        <f>HYPERLINK("http://www.corstruth.com.au/NT/8440819_12LE001_cs.png","8440819_12LE001_A4")</f>
        <v>8440819_12LE001_A4</v>
      </c>
      <c r="B3021" t="str">
        <f>HYPERLINK("http://www.corstruth.com.au/NT/PNG2/8440819_12LE001_cs.png","8440819_12LE001_0.25m Bins")</f>
        <v>8440819_12LE001_0.25m Bins</v>
      </c>
      <c r="C3021" t="str">
        <f>HYPERLINK("http://www.corstruth.com.au/NT/CSV/8440819_12LE001.csv","8440819_12LE001_CSV File 1m Bins")</f>
        <v>8440819_12LE001_CSV File 1m Bins</v>
      </c>
      <c r="D3021">
        <v>8440819</v>
      </c>
      <c r="E3021" t="s">
        <v>2165</v>
      </c>
      <c r="G3021" t="s">
        <v>2172</v>
      </c>
      <c r="I3021">
        <v>-15.4519</v>
      </c>
      <c r="J3021">
        <v>133.459</v>
      </c>
      <c r="K3021" t="str">
        <f>HYPERLINK("http://geology.data.nt.gov.au/NVCLDataServices/mosaic.html?datasetid=b3307726-7861-42b4-a94a-405541705aa","8440819_12LE001_Core Image")</f>
        <v>8440819_12LE001_Core Image</v>
      </c>
    </row>
    <row r="3022" spans="1:11" x14ac:dyDescent="0.25">
      <c r="A3022" t="str">
        <f>HYPERLINK("http://www.corstruth.com.au/NT/8440823_12LE002_cs.png","8440823_12LE002_A4")</f>
        <v>8440823_12LE002_A4</v>
      </c>
      <c r="B3022" t="str">
        <f>HYPERLINK("http://www.corstruth.com.au/NT/PNG2/8440823_12LE002_cs.png","8440823_12LE002_0.25m Bins")</f>
        <v>8440823_12LE002_0.25m Bins</v>
      </c>
      <c r="C3022" t="str">
        <f>HYPERLINK("http://www.corstruth.com.au/NT/CSV/8440823_12LE002.csv","8440823_12LE002_CSV File 1m Bins")</f>
        <v>8440823_12LE002_CSV File 1m Bins</v>
      </c>
      <c r="D3022">
        <v>8440823</v>
      </c>
      <c r="E3022" t="s">
        <v>2165</v>
      </c>
      <c r="G3022" t="s">
        <v>2172</v>
      </c>
      <c r="I3022">
        <v>-15.531599999999999</v>
      </c>
      <c r="J3022">
        <v>133.49</v>
      </c>
      <c r="K3022" t="str">
        <f>HYPERLINK("http://geology.data.nt.gov.au/NVCLDataServices/mosaic.html?datasetid=25b5abb8-b2a8-4384-a91c-234481e48b8","8440823_12LE002_Core Image")</f>
        <v>8440823_12LE002_Core Image</v>
      </c>
    </row>
    <row r="3023" spans="1:11" x14ac:dyDescent="0.25">
      <c r="A3023" t="str">
        <f>HYPERLINK("http://www.corstruth.com.au/NT/883155_Boom1_cs.png","883155_Boom1_A4")</f>
        <v>883155_Boom1_A4</v>
      </c>
      <c r="B3023" t="str">
        <f>HYPERLINK("http://www.corstruth.com.au/NT/PNG2/883155_Boom1_cs.png","883155_Boom1_0.25m Bins")</f>
        <v>883155_Boom1_0.25m Bins</v>
      </c>
      <c r="C3023" t="str">
        <f>HYPERLINK("http://www.corstruth.com.au/NT/CSV/883155_Boom1.csv","883155_Boom1_CSV File 1m Bins")</f>
        <v>883155_Boom1_CSV File 1m Bins</v>
      </c>
      <c r="D3023">
        <v>883155</v>
      </c>
      <c r="E3023" t="s">
        <v>2165</v>
      </c>
      <c r="G3023" t="s">
        <v>2172</v>
      </c>
      <c r="I3023">
        <v>-17.011299999999999</v>
      </c>
      <c r="J3023">
        <v>136.4</v>
      </c>
      <c r="K3023" t="str">
        <f>HYPERLINK("http://geology.data.nt.gov.au/NVCLDataServices/mosaic.html?datasetid=e84fa70d-6e47-42de-ad8b-bdb96d1e6be","883155_Boom1_Core Image")</f>
        <v>883155_Boom1_Core Image</v>
      </c>
    </row>
    <row r="3024" spans="1:11" x14ac:dyDescent="0.25">
      <c r="A3024" t="str">
        <f>HYPERLINK("http://www.corstruth.com.au/NT/115904_ALF006_01_cs.png","115904_ALF006_01_A4")</f>
        <v>115904_ALF006_01_A4</v>
      </c>
      <c r="B3024" t="str">
        <f>HYPERLINK("http://www.corstruth.com.au/NT/PNG2/115904_ALF006_01_cs.png","115904_ALF006_01_0.25m Bins")</f>
        <v>115904_ALF006_01_0.25m Bins</v>
      </c>
      <c r="C3024" t="str">
        <f>HYPERLINK("http://www.corstruth.com.au/NT/CSV/115904_ALF006_01.csv","115904_ALF006_01_CSV File 1m Bins")</f>
        <v>115904_ALF006_01_CSV File 1m Bins</v>
      </c>
      <c r="D3024">
        <v>115904</v>
      </c>
      <c r="E3024" t="s">
        <v>2165</v>
      </c>
      <c r="G3024" t="s">
        <v>2173</v>
      </c>
      <c r="I3024">
        <v>-21.305</v>
      </c>
      <c r="J3024">
        <v>137.822</v>
      </c>
    </row>
    <row r="3025" spans="1:11" x14ac:dyDescent="0.25">
      <c r="A3025" t="str">
        <f>HYPERLINK("http://www.corstruth.com.au/NT/1889977_CMS2_cs.png","1889977_CMS2_A4")</f>
        <v>1889977_CMS2_A4</v>
      </c>
      <c r="B3025" t="str">
        <f>HYPERLINK("http://www.corstruth.com.au/NT/PNG2/1889977_CMS2_cs.png","1889977_CMS2_0.25m Bins")</f>
        <v>1889977_CMS2_0.25m Bins</v>
      </c>
      <c r="C3025" t="str">
        <f>HYPERLINK("http://www.corstruth.com.au/NT/CSV/1889977_CMS2.csv","1889977_CMS2_CSV File 1m Bins")</f>
        <v>1889977_CMS2_CSV File 1m Bins</v>
      </c>
      <c r="D3025">
        <v>1889977</v>
      </c>
      <c r="E3025" t="s">
        <v>2165</v>
      </c>
      <c r="G3025" t="s">
        <v>2173</v>
      </c>
      <c r="I3025">
        <v>-22.248999999999999</v>
      </c>
      <c r="J3025">
        <v>134.38499999999999</v>
      </c>
    </row>
    <row r="3026" spans="1:11" x14ac:dyDescent="0.25">
      <c r="A3026" t="str">
        <f>HYPERLINK("http://www.corstruth.com.au/NT/1908658_DD94MG01_cs.png","1908658_DD94MG01_A4")</f>
        <v>1908658_DD94MG01_A4</v>
      </c>
      <c r="B3026" t="str">
        <f>HYPERLINK("http://www.corstruth.com.au/NT/PNG2/1908658_DD94MG01_cs.png","1908658_DD94MG01_0.25m Bins")</f>
        <v>1908658_DD94MG01_0.25m Bins</v>
      </c>
      <c r="C3026" t="str">
        <f>HYPERLINK("http://www.corstruth.com.au/NT/CSV/1908658_DD94MG01.csv","1908658_DD94MG01_CSV File 1m Bins")</f>
        <v>1908658_DD94MG01_CSV File 1m Bins</v>
      </c>
      <c r="D3026">
        <v>1908658</v>
      </c>
      <c r="E3026" t="s">
        <v>2165</v>
      </c>
      <c r="G3026" t="s">
        <v>2173</v>
      </c>
      <c r="I3026">
        <v>-21.943100000000001</v>
      </c>
      <c r="J3026">
        <v>134.00200000000001</v>
      </c>
    </row>
    <row r="3027" spans="1:11" x14ac:dyDescent="0.25">
      <c r="A3027" t="str">
        <f>HYPERLINK("http://www.corstruth.com.au/NT/2202833_NTGS02_1_cs.png","2202833_NTGS02_1_A4")</f>
        <v>2202833_NTGS02_1_A4</v>
      </c>
      <c r="B3027" t="str">
        <f>HYPERLINK("http://www.corstruth.com.au/NT/PNG2/2202833_NTGS02_1_cs.png","2202833_NTGS02_1_0.25m Bins")</f>
        <v>2202833_NTGS02_1_0.25m Bins</v>
      </c>
      <c r="C3027" t="str">
        <f>HYPERLINK("http://www.corstruth.com.au/NT/CSV/2202833_NTGS02_1.csv","2202833_NTGS02_1_CSV File 1m Bins")</f>
        <v>2202833_NTGS02_1_CSV File 1m Bins</v>
      </c>
      <c r="D3027">
        <v>2202833</v>
      </c>
      <c r="E3027" t="s">
        <v>2165</v>
      </c>
      <c r="G3027" t="s">
        <v>2173</v>
      </c>
      <c r="I3027">
        <v>-18.787199999999999</v>
      </c>
      <c r="J3027">
        <v>135.755</v>
      </c>
      <c r="K3027" t="str">
        <f>HYPERLINK("http://geology.data.nt.gov.au/NVCLDataServices/mosaic.html?datasetid=713a3ca3-67f3-4935-95dd-18256c18acd","2202833_NTGS02_1_Core Image")</f>
        <v>2202833_NTGS02_1_Core Image</v>
      </c>
    </row>
    <row r="3028" spans="1:11" x14ac:dyDescent="0.25">
      <c r="A3028" t="str">
        <f>HYPERLINK("http://www.corstruth.com.au/NT/2232704_NTGS00_1_cs.png","2232704_NTGS00_1_A4")</f>
        <v>2232704_NTGS00_1_A4</v>
      </c>
      <c r="B3028" t="str">
        <f>HYPERLINK("http://www.corstruth.com.au/NT/PNG2/2232704_NTGS00_1_cs.png","2232704_NTGS00_1_0.25m Bins")</f>
        <v>2232704_NTGS00_1_0.25m Bins</v>
      </c>
      <c r="C3028" t="str">
        <f>HYPERLINK("http://www.corstruth.com.au/NT/CSV/2232704_NTGS00_1.csv","2232704_NTGS00_1_CSV File 1m Bins")</f>
        <v>2232704_NTGS00_1_CSV File 1m Bins</v>
      </c>
      <c r="D3028">
        <v>2232704</v>
      </c>
      <c r="E3028" t="s">
        <v>2165</v>
      </c>
      <c r="G3028" t="s">
        <v>2173</v>
      </c>
      <c r="I3028">
        <v>-19.860199999999999</v>
      </c>
      <c r="J3028">
        <v>136.827</v>
      </c>
      <c r="K3028" t="str">
        <f>HYPERLINK("http://geology.data.nt.gov.au/NVCLDataServices/mosaic.html?datasetid=36650eef-d9a3-487c-a5cd-bcd4d78b8f5","2232704_NTGS00_1_Core Image")</f>
        <v>2232704_NTGS00_1_Core Image</v>
      </c>
    </row>
    <row r="3029" spans="1:11" x14ac:dyDescent="0.25">
      <c r="A3029" t="str">
        <f>HYPERLINK("http://www.corstruth.com.au/NT/2232798_NTGS01_1_cs.png","2232798_NTGS01_1_A4")</f>
        <v>2232798_NTGS01_1_A4</v>
      </c>
      <c r="B3029" t="str">
        <f>HYPERLINK("http://www.corstruth.com.au/NT/PNG2/2232798_NTGS01_1_cs.png","2232798_NTGS01_1_0.25m Bins")</f>
        <v>2232798_NTGS01_1_0.25m Bins</v>
      </c>
      <c r="C3029" t="str">
        <f>HYPERLINK("http://www.corstruth.com.au/NT/CSV/2232798_NTGS01_1.csv","2232798_NTGS01_1_CSV File 1m Bins")</f>
        <v>2232798_NTGS01_1_CSV File 1m Bins</v>
      </c>
      <c r="D3029">
        <v>2232798</v>
      </c>
      <c r="E3029" t="s">
        <v>2165</v>
      </c>
      <c r="G3029" t="s">
        <v>2173</v>
      </c>
      <c r="I3029">
        <v>-19.857800000000001</v>
      </c>
      <c r="J3029">
        <v>137.619</v>
      </c>
      <c r="K3029" t="str">
        <f>HYPERLINK("http://geology.data.nt.gov.au/NVCLDataServices/mosaic.html?datasetid=72800a5c-26a4-4587-8593-3bcb238c29c","2232798_NTGS01_1_Core Image")</f>
        <v>2232798_NTGS01_1_Core Image</v>
      </c>
    </row>
    <row r="3030" spans="1:11" x14ac:dyDescent="0.25">
      <c r="A3030" t="str">
        <f>HYPERLINK("http://www.corstruth.com.au/NT/2232986_AY06DD01_cs.png","2232986_AY06DD01_A4")</f>
        <v>2232986_AY06DD01_A4</v>
      </c>
      <c r="B3030" t="str">
        <f>HYPERLINK("http://www.corstruth.com.au/NT/PNG2/2232986_AY06DD01_cs.png","2232986_AY06DD01_0.25m Bins")</f>
        <v>2232986_AY06DD01_0.25m Bins</v>
      </c>
      <c r="C3030" t="str">
        <f>HYPERLINK("http://www.corstruth.com.au/NT/CSV/2232986_AY06DD01.csv","2232986_AY06DD01_CSV File 1m Bins")</f>
        <v>2232986_AY06DD01_CSV File 1m Bins</v>
      </c>
      <c r="D3030">
        <v>2232986</v>
      </c>
      <c r="E3030" t="s">
        <v>2165</v>
      </c>
      <c r="G3030" t="s">
        <v>2173</v>
      </c>
      <c r="I3030">
        <v>-19.835799999999999</v>
      </c>
      <c r="J3030">
        <v>136.30199999999999</v>
      </c>
      <c r="K3030" t="str">
        <f>HYPERLINK("http://geology.data.nt.gov.au/NVCLDataServices/mosaic.html?datasetid=a1cb6351-816b-4522-8a37-9d8bc52fe76","2232986_AY06DD01_Core Image")</f>
        <v>2232986_AY06DD01_Core Image</v>
      </c>
    </row>
    <row r="3031" spans="1:11" x14ac:dyDescent="0.25">
      <c r="A3031" t="str">
        <f>HYPERLINK("http://www.corstruth.com.au/NT/2790003_ELK3_cs.png","2790003_ELK3_A4")</f>
        <v>2790003_ELK3_A4</v>
      </c>
      <c r="B3031" t="str">
        <f>HYPERLINK("http://www.corstruth.com.au/NT/PNG2/2790003_ELK3_cs.png","2790003_ELK3_0.25m Bins")</f>
        <v>2790003_ELK3_0.25m Bins</v>
      </c>
      <c r="C3031" t="str">
        <f>HYPERLINK("http://www.corstruth.com.au/NT/CSV/2790003_ELK3.csv","2790003_ELK3_CSV File 1m Bins")</f>
        <v>2790003_ELK3_CSV File 1m Bins</v>
      </c>
      <c r="D3031">
        <v>2790003</v>
      </c>
      <c r="E3031" t="s">
        <v>2165</v>
      </c>
      <c r="G3031" t="s">
        <v>2173</v>
      </c>
      <c r="I3031">
        <v>-21.744399999999999</v>
      </c>
      <c r="J3031">
        <v>135.708</v>
      </c>
      <c r="K3031" t="str">
        <f>HYPERLINK("http://geology.data.nt.gov.au/NVCLDataServices/mosaic.html?datasetid=f2317da9-7835-45b4-a0c2-1c3b0f527c5","2790003_ELK3_Core Image")</f>
        <v>2790003_ELK3_Core Image</v>
      </c>
    </row>
    <row r="3032" spans="1:11" x14ac:dyDescent="0.25">
      <c r="A3032" t="str">
        <f>HYPERLINK("http://www.corstruth.com.au/NT/2790496_ELK6_cs.png","2790496_ELK6_A4")</f>
        <v>2790496_ELK6_A4</v>
      </c>
      <c r="B3032" t="str">
        <f>HYPERLINK("http://www.corstruth.com.au/NT/PNG2/2790496_ELK6_cs.png","2790496_ELK6_0.25m Bins")</f>
        <v>2790496_ELK6_0.25m Bins</v>
      </c>
      <c r="C3032" t="str">
        <f>HYPERLINK("http://www.corstruth.com.au/NT/CSV/2790496_ELK6.csv","2790496_ELK6_CSV File 1m Bins")</f>
        <v>2790496_ELK6_CSV File 1m Bins</v>
      </c>
      <c r="D3032">
        <v>2790496</v>
      </c>
      <c r="E3032" t="s">
        <v>2165</v>
      </c>
      <c r="G3032" t="s">
        <v>2173</v>
      </c>
      <c r="I3032">
        <v>-21.9361</v>
      </c>
      <c r="J3032">
        <v>135.05099999999999</v>
      </c>
    </row>
    <row r="3033" spans="1:11" x14ac:dyDescent="0.25">
      <c r="A3033" t="str">
        <f>HYPERLINK("http://www.corstruth.com.au/NT/2791699_ELK7_cs.png","2791699_ELK7_A4")</f>
        <v>2791699_ELK7_A4</v>
      </c>
      <c r="B3033" t="str">
        <f>HYPERLINK("http://www.corstruth.com.au/NT/PNG2/2791699_ELK7_cs.png","2791699_ELK7_0.25m Bins")</f>
        <v>2791699_ELK7_0.25m Bins</v>
      </c>
      <c r="C3033" t="str">
        <f>HYPERLINK("http://www.corstruth.com.au/NT/CSV/2791699_ELK7.csv","2791699_ELK7_CSV File 1m Bins")</f>
        <v>2791699_ELK7_CSV File 1m Bins</v>
      </c>
      <c r="D3033">
        <v>2791699</v>
      </c>
      <c r="E3033" t="s">
        <v>2165</v>
      </c>
      <c r="G3033" t="s">
        <v>2173</v>
      </c>
      <c r="I3033">
        <v>-21.6541</v>
      </c>
      <c r="J3033">
        <v>135.15700000000001</v>
      </c>
    </row>
    <row r="3034" spans="1:11" x14ac:dyDescent="0.25">
      <c r="A3034" t="str">
        <f>HYPERLINK("http://www.corstruth.com.au/NT/2791815_ELK7A_cs.png","2791815_ELK7A_A4")</f>
        <v>2791815_ELK7A_A4</v>
      </c>
      <c r="B3034" t="str">
        <f>HYPERLINK("http://www.corstruth.com.au/NT/PNG2/2791815_ELK7A_cs.png","2791815_ELK7A_0.25m Bins")</f>
        <v>2791815_ELK7A_0.25m Bins</v>
      </c>
      <c r="C3034" t="str">
        <f>HYPERLINK("http://www.corstruth.com.au/NT/CSV/2791815_ELK7A.csv","2791815_ELK7A_CSV File 1m Bins")</f>
        <v>2791815_ELK7A_CSV File 1m Bins</v>
      </c>
      <c r="D3034">
        <v>2791815</v>
      </c>
      <c r="E3034" t="s">
        <v>2165</v>
      </c>
      <c r="G3034" t="s">
        <v>2173</v>
      </c>
      <c r="I3034">
        <v>-21.6541</v>
      </c>
      <c r="J3034">
        <v>135.15700000000001</v>
      </c>
    </row>
    <row r="3035" spans="1:11" x14ac:dyDescent="0.25">
      <c r="A3035" t="str">
        <f>HYPERLINK("http://www.corstruth.com.au/NT/2902324_DD88SC1_cs.png","2902324_DD88SC1_A4")</f>
        <v>2902324_DD88SC1_A4</v>
      </c>
      <c r="B3035" t="str">
        <f>HYPERLINK("http://www.corstruth.com.au/NT/PNG2/2902324_DD88SC1_cs.png","2902324_DD88SC1_0.25m Bins")</f>
        <v>2902324_DD88SC1_0.25m Bins</v>
      </c>
      <c r="C3035" t="str">
        <f>HYPERLINK("http://www.corstruth.com.au/NT/CSV/2902324_DD88SC1.csv","2902324_DD88SC1_CSV File 1m Bins")</f>
        <v>2902324_DD88SC1_CSV File 1m Bins</v>
      </c>
      <c r="D3035">
        <v>2902324</v>
      </c>
      <c r="E3035" t="s">
        <v>2165</v>
      </c>
      <c r="G3035" t="s">
        <v>2173</v>
      </c>
      <c r="I3035">
        <v>-20.9239</v>
      </c>
      <c r="J3035">
        <v>136.84899999999999</v>
      </c>
      <c r="K3035" t="str">
        <f>HYPERLINK("http://geology.data.nt.gov.au/NVCLDataServices/mosaic.html?datasetid=221a6d3d-f72d-45c0-88c6-22bb2dea977","2902324_DD88SC1_Core Image")</f>
        <v>2902324_DD88SC1_Core Image</v>
      </c>
    </row>
    <row r="3036" spans="1:11" x14ac:dyDescent="0.25">
      <c r="A3036" t="str">
        <f>HYPERLINK("http://www.corstruth.com.au/NT/7963387_QDD001_cs.png","7963387_QDD001_A4")</f>
        <v>7963387_QDD001_A4</v>
      </c>
      <c r="D3036">
        <v>7963387</v>
      </c>
      <c r="E3036" t="s">
        <v>2165</v>
      </c>
      <c r="G3036" t="s">
        <v>2173</v>
      </c>
      <c r="I3036">
        <v>-22.875299999999999</v>
      </c>
      <c r="J3036">
        <v>137.40899999999999</v>
      </c>
    </row>
    <row r="3037" spans="1:11" x14ac:dyDescent="0.25">
      <c r="A3037" t="str">
        <f>HYPERLINK("http://www.corstruth.com.au/NT/827781_BHD9_cs.png","827781_BHD9_A4")</f>
        <v>827781_BHD9_A4</v>
      </c>
      <c r="B3037" t="str">
        <f>HYPERLINK("http://www.corstruth.com.au/NT/PNG2/827781_BHD9_cs.png","827781_BHD9_0.25m Bins")</f>
        <v>827781_BHD9_0.25m Bins</v>
      </c>
      <c r="C3037" t="str">
        <f>HYPERLINK("http://www.corstruth.com.au/NT/CSV/827781_BHD9.csv","827781_BHD9_CSV File 1m Bins")</f>
        <v>827781_BHD9_CSV File 1m Bins</v>
      </c>
      <c r="D3037">
        <v>827781</v>
      </c>
      <c r="E3037" t="s">
        <v>2165</v>
      </c>
      <c r="G3037" t="s">
        <v>2173</v>
      </c>
      <c r="I3037">
        <v>-22.885000000000002</v>
      </c>
      <c r="J3037">
        <v>137.62100000000001</v>
      </c>
      <c r="K3037" t="str">
        <f>HYPERLINK("http://geology.data.nt.gov.au/NVCLDataServices/mosaic.html?datasetid=89b0626f-acc5-4f9f-9791-63b7e582df7","827781_BHD9_Core Image")</f>
        <v>827781_BHD9_Core Image</v>
      </c>
    </row>
    <row r="3038" spans="1:11" x14ac:dyDescent="0.25">
      <c r="A3038" t="str">
        <f>HYPERLINK("http://www.corstruth.com.au/NT/8440714_GBD001_cs.png","8440714_GBD001_A4")</f>
        <v>8440714_GBD001_A4</v>
      </c>
      <c r="B3038" t="str">
        <f>HYPERLINK("http://www.corstruth.com.au/NT/PNG2/8440714_GBD001_cs.png","8440714_GBD001_0.25m Bins")</f>
        <v>8440714_GBD001_0.25m Bins</v>
      </c>
      <c r="C3038" t="str">
        <f>HYPERLINK("http://www.corstruth.com.au/NT/CSV/8440714_GBD001.csv","8440714_GBD001_CSV File 1m Bins")</f>
        <v>8440714_GBD001_CSV File 1m Bins</v>
      </c>
      <c r="D3038">
        <v>8440714</v>
      </c>
      <c r="E3038" t="s">
        <v>2165</v>
      </c>
      <c r="G3038" t="s">
        <v>2173</v>
      </c>
      <c r="I3038">
        <v>-22.2605</v>
      </c>
      <c r="J3038">
        <v>135.994</v>
      </c>
      <c r="K3038" t="str">
        <f>HYPERLINK("http://geology.data.nt.gov.au/NVCLDataServices/mosaic.html?datasetid=cb0c61e9-effb-4e21-ad93-5110679b0e4","8440714_GBD001_Core Image")</f>
        <v>8440714_GBD001_Core Image</v>
      </c>
    </row>
    <row r="3039" spans="1:11" x14ac:dyDescent="0.25">
      <c r="A3039" t="str">
        <f>HYPERLINK("http://www.corstruth.com.au/NT/8440718_GBD003_cs.png","8440718_GBD003_A4")</f>
        <v>8440718_GBD003_A4</v>
      </c>
      <c r="B3039" t="str">
        <f>HYPERLINK("http://www.corstruth.com.au/NT/PNG2/8440718_GBD003_cs.png","8440718_GBD003_0.25m Bins")</f>
        <v>8440718_GBD003_0.25m Bins</v>
      </c>
      <c r="C3039" t="str">
        <f>HYPERLINK("http://www.corstruth.com.au/NT/CSV/8440718_GBD003.csv","8440718_GBD003_CSV File 1m Bins")</f>
        <v>8440718_GBD003_CSV File 1m Bins</v>
      </c>
      <c r="D3039">
        <v>8440718</v>
      </c>
      <c r="E3039" t="s">
        <v>2165</v>
      </c>
      <c r="G3039" t="s">
        <v>2173</v>
      </c>
      <c r="I3039">
        <v>-22.450800000000001</v>
      </c>
      <c r="J3039">
        <v>135.81899999999999</v>
      </c>
      <c r="K3039" t="str">
        <f>HYPERLINK("http://geology.data.nt.gov.au/NVCLDataServices/mosaic.html?datasetid=e957757e-2bae-426e-b4c5-5acd0d979f1","8440718_GBD003_Core Image")</f>
        <v>8440718_GBD003_Core Image</v>
      </c>
    </row>
    <row r="3040" spans="1:11" x14ac:dyDescent="0.25">
      <c r="A3040" t="str">
        <f>HYPERLINK("http://www.corstruth.com.au/NT/8440796_CKAD001_cs.png","8440796_CKAD001_A4")</f>
        <v>8440796_CKAD001_A4</v>
      </c>
      <c r="B3040" t="str">
        <f>HYPERLINK("http://www.corstruth.com.au/NT/PNG2/8440796_CKAD001_cs.png","8440796_CKAD001_0.25m Bins")</f>
        <v>8440796_CKAD001_0.25m Bins</v>
      </c>
      <c r="C3040" t="str">
        <f>HYPERLINK("http://www.corstruth.com.au/NT/CSV/8440796_CKAD001.csv","8440796_CKAD001_CSV File 1m Bins")</f>
        <v>8440796_CKAD001_CSV File 1m Bins</v>
      </c>
      <c r="D3040">
        <v>8440796</v>
      </c>
      <c r="E3040" t="s">
        <v>2165</v>
      </c>
      <c r="G3040" t="s">
        <v>2173</v>
      </c>
      <c r="I3040">
        <v>-21.7577</v>
      </c>
      <c r="J3040">
        <v>136.03299999999999</v>
      </c>
      <c r="K3040" t="str">
        <f>HYPERLINK("http://geology.data.nt.gov.au/NVCLDataServices/mosaic.html?datasetid=220dc417-8825-4910-a760-106ea3b162a","8440796_CKAD001_Core Image")</f>
        <v>8440796_CKAD001_Core Image</v>
      </c>
    </row>
    <row r="3041" spans="1:11" x14ac:dyDescent="0.25">
      <c r="A3041" t="str">
        <f>HYPERLINK("http://www.corstruth.com.au/NT/8440883_Baldwin1_cs.png","8440883_Baldwin1_A4")</f>
        <v>8440883_Baldwin1_A4</v>
      </c>
      <c r="B3041" t="str">
        <f>HYPERLINK("http://www.corstruth.com.au/NT/PNG2/8440883_Baldwin1_cs.png","8440883_Baldwin1_0.25m Bins")</f>
        <v>8440883_Baldwin1_0.25m Bins</v>
      </c>
      <c r="C3041" t="str">
        <f>HYPERLINK("http://www.corstruth.com.au/NT/CSV/8440883_Baldwin1.csv","8440883_Baldwin1_CSV File 1m Bins")</f>
        <v>8440883_Baldwin1_CSV File 1m Bins</v>
      </c>
      <c r="D3041">
        <v>8440883</v>
      </c>
      <c r="E3041" t="s">
        <v>2165</v>
      </c>
      <c r="G3041" t="s">
        <v>2173</v>
      </c>
      <c r="I3041">
        <v>-22.261600000000001</v>
      </c>
      <c r="J3041">
        <v>136.05099999999999</v>
      </c>
      <c r="K3041" t="str">
        <f>HYPERLINK("http://geology.data.nt.gov.au/NVCLDataServices/mosaic.html?datasetid=9404c941-6063-4f03-8d6c-4b6f4f84797","8440883_Baldwin1_Core Image")</f>
        <v>8440883_Baldwin1_Core Image</v>
      </c>
    </row>
    <row r="3042" spans="1:11" x14ac:dyDescent="0.25">
      <c r="A3042" t="str">
        <f>HYPERLINK("http://www.corstruth.com.au/NT/8440890_Hunt1_cs.png","8440890_Hunt1_A4")</f>
        <v>8440890_Hunt1_A4</v>
      </c>
      <c r="B3042" t="str">
        <f>HYPERLINK("http://www.corstruth.com.au/NT/PNG2/8440890_Hunt1_cs.png","8440890_Hunt1_0.25m Bins")</f>
        <v>8440890_Hunt1_0.25m Bins</v>
      </c>
      <c r="C3042" t="str">
        <f>HYPERLINK("http://www.corstruth.com.au/NT/CSV/8440890_Hunt1.csv","8440890_Hunt1_CSV File 1m Bins")</f>
        <v>8440890_Hunt1_CSV File 1m Bins</v>
      </c>
      <c r="D3042">
        <v>8440890</v>
      </c>
      <c r="E3042" t="s">
        <v>2165</v>
      </c>
      <c r="G3042" t="s">
        <v>2173</v>
      </c>
      <c r="I3042">
        <v>-22.160900000000002</v>
      </c>
      <c r="J3042">
        <v>135.941</v>
      </c>
      <c r="K3042" t="str">
        <f>HYPERLINK("http://geology.data.nt.gov.au/NVCLDataServices/mosaic.html?datasetid=b7810c83-2f6f-4bbc-af5f-1213b3b5ce8","8440890_Hunt1_Core Image")</f>
        <v>8440890_Hunt1_Core Image</v>
      </c>
    </row>
    <row r="3043" spans="1:11" x14ac:dyDescent="0.25">
      <c r="A3043" t="str">
        <f>HYPERLINK("http://www.corstruth.com.au/NT/8440896_MacIntyre1_cs.png","8440896_MacIntyre1_A4")</f>
        <v>8440896_MacIntyre1_A4</v>
      </c>
      <c r="B3043" t="str">
        <f>HYPERLINK("http://www.corstruth.com.au/NT/PNG2/8440896_MacIntyre1_cs.png","8440896_MacIntyre1_0.25m Bins")</f>
        <v>8440896_MacIntyre1_0.25m Bins</v>
      </c>
      <c r="C3043" t="str">
        <f>HYPERLINK("http://www.corstruth.com.au/NT/CSV/8440896_MacIntyre1.csv","8440896_MacIntyre1_CSV File 1m Bins")</f>
        <v>8440896_MacIntyre1_CSV File 1m Bins</v>
      </c>
      <c r="D3043">
        <v>8440896</v>
      </c>
      <c r="E3043" t="s">
        <v>2165</v>
      </c>
      <c r="G3043" t="s">
        <v>2173</v>
      </c>
      <c r="I3043">
        <v>-22.037700000000001</v>
      </c>
      <c r="J3043">
        <v>135.54300000000001</v>
      </c>
      <c r="K3043" t="str">
        <f>HYPERLINK("http://geology.data.nt.gov.au/NVCLDataServices/mosaic.html?datasetid=bc39854b-fdef-4ab9-a79b-9eda0820c1c","8440896_MacIntyre1_Core Image")</f>
        <v>8440896_MacIntyre1_Core Image</v>
      </c>
    </row>
    <row r="3044" spans="1:11" x14ac:dyDescent="0.25">
      <c r="A3044" t="str">
        <f>HYPERLINK("http://www.corstruth.com.au/NT/8440904_Hacking1_cs.png","8440904_Hacking1_A4")</f>
        <v>8440904_Hacking1_A4</v>
      </c>
      <c r="B3044" t="str">
        <f>HYPERLINK("http://www.corstruth.com.au/NT/PNG2/8440904_Hacking1_cs.png","8440904_Hacking1_0.25m Bins")</f>
        <v>8440904_Hacking1_0.25m Bins</v>
      </c>
      <c r="C3044" t="str">
        <f>HYPERLINK("http://www.corstruth.com.au/NT/CSV/8440904_Hacking1.csv","8440904_Hacking1_CSV File 1m Bins")</f>
        <v>8440904_Hacking1_CSV File 1m Bins</v>
      </c>
      <c r="D3044">
        <v>8440904</v>
      </c>
      <c r="E3044" t="s">
        <v>2165</v>
      </c>
      <c r="G3044" t="s">
        <v>2173</v>
      </c>
      <c r="I3044">
        <v>-22.8246</v>
      </c>
      <c r="J3044">
        <v>137.001</v>
      </c>
      <c r="K3044" t="str">
        <f>HYPERLINK("http://geology.data.nt.gov.au/NVCLDataServices/mosaic.html?datasetid=630a25cb-fd14-43bd-9f51-d14831db143","8440904_Hacking1_Core Image")</f>
        <v>8440904_Hacking1_Core Image</v>
      </c>
    </row>
    <row r="3045" spans="1:11" x14ac:dyDescent="0.25">
      <c r="A3045" t="str">
        <f>HYPERLINK("http://www.corstruth.com.au/NT/8440925_NTGS99_1_cs.png","8440925_NTGS99_1_A4")</f>
        <v>8440925_NTGS99_1_A4</v>
      </c>
      <c r="B3045" t="str">
        <f>HYPERLINK("http://www.corstruth.com.au/NT/PNG2/8440925_NTGS99_1_cs.png","8440925_NTGS99_1_0.25m Bins")</f>
        <v>8440925_NTGS99_1_0.25m Bins</v>
      </c>
      <c r="C3045" t="str">
        <f>HYPERLINK("http://www.corstruth.com.au/NT/CSV/8440925_NTGS99_1.csv","8440925_NTGS99_1_CSV File 1m Bins")</f>
        <v>8440925_NTGS99_1_CSV File 1m Bins</v>
      </c>
      <c r="D3045">
        <v>8440925</v>
      </c>
      <c r="E3045" t="s">
        <v>2165</v>
      </c>
      <c r="G3045" t="s">
        <v>2173</v>
      </c>
      <c r="I3045">
        <v>-22.820399999999999</v>
      </c>
      <c r="J3045">
        <v>137.40600000000001</v>
      </c>
      <c r="K3045" t="str">
        <f>HYPERLINK("http://geology.data.nt.gov.au/NVCLDataServices/mosaic.html?datasetid=5237fa84-ce11-40d7-b2f2-08c2284e4a0","8440925_NTGS99_1_Core Image")</f>
        <v>8440925_NTGS99_1_Core Image</v>
      </c>
    </row>
    <row r="3046" spans="1:11" x14ac:dyDescent="0.25">
      <c r="A3046" t="str">
        <f>HYPERLINK("http://www.corstruth.com.au/NT/8445238_Owen2_cs.png","8445238_Owen2_A4")</f>
        <v>8445238_Owen2_A4</v>
      </c>
      <c r="B3046" t="str">
        <f>HYPERLINK("http://www.corstruth.com.au/NT/PNG2/8445238_Owen2_cs.png","8445238_Owen2_0.25m Bins")</f>
        <v>8445238_Owen2_0.25m Bins</v>
      </c>
      <c r="C3046" t="str">
        <f>HYPERLINK("http://www.corstruth.com.au/NT/CSV/8445238_Owen2.csv","8445238_Owen2_CSV File 1m Bins")</f>
        <v>8445238_Owen2_CSV File 1m Bins</v>
      </c>
      <c r="D3046">
        <v>8445238</v>
      </c>
      <c r="E3046" t="s">
        <v>2165</v>
      </c>
      <c r="G3046" t="s">
        <v>2173</v>
      </c>
      <c r="I3046">
        <v>-22.3673</v>
      </c>
      <c r="J3046">
        <v>137.941</v>
      </c>
      <c r="K3046" t="str">
        <f>HYPERLINK("http://geology.data.nt.gov.au/NVCLDataServices/mosaic.html?datasetid=beb819c5-43ad-4a13-8289-42faa09a4f7","8445238_Owen2_Core Image")</f>
        <v>8445238_Owen2_Core Image</v>
      </c>
    </row>
    <row r="3047" spans="1:11" x14ac:dyDescent="0.25">
      <c r="A3047" t="str">
        <f>HYPERLINK("http://www.corstruth.com.au/NT/8445424_NTGS96_1_cs.png","8445424_NTGS96_1_A4")</f>
        <v>8445424_NTGS96_1_A4</v>
      </c>
      <c r="B3047" t="str">
        <f>HYPERLINK("http://www.corstruth.com.au/NT/PNG2/8445424_NTGS96_1_cs.png","8445424_NTGS96_1_0.25m Bins")</f>
        <v>8445424_NTGS96_1_0.25m Bins</v>
      </c>
      <c r="C3047" t="str">
        <f>HYPERLINK("http://www.corstruth.com.au/NT/CSV/8445424_NTGS96_1.csv","8445424_NTGS96_1_CSV File 1m Bins")</f>
        <v>8445424_NTGS96_1_CSV File 1m Bins</v>
      </c>
      <c r="D3047">
        <v>8445424</v>
      </c>
      <c r="E3047" t="s">
        <v>2165</v>
      </c>
      <c r="G3047" t="s">
        <v>2173</v>
      </c>
      <c r="I3047">
        <v>-18.412600000000001</v>
      </c>
      <c r="J3047">
        <v>134.256</v>
      </c>
      <c r="K3047" t="str">
        <f>HYPERLINK("http://geology.data.nt.gov.au/NVCLDataServices/mosaic.html?datasetid=7de13cc1-f2c9-4365-8228-71315a910ae","8445424_NTGS96_1_Core Image")</f>
        <v>8445424_NTGS96_1_Core Image</v>
      </c>
    </row>
    <row r="3048" spans="1:11" x14ac:dyDescent="0.25">
      <c r="A3048" t="str">
        <f>HYPERLINK("http://www.corstruth.com.au/NT/8445494_Ross_1_cs.png","8445494_Ross_1_A4")</f>
        <v>8445494_Ross_1_A4</v>
      </c>
      <c r="B3048" t="str">
        <f>HYPERLINK("http://www.corstruth.com.au/NT/PNG2/8445494_Ross_1_cs.png","8445494_Ross_1_0.25m Bins")</f>
        <v>8445494_Ross_1_0.25m Bins</v>
      </c>
      <c r="C3048" t="str">
        <f>HYPERLINK("http://www.corstruth.com.au/NT/CSV/8445494_Ross_1.csv","8445494_Ross_1_CSV File 1m Bins")</f>
        <v>8445494_Ross_1_CSV File 1m Bins</v>
      </c>
      <c r="D3048">
        <v>8445494</v>
      </c>
      <c r="E3048" t="s">
        <v>2165</v>
      </c>
      <c r="G3048" t="s">
        <v>2173</v>
      </c>
      <c r="I3048">
        <v>-21.825600000000001</v>
      </c>
      <c r="J3048">
        <v>136.51599999999999</v>
      </c>
      <c r="K3048" t="str">
        <f>HYPERLINK("http://geology.data.nt.gov.au/NVCLDataServices/mosaic.html?datasetid=bb2caffd-82e8-4238-9dc0-7e8a6b83b80","8445494_Ross_1_Core Image")</f>
        <v>8445494_Ross_1_Core Image</v>
      </c>
    </row>
    <row r="3049" spans="1:11" x14ac:dyDescent="0.25">
      <c r="A3049" t="str">
        <f>HYPERLINK("http://www.corstruth.com.au/NT/8445499_Phillip2_cs.png","8445499_Phillip2_A4")</f>
        <v>8445499_Phillip2_A4</v>
      </c>
      <c r="B3049" t="str">
        <f>HYPERLINK("http://www.corstruth.com.au/NT/PNG2/8445499_Phillip2_cs.png","8445499_Phillip2_0.25m Bins")</f>
        <v>8445499_Phillip2_0.25m Bins</v>
      </c>
      <c r="C3049" t="str">
        <f>HYPERLINK("http://www.corstruth.com.au/NT/CSV/8445499_Phillip2.csv","8445499_Phillip2_CSV File 1m Bins")</f>
        <v>8445499_Phillip2_CSV File 1m Bins</v>
      </c>
      <c r="D3049">
        <v>8445499</v>
      </c>
      <c r="E3049" t="s">
        <v>2165</v>
      </c>
      <c r="G3049" t="s">
        <v>2173</v>
      </c>
      <c r="I3049">
        <v>-22.264900000000001</v>
      </c>
      <c r="J3049">
        <v>135.273</v>
      </c>
      <c r="K3049" t="str">
        <f>HYPERLINK("http://geology.data.nt.gov.au/NVCLDataServices/mosaic.html?datasetid=a7bc20c1-6086-4afa-a70f-b17cbf97bcf","8445499_Phillip2_Core Image")</f>
        <v>8445499_Phillip2_Core Image</v>
      </c>
    </row>
    <row r="3050" spans="1:11" x14ac:dyDescent="0.25">
      <c r="A3050" t="str">
        <f>HYPERLINK("http://www.corstruth.com.au/NT/8446376_CKAF0001_cs.png","8446376_CKAF0001_A4")</f>
        <v>8446376_CKAF0001_A4</v>
      </c>
      <c r="B3050" t="str">
        <f>HYPERLINK("http://www.corstruth.com.au/NT/PNG2/8446376_CKAF0001_cs.png","8446376_CKAF0001_0.25m Bins")</f>
        <v>8446376_CKAF0001_0.25m Bins</v>
      </c>
      <c r="C3050" t="str">
        <f>HYPERLINK("http://www.corstruth.com.au/NT/CSV/8446376_CKAF0001.csv","8446376_CKAF0001_CSV File 1m Bins")</f>
        <v>8446376_CKAF0001_CSV File 1m Bins</v>
      </c>
      <c r="D3050">
        <v>8446376</v>
      </c>
      <c r="E3050" t="s">
        <v>2165</v>
      </c>
      <c r="G3050" t="s">
        <v>2173</v>
      </c>
      <c r="I3050">
        <v>-21.799900000000001</v>
      </c>
      <c r="J3050">
        <v>135.988</v>
      </c>
      <c r="K3050" t="str">
        <f>HYPERLINK("http://geology.data.nt.gov.au/NVCLDataServices/mosaic.html?datasetid=8399c7d3-f88e-4135-8426-4839545e6aa","8446376_CKAF0001_Core Image")</f>
        <v>8446376_CKAF0001_Core Image</v>
      </c>
    </row>
    <row r="3051" spans="1:11" x14ac:dyDescent="0.25">
      <c r="A3051" t="str">
        <f>HYPERLINK("http://www.corstruth.com.au/NT/8446916_BN04DD01_cs.png","8446916_BN04DD01_A4")</f>
        <v>8446916_BN04DD01_A4</v>
      </c>
      <c r="B3051" t="str">
        <f>HYPERLINK("http://www.corstruth.com.au/NT/PNG2/8446916_BN04DD01_cs.png","8446916_BN04DD01_0.25m Bins")</f>
        <v>8446916_BN04DD01_0.25m Bins</v>
      </c>
      <c r="C3051" t="str">
        <f>HYPERLINK("http://www.corstruth.com.au/NT/CSV/8446916_BN04DD01.csv","8446916_BN04DD01_CSV File 1m Bins")</f>
        <v>8446916_BN04DD01_CSV File 1m Bins</v>
      </c>
      <c r="D3051">
        <v>8446916</v>
      </c>
      <c r="E3051" t="s">
        <v>2165</v>
      </c>
      <c r="G3051" t="s">
        <v>2173</v>
      </c>
      <c r="I3051">
        <v>-18.688800000000001</v>
      </c>
      <c r="J3051">
        <v>135.01599999999999</v>
      </c>
    </row>
    <row r="3052" spans="1:11" x14ac:dyDescent="0.25">
      <c r="A3052" t="str">
        <f>HYPERLINK("http://www.corstruth.com.au/NT/8487933_DD80AL3_cs.png","8487933_DD80AL3_A4")</f>
        <v>8487933_DD80AL3_A4</v>
      </c>
      <c r="B3052" t="str">
        <f>HYPERLINK("http://www.corstruth.com.au/NT/PNG2/8487933_DD80AL3_cs.png","8487933_DD80AL3_0.25m Bins")</f>
        <v>8487933_DD80AL3_0.25m Bins</v>
      </c>
      <c r="C3052" t="str">
        <f>HYPERLINK("http://www.corstruth.com.au/NT/CSV/8487933_DD80AL3.csv","8487933_DD80AL3_CSV File 1m Bins")</f>
        <v>8487933_DD80AL3_CSV File 1m Bins</v>
      </c>
      <c r="D3052">
        <v>8487933</v>
      </c>
      <c r="E3052" t="s">
        <v>2165</v>
      </c>
      <c r="G3052" t="s">
        <v>2173</v>
      </c>
      <c r="I3052">
        <v>-19.699100000000001</v>
      </c>
      <c r="J3052">
        <v>135.53700000000001</v>
      </c>
      <c r="K3052" t="str">
        <f>HYPERLINK("http://geology.data.nt.gov.au/NVCLDataServices/mosaic.html?datasetid=0ff4d0c4-a275-45e7-8523-69e8bdcd053","8487933_DD80AL3_Core Image")</f>
        <v>8487933_DD80AL3_Core Image</v>
      </c>
    </row>
    <row r="3053" spans="1:11" x14ac:dyDescent="0.25">
      <c r="A3053" t="str">
        <f>HYPERLINK("http://www.corstruth.com.au/NT/8487937_DD79AL2_cs.png","8487937_DD79AL2_A4")</f>
        <v>8487937_DD79AL2_A4</v>
      </c>
      <c r="B3053" t="str">
        <f>HYPERLINK("http://www.corstruth.com.au/NT/PNG2/8487937_DD79AL2_cs.png","8487937_DD79AL2_0.25m Bins")</f>
        <v>8487937_DD79AL2_0.25m Bins</v>
      </c>
      <c r="C3053" t="str">
        <f>HYPERLINK("http://www.corstruth.com.au/NT/CSV/8487937_DD79AL2.csv","8487937_DD79AL2_CSV File 1m Bins")</f>
        <v>8487937_DD79AL2_CSV File 1m Bins</v>
      </c>
      <c r="D3053">
        <v>8487937</v>
      </c>
      <c r="E3053" t="s">
        <v>2165</v>
      </c>
      <c r="G3053" t="s">
        <v>2173</v>
      </c>
      <c r="I3053">
        <v>-19.699300000000001</v>
      </c>
      <c r="J3053">
        <v>135.536</v>
      </c>
      <c r="K3053" t="str">
        <f>HYPERLINK("http://geology.data.nt.gov.au/NVCLDataServices/mosaic.html?datasetid=3412d9f3-b951-4385-8c74-45c0f41b936","8487937_DD79AL2_Core Image")</f>
        <v>8487937_DD79AL2_Core Image</v>
      </c>
    </row>
    <row r="3054" spans="1:11" x14ac:dyDescent="0.25">
      <c r="A3054" t="str">
        <f>HYPERLINK("http://www.corstruth.com.au/NT/8601863_DDH003_cs.png","8601863_DDH003_A4")</f>
        <v>8601863_DDH003_A4</v>
      </c>
      <c r="B3054" t="str">
        <f>HYPERLINK("http://www.corstruth.com.au/NT/PNG2/8601863_DDH003_cs.png","8601863_DDH003_0.25m Bins")</f>
        <v>8601863_DDH003_0.25m Bins</v>
      </c>
      <c r="C3054" t="str">
        <f>HYPERLINK("http://www.corstruth.com.au/NT/CSV/8601863_DDH003.csv","8601863_DDH003_CSV File 1m Bins")</f>
        <v>8601863_DDH003_CSV File 1m Bins</v>
      </c>
      <c r="D3054">
        <v>8601863</v>
      </c>
      <c r="E3054" t="s">
        <v>2165</v>
      </c>
      <c r="G3054" t="s">
        <v>2173</v>
      </c>
      <c r="I3054">
        <v>-19.842300000000002</v>
      </c>
      <c r="J3054">
        <v>136.25200000000001</v>
      </c>
    </row>
    <row r="3055" spans="1:11" x14ac:dyDescent="0.25">
      <c r="A3055" t="str">
        <f>HYPERLINK("http://www.corstruth.com.au/NT/8636379_RNN001_01_cs.png","8636379_RNN001_01_A4")</f>
        <v>8636379_RNN001_01_A4</v>
      </c>
      <c r="B3055" t="str">
        <f>HYPERLINK("http://www.corstruth.com.au/NT/PNG2/8636379_RNN001_01_cs.png","8636379_RNN001_01_0.25m Bins")</f>
        <v>8636379_RNN001_01_0.25m Bins</v>
      </c>
      <c r="C3055" t="str">
        <f>HYPERLINK("http://www.corstruth.com.au/NT/CSV/8636379_RNN001_01.csv","8636379_RNN001_01_CSV File 1m Bins")</f>
        <v>8636379_RNN001_01_CSV File 1m Bins</v>
      </c>
      <c r="D3055">
        <v>8636379</v>
      </c>
      <c r="E3055" t="s">
        <v>2165</v>
      </c>
      <c r="G3055" t="s">
        <v>2173</v>
      </c>
      <c r="I3055">
        <v>-20.035299999999999</v>
      </c>
      <c r="J3055">
        <v>136.76599999999999</v>
      </c>
    </row>
    <row r="3056" spans="1:11" x14ac:dyDescent="0.25">
      <c r="A3056" t="str">
        <f>HYPERLINK("http://www.corstruth.com.au/NT/8667544_DD79AL1_cs.png","8667544_DD79AL1_A4")</f>
        <v>8667544_DD79AL1_A4</v>
      </c>
      <c r="B3056" t="str">
        <f>HYPERLINK("http://www.corstruth.com.au/NT/PNG2/8667544_DD79AL1_cs.png","8667544_DD79AL1_0.25m Bins")</f>
        <v>8667544_DD79AL1_0.25m Bins</v>
      </c>
      <c r="C3056" t="str">
        <f>HYPERLINK("http://www.corstruth.com.au/NT/CSV/8667544_DD79AL1.csv","8667544_DD79AL1_CSV File 1m Bins")</f>
        <v>8667544_DD79AL1_CSV File 1m Bins</v>
      </c>
      <c r="D3056">
        <v>8667544</v>
      </c>
      <c r="E3056" t="s">
        <v>2165</v>
      </c>
      <c r="G3056" t="s">
        <v>2173</v>
      </c>
      <c r="I3056">
        <v>-19.6996</v>
      </c>
      <c r="J3056">
        <v>135.53299999999999</v>
      </c>
    </row>
    <row r="3057" spans="1:11" x14ac:dyDescent="0.25">
      <c r="A3057" t="str">
        <f>HYPERLINK("http://www.corstruth.com.au/NT/8719087_DD00WON033_cs.png","8719087_DD00WON033_A4")</f>
        <v>8719087_DD00WON033_A4</v>
      </c>
      <c r="B3057" t="str">
        <f>HYPERLINK("http://www.corstruth.com.au/NT/PNG2/8719087_DD00WON033_cs.png","8719087_DD00WON033_0.25m Bins")</f>
        <v>8719087_DD00WON033_0.25m Bins</v>
      </c>
      <c r="C3057" t="str">
        <f>HYPERLINK("http://www.corstruth.com.au/NT/CSV/8719087_DD00WON033.csv","8719087_DD00WON033_CSV File 1m Bins")</f>
        <v>8719087_DD00WON033_CSV File 1m Bins</v>
      </c>
      <c r="D3057">
        <v>8719087</v>
      </c>
      <c r="E3057" t="s">
        <v>2165</v>
      </c>
      <c r="G3057" t="s">
        <v>2173</v>
      </c>
      <c r="I3057">
        <v>-19.9742</v>
      </c>
      <c r="J3057">
        <v>136.50200000000001</v>
      </c>
    </row>
    <row r="3058" spans="1:11" x14ac:dyDescent="0.25">
      <c r="A3058" t="str">
        <f>HYPERLINK("http://www.corstruth.com.au/NT/8719088_DD00WON024_cs.png","8719088_DD00WON024_A4")</f>
        <v>8719088_DD00WON024_A4</v>
      </c>
      <c r="B3058" t="str">
        <f>HYPERLINK("http://www.corstruth.com.au/NT/PNG2/8719088_DD00WON024_cs.png","8719088_DD00WON024_0.25m Bins")</f>
        <v>8719088_DD00WON024_0.25m Bins</v>
      </c>
      <c r="C3058" t="str">
        <f>HYPERLINK("http://www.corstruth.com.au/NT/CSV/8719088_DD00WON024.csv","8719088_DD00WON024_CSV File 1m Bins")</f>
        <v>8719088_DD00WON024_CSV File 1m Bins</v>
      </c>
      <c r="D3058">
        <v>8719088</v>
      </c>
      <c r="E3058" t="s">
        <v>2165</v>
      </c>
      <c r="G3058" t="s">
        <v>2173</v>
      </c>
      <c r="I3058">
        <v>-20.030799999999999</v>
      </c>
      <c r="J3058">
        <v>136.47800000000001</v>
      </c>
    </row>
    <row r="3059" spans="1:11" x14ac:dyDescent="0.25">
      <c r="A3059" t="str">
        <f>HYPERLINK("http://www.corstruth.com.au/NT/8719089_DD00WON001_cs.png","8719089_DD00WON001_A4")</f>
        <v>8719089_DD00WON001_A4</v>
      </c>
      <c r="B3059" t="str">
        <f>HYPERLINK("http://www.corstruth.com.au/NT/PNG2/8719089_DD00WON001_cs.png","8719089_DD00WON001_0.25m Bins")</f>
        <v>8719089_DD00WON001_0.25m Bins</v>
      </c>
      <c r="C3059" t="str">
        <f>HYPERLINK("http://www.corstruth.com.au/NT/CSV/8719089_DD00WON001.csv","8719089_DD00WON001_CSV File 1m Bins")</f>
        <v>8719089_DD00WON001_CSV File 1m Bins</v>
      </c>
      <c r="D3059">
        <v>8719089</v>
      </c>
      <c r="E3059" t="s">
        <v>2165</v>
      </c>
      <c r="G3059" t="s">
        <v>2173</v>
      </c>
      <c r="I3059">
        <v>-19.960699999999999</v>
      </c>
      <c r="J3059">
        <v>136.50200000000001</v>
      </c>
    </row>
    <row r="3060" spans="1:11" x14ac:dyDescent="0.25">
      <c r="A3060" t="str">
        <f>HYPERLINK("http://www.corstruth.com.au/NT/8719091_DD00WON022_cs.png","8719091_DD00WON022_A4")</f>
        <v>8719091_DD00WON022_A4</v>
      </c>
      <c r="B3060" t="str">
        <f>HYPERLINK("http://www.corstruth.com.au/NT/PNG2/8719091_DD00WON022_cs.png","8719091_DD00WON022_0.25m Bins")</f>
        <v>8719091_DD00WON022_0.25m Bins</v>
      </c>
      <c r="C3060" t="str">
        <f>HYPERLINK("http://www.corstruth.com.au/NT/CSV/8719091_DD00WON022.csv","8719091_DD00WON022_CSV File 1m Bins")</f>
        <v>8719091_DD00WON022_CSV File 1m Bins</v>
      </c>
      <c r="D3060">
        <v>8719091</v>
      </c>
      <c r="E3060" t="s">
        <v>2165</v>
      </c>
      <c r="G3060" t="s">
        <v>2173</v>
      </c>
      <c r="I3060">
        <v>-19.960599999999999</v>
      </c>
      <c r="J3060">
        <v>136.501</v>
      </c>
    </row>
    <row r="3061" spans="1:11" x14ac:dyDescent="0.25">
      <c r="A3061" t="str">
        <f>HYPERLINK("http://www.corstruth.com.au/NT/8751425_NTGS_BC5_cs.png","8751425_NTGS_BC5_A4")</f>
        <v>8751425_NTGS_BC5_A4</v>
      </c>
      <c r="B3061" t="str">
        <f>HYPERLINK("http://www.corstruth.com.au/NT/PNG2/8751425_NTGS_BC5_cs.png","8751425_NTGS_BC5_0.25m Bins")</f>
        <v>8751425_NTGS_BC5_0.25m Bins</v>
      </c>
      <c r="C3061" t="str">
        <f>HYPERLINK("http://www.corstruth.com.au/NT/CSV/8751425_NTGS_BC5.csv","8751425_NTGS_BC5_CSV File 1m Bins")</f>
        <v>8751425_NTGS_BC5_CSV File 1m Bins</v>
      </c>
      <c r="D3061">
        <v>8751425</v>
      </c>
      <c r="E3061" t="s">
        <v>2165</v>
      </c>
      <c r="G3061" t="s">
        <v>2173</v>
      </c>
      <c r="I3061">
        <v>-21.0093</v>
      </c>
      <c r="J3061">
        <v>134.18899999999999</v>
      </c>
    </row>
    <row r="3062" spans="1:11" x14ac:dyDescent="0.25">
      <c r="A3062" t="str">
        <f>HYPERLINK("http://www.corstruth.com.au/NT/8751426_NTGS_BC4_cs.png","8751426_NTGS_BC4_A4")</f>
        <v>8751426_NTGS_BC4_A4</v>
      </c>
      <c r="B3062" t="str">
        <f>HYPERLINK("http://www.corstruth.com.au/NT/PNG2/8751426_NTGS_BC4_cs.png","8751426_NTGS_BC4_0.25m Bins")</f>
        <v>8751426_NTGS_BC4_0.25m Bins</v>
      </c>
      <c r="C3062" t="str">
        <f>HYPERLINK("http://www.corstruth.com.au/NT/CSV/8751426_NTGS_BC4.csv","8751426_NTGS_BC4_CSV File 1m Bins")</f>
        <v>8751426_NTGS_BC4_CSV File 1m Bins</v>
      </c>
      <c r="D3062">
        <v>8751426</v>
      </c>
      <c r="E3062" t="s">
        <v>2165</v>
      </c>
      <c r="G3062" t="s">
        <v>2173</v>
      </c>
      <c r="I3062">
        <v>-21.204899999999999</v>
      </c>
      <c r="J3062">
        <v>134.17599999999999</v>
      </c>
    </row>
    <row r="3063" spans="1:11" x14ac:dyDescent="0.25">
      <c r="A3063" t="str">
        <f>HYPERLINK("http://www.corstruth.com.au/NT/8751427_NTGS_BC3A_cs.png","8751427_NTGS_BC3A_A4")</f>
        <v>8751427_NTGS_BC3A_A4</v>
      </c>
      <c r="B3063" t="str">
        <f>HYPERLINK("http://www.corstruth.com.au/NT/PNG2/8751427_NTGS_BC3A_cs.png","8751427_NTGS_BC3A_0.25m Bins")</f>
        <v>8751427_NTGS_BC3A_0.25m Bins</v>
      </c>
      <c r="C3063" t="str">
        <f>HYPERLINK("http://www.corstruth.com.au/NT/CSV/8751427_NTGS_BC3A.csv","8751427_NTGS_BC3A_CSV File 1m Bins")</f>
        <v>8751427_NTGS_BC3A_CSV File 1m Bins</v>
      </c>
      <c r="D3063">
        <v>8751427</v>
      </c>
      <c r="E3063" t="s">
        <v>2165</v>
      </c>
      <c r="G3063" t="s">
        <v>2173</v>
      </c>
      <c r="I3063">
        <v>-21.184000000000001</v>
      </c>
      <c r="J3063">
        <v>134.238</v>
      </c>
    </row>
    <row r="3064" spans="1:11" x14ac:dyDescent="0.25">
      <c r="A3064" t="str">
        <f>HYPERLINK("http://www.corstruth.com.au/NT/8751428_NTGS_BC3_cs.png","8751428_NTGS_BC3_A4")</f>
        <v>8751428_NTGS_BC3_A4</v>
      </c>
      <c r="B3064" t="str">
        <f>HYPERLINK("http://www.corstruth.com.au/NT/PNG2/8751428_NTGS_BC3_cs.png","8751428_NTGS_BC3_0.25m Bins")</f>
        <v>8751428_NTGS_BC3_0.25m Bins</v>
      </c>
      <c r="C3064" t="str">
        <f>HYPERLINK("http://www.corstruth.com.au/NT/CSV/8751428_NTGS_BC3.csv","8751428_NTGS_BC3_CSV File 1m Bins")</f>
        <v>8751428_NTGS_BC3_CSV File 1m Bins</v>
      </c>
      <c r="D3064">
        <v>8751428</v>
      </c>
      <c r="E3064" t="s">
        <v>2165</v>
      </c>
      <c r="G3064" t="s">
        <v>2173</v>
      </c>
      <c r="I3064">
        <v>-21.184000000000001</v>
      </c>
      <c r="J3064">
        <v>134.238</v>
      </c>
    </row>
    <row r="3065" spans="1:11" x14ac:dyDescent="0.25">
      <c r="A3065" t="str">
        <f>HYPERLINK("http://www.corstruth.com.au/NT/8751429_NTGS_BC2_cs.png","8751429_NTGS_BC2_A4")</f>
        <v>8751429_NTGS_BC2_A4</v>
      </c>
      <c r="B3065" t="str">
        <f>HYPERLINK("http://www.corstruth.com.au/NT/PNG2/8751429_NTGS_BC2_cs.png","8751429_NTGS_BC2_0.25m Bins")</f>
        <v>8751429_NTGS_BC2_0.25m Bins</v>
      </c>
      <c r="C3065" t="str">
        <f>HYPERLINK("http://www.corstruth.com.au/NT/CSV/8751429_NTGS_BC2.csv","8751429_NTGS_BC2_CSV File 1m Bins")</f>
        <v>8751429_NTGS_BC2_CSV File 1m Bins</v>
      </c>
      <c r="D3065">
        <v>8751429</v>
      </c>
      <c r="E3065" t="s">
        <v>2165</v>
      </c>
      <c r="G3065" t="s">
        <v>2173</v>
      </c>
      <c r="I3065">
        <v>-21.1145</v>
      </c>
      <c r="J3065">
        <v>134.465</v>
      </c>
    </row>
    <row r="3066" spans="1:11" x14ac:dyDescent="0.25">
      <c r="A3066" t="str">
        <f>HYPERLINK("http://www.corstruth.com.au/NT/8751430_NTGS_BC1_cs.png","8751430_NTGS_BC1_A4")</f>
        <v>8751430_NTGS_BC1_A4</v>
      </c>
      <c r="B3066" t="str">
        <f>HYPERLINK("http://www.corstruth.com.au/NT/PNG2/8751430_NTGS_BC1_cs.png","8751430_NTGS_BC1_0.25m Bins")</f>
        <v>8751430_NTGS_BC1_0.25m Bins</v>
      </c>
      <c r="C3066" t="str">
        <f>HYPERLINK("http://www.corstruth.com.au/NT/CSV/8751430_NTGS_BC1.csv","8751430_NTGS_BC1_CSV File 1m Bins")</f>
        <v>8751430_NTGS_BC1_CSV File 1m Bins</v>
      </c>
      <c r="D3066">
        <v>8751430</v>
      </c>
      <c r="E3066" t="s">
        <v>2165</v>
      </c>
      <c r="G3066" t="s">
        <v>2173</v>
      </c>
      <c r="I3066">
        <v>-21.16</v>
      </c>
      <c r="J3066">
        <v>134.31200000000001</v>
      </c>
    </row>
    <row r="3067" spans="1:11" x14ac:dyDescent="0.25">
      <c r="A3067" t="str">
        <f>HYPERLINK("http://www.corstruth.com.au/NT/7963376_09CPD002_cs.png","7963376_09CPD002_A4")</f>
        <v>7963376_09CPD002_A4</v>
      </c>
      <c r="D3067">
        <v>7963376</v>
      </c>
      <c r="E3067" t="s">
        <v>2165</v>
      </c>
      <c r="G3067" t="s">
        <v>2174</v>
      </c>
      <c r="I3067">
        <v>-23.767800000000001</v>
      </c>
      <c r="J3067">
        <v>136.851</v>
      </c>
      <c r="K3067" t="str">
        <f>HYPERLINK("http://geology.data.nt.gov.au/NVCLDataServices/mosaic.html?datasetid=f98da8da-47d4-470e-a15b-8a7bddc9fb6","7963376_09CPD002_Core Image")</f>
        <v>7963376_09CPD002_Core Image</v>
      </c>
    </row>
    <row r="3068" spans="1:11" x14ac:dyDescent="0.25">
      <c r="A3068" t="str">
        <f>HYPERLINK("http://www.corstruth.com.au/NT/7963380_09CPD001_cs.png","7963380_09CPD001_A4")</f>
        <v>7963380_09CPD001_A4</v>
      </c>
      <c r="D3068">
        <v>7963380</v>
      </c>
      <c r="E3068" t="s">
        <v>2165</v>
      </c>
      <c r="G3068" t="s">
        <v>2174</v>
      </c>
      <c r="I3068">
        <v>-23.764299999999999</v>
      </c>
      <c r="J3068">
        <v>136.84899999999999</v>
      </c>
    </row>
    <row r="3069" spans="1:11" x14ac:dyDescent="0.25">
      <c r="A3069" t="str">
        <f>HYPERLINK("http://www.corstruth.com.au/NT/7963402_LWDDH01_cs.png","7963402_LWDDH01_A4")</f>
        <v>7963402_LWDDH01_A4</v>
      </c>
      <c r="B3069" t="str">
        <f>HYPERLINK("http://www.corstruth.com.au/NT/PNG2/7963402_LWDDH01_cs.png","7963402_LWDDH01_0.25m Bins")</f>
        <v>7963402_LWDDH01_0.25m Bins</v>
      </c>
      <c r="C3069" t="str">
        <f>HYPERLINK("http://www.corstruth.com.au/NT/CSV/7963402_LWDDH01.csv","7963402_LWDDH01_CSV File 1m Bins")</f>
        <v>7963402_LWDDH01_CSV File 1m Bins</v>
      </c>
      <c r="D3069">
        <v>7963402</v>
      </c>
      <c r="E3069" t="s">
        <v>2165</v>
      </c>
      <c r="G3069" t="s">
        <v>2175</v>
      </c>
      <c r="I3069">
        <v>-17.970700000000001</v>
      </c>
      <c r="J3069">
        <v>133.67500000000001</v>
      </c>
      <c r="K3069" t="str">
        <f>HYPERLINK("http://geology.data.nt.gov.au/NVCLDataServices/mosaic.html?datasetid=b0f6ebd2-936e-4fea-9fdf-ed95c8007b0","7963402_LWDDH01_Core Image")</f>
        <v>7963402_LWDDH01_Core Image</v>
      </c>
    </row>
    <row r="3070" spans="1:11" x14ac:dyDescent="0.25">
      <c r="A3070" t="str">
        <f>HYPERLINK("http://www.corstruth.com.au/NT/7963406_LWDDH02_cs.png","7963406_LWDDH02_A4")</f>
        <v>7963406_LWDDH02_A4</v>
      </c>
      <c r="B3070" t="str">
        <f>HYPERLINK("http://www.corstruth.com.au/NT/PNG2/7963406_LWDDH02_cs.png","7963406_LWDDH02_0.25m Bins")</f>
        <v>7963406_LWDDH02_0.25m Bins</v>
      </c>
      <c r="C3070" t="str">
        <f>HYPERLINK("http://www.corstruth.com.au/NT/CSV/7963406_LWDDH02.csv","7963406_LWDDH02_CSV File 1m Bins")</f>
        <v>7963406_LWDDH02_CSV File 1m Bins</v>
      </c>
      <c r="D3070">
        <v>7963406</v>
      </c>
      <c r="E3070" t="s">
        <v>2165</v>
      </c>
      <c r="G3070" t="s">
        <v>2175</v>
      </c>
      <c r="I3070">
        <v>-17.966100000000001</v>
      </c>
      <c r="J3070">
        <v>133.63900000000001</v>
      </c>
      <c r="K3070" t="str">
        <f>HYPERLINK("http://geology.data.nt.gov.au/NVCLDataServices/mosaic.html?datasetid=4cd44535-aab2-4619-b825-4383736a65a","7963406_LWDDH02_Core Image")</f>
        <v>7963406_LWDDH02_Core Image</v>
      </c>
    </row>
    <row r="3071" spans="1:11" x14ac:dyDescent="0.25">
      <c r="A3071" t="str">
        <f>HYPERLINK("http://www.corstruth.com.au/NT/7963410_LWDDH03_cs.png","7963410_LWDDH03_A4")</f>
        <v>7963410_LWDDH03_A4</v>
      </c>
      <c r="B3071" t="str">
        <f>HYPERLINK("http://www.corstruth.com.au/NT/PNG2/7963410_LWDDH03_cs.png","7963410_LWDDH03_0.25m Bins")</f>
        <v>7963410_LWDDH03_0.25m Bins</v>
      </c>
      <c r="C3071" t="str">
        <f>HYPERLINK("http://www.corstruth.com.au/NT/CSV/7963410_LWDDH03.csv","7963410_LWDDH03_CSV File 1m Bins")</f>
        <v>7963410_LWDDH03_CSV File 1m Bins</v>
      </c>
      <c r="D3071">
        <v>7963410</v>
      </c>
      <c r="E3071" t="s">
        <v>2165</v>
      </c>
      <c r="G3071" t="s">
        <v>2175</v>
      </c>
      <c r="I3071">
        <v>-17.9495</v>
      </c>
      <c r="J3071">
        <v>133.66800000000001</v>
      </c>
      <c r="K3071" t="str">
        <f>HYPERLINK("http://geology.data.nt.gov.au/NVCLDataServices/mosaic.html?datasetid=a04f6564-8e75-42ed-a229-c4fe125f462","7963410_LWDDH03_Core Image")</f>
        <v>7963410_LWDDH03_Core Image</v>
      </c>
    </row>
    <row r="3072" spans="1:11" x14ac:dyDescent="0.25">
      <c r="A3072" t="str">
        <f>HYPERLINK("http://www.corstruth.com.au/NT/8470632_CRDD001_cs.png","8470632_CRDD001_A4")</f>
        <v>8470632_CRDD001_A4</v>
      </c>
      <c r="B3072" t="str">
        <f>HYPERLINK("http://www.corstruth.com.au/NT/PNG2/8470632_CRDD001_cs.png","8470632_CRDD001_0.25m Bins")</f>
        <v>8470632_CRDD001_0.25m Bins</v>
      </c>
      <c r="C3072" t="str">
        <f>HYPERLINK("http://www.corstruth.com.au/NT/CSV/8470632_CRDD001.csv","8470632_CRDD001_CSV File 1m Bins")</f>
        <v>8470632_CRDD001_CSV File 1m Bins</v>
      </c>
      <c r="D3072">
        <v>8470632</v>
      </c>
      <c r="E3072" t="s">
        <v>2165</v>
      </c>
      <c r="G3072" t="s">
        <v>2176</v>
      </c>
      <c r="I3072">
        <v>-18.788799999999998</v>
      </c>
      <c r="J3072">
        <v>137.28100000000001</v>
      </c>
      <c r="K3072" t="str">
        <f>HYPERLINK("http://geology.data.nt.gov.au/NVCLDataServices/mosaic.html?datasetid=6d3dc97f-fc2a-4b48-8ee8-a0a5619496c","8470632_CRDD001_Core Image")</f>
        <v>8470632_CRDD001_Core Image</v>
      </c>
    </row>
    <row r="3073" spans="1:11" x14ac:dyDescent="0.25">
      <c r="A3073" t="str">
        <f>HYPERLINK("http://www.corstruth.com.au/NT/8765364_TNDDH008_cs.png","8765364_TNDDH008_A4")</f>
        <v>8765364_TNDDH008_A4</v>
      </c>
      <c r="B3073" t="str">
        <f>HYPERLINK("http://www.corstruth.com.au/NT/PNG2/8765364_TNDDH008_cs.png","8765364_TNDDH008_0.25m Bins")</f>
        <v>8765364_TNDDH008_0.25m Bins</v>
      </c>
      <c r="C3073" t="str">
        <f>HYPERLINK("http://www.corstruth.com.au/NT/CSV/8765364_TNDDH008.csv","8765364_TNDDH008_CSV File 1m Bins")</f>
        <v>8765364_TNDDH008_CSV File 1m Bins</v>
      </c>
      <c r="D3073">
        <v>8765364</v>
      </c>
      <c r="E3073" t="s">
        <v>2165</v>
      </c>
      <c r="I3073">
        <v>0</v>
      </c>
      <c r="J3073">
        <v>0</v>
      </c>
    </row>
    <row r="3074" spans="1:11" x14ac:dyDescent="0.25">
      <c r="A3074" t="str">
        <f>HYPERLINK("http://www.corstruth.com.au/NT/8765365_TNDDH007_cs.png","8765365_TNDDH007_A4")</f>
        <v>8765365_TNDDH007_A4</v>
      </c>
      <c r="B3074" t="str">
        <f>HYPERLINK("http://www.corstruth.com.au/NT/PNG2/8765365_TNDDH007_cs.png","8765365_TNDDH007_0.25m Bins")</f>
        <v>8765365_TNDDH007_0.25m Bins</v>
      </c>
      <c r="C3074" t="str">
        <f>HYPERLINK("http://www.corstruth.com.au/NT/CSV/8765365_TNDDH007.csv","8765365_TNDDH007_CSV File 1m Bins")</f>
        <v>8765365_TNDDH007_CSV File 1m Bins</v>
      </c>
      <c r="D3074">
        <v>8765365</v>
      </c>
      <c r="E3074" t="s">
        <v>2165</v>
      </c>
      <c r="I3074">
        <v>0</v>
      </c>
      <c r="J3074">
        <v>0</v>
      </c>
    </row>
    <row r="3075" spans="1:11" x14ac:dyDescent="0.25">
      <c r="A3075" t="str">
        <f>HYPERLINK("http://www.corstruth.com.au/NT/8765367_TNDDH001_cs.png","8765367_TNDDH001_A4")</f>
        <v>8765367_TNDDH001_A4</v>
      </c>
      <c r="B3075" t="str">
        <f>HYPERLINK("http://www.corstruth.com.au/NT/PNG2/8765367_TNDDH001_cs.png","8765367_TNDDH001_0.25m Bins")</f>
        <v>8765367_TNDDH001_0.25m Bins</v>
      </c>
      <c r="C3075" t="str">
        <f>HYPERLINK("http://www.corstruth.com.au/NT/CSV/8765367_TNDDH001.csv","8765367_TNDDH001_CSV File 1m Bins")</f>
        <v>8765367_TNDDH001_CSV File 1m Bins</v>
      </c>
      <c r="D3075">
        <v>8765367</v>
      </c>
      <c r="E3075" t="s">
        <v>2165</v>
      </c>
      <c r="I3075">
        <v>0</v>
      </c>
      <c r="J3075">
        <v>0</v>
      </c>
    </row>
    <row r="3076" spans="1:11" x14ac:dyDescent="0.25">
      <c r="A3076" t="str">
        <f>HYPERLINK("http://www.corstruth.com.au/NT/1108848_DD95RC128_cs.png","1108848_DD95RC128_A4")</f>
        <v>1108848_DD95RC128_A4</v>
      </c>
      <c r="B3076" t="str">
        <f>HYPERLINK("http://www.corstruth.com.au/NT/PNG2/1108848_DD95RC128_cs.png","1108848_DD95RC128_0.25m Bins")</f>
        <v>1108848_DD95RC128_0.25m Bins</v>
      </c>
      <c r="C3076" t="str">
        <f>HYPERLINK("http://www.corstruth.com.au/NT/CSV/1108848_DD95RC128.csv","1108848_DD95RC128_CSV File 1m Bins")</f>
        <v>1108848_DD95RC128_CSV File 1m Bins</v>
      </c>
      <c r="D3076">
        <v>1108848</v>
      </c>
      <c r="E3076" t="s">
        <v>2165</v>
      </c>
      <c r="G3076" t="s">
        <v>2177</v>
      </c>
      <c r="I3076">
        <v>-16.735299999999999</v>
      </c>
      <c r="J3076">
        <v>137.79900000000001</v>
      </c>
    </row>
    <row r="3077" spans="1:11" x14ac:dyDescent="0.25">
      <c r="A3077" t="str">
        <f>HYPERLINK("http://www.corstruth.com.au/NT/1113632_DD85GL5_cs.png","1113632_DD85GL5_A4")</f>
        <v>1113632_DD85GL5_A4</v>
      </c>
      <c r="B3077" t="str">
        <f>HYPERLINK("http://www.corstruth.com.au/NT/PNG2/1113632_DD85GL5_cs.png","1113632_DD85GL5_0.25m Bins")</f>
        <v>1113632_DD85GL5_0.25m Bins</v>
      </c>
      <c r="C3077" t="str">
        <f>HYPERLINK("http://www.corstruth.com.au/NT/CSV/1113632_DD85GL5.csv","1113632_DD85GL5_CSV File 1m Bins")</f>
        <v>1113632_DD85GL5_CSV File 1m Bins</v>
      </c>
      <c r="D3077">
        <v>1113632</v>
      </c>
      <c r="E3077" t="s">
        <v>2165</v>
      </c>
      <c r="G3077" t="s">
        <v>2177</v>
      </c>
      <c r="I3077">
        <v>-16.770099999999999</v>
      </c>
      <c r="J3077">
        <v>136.35400000000001</v>
      </c>
    </row>
    <row r="3078" spans="1:11" x14ac:dyDescent="0.25">
      <c r="A3078" t="str">
        <f>HYPERLINK("http://www.corstruth.com.au/NT/1113636_DD85GL6_cs.png","1113636_DD85GL6_A4")</f>
        <v>1113636_DD85GL6_A4</v>
      </c>
      <c r="B3078" t="str">
        <f>HYPERLINK("http://www.corstruth.com.au/NT/PNG2/1113636_DD85GL6_cs.png","1113636_DD85GL6_0.25m Bins")</f>
        <v>1113636_DD85GL6_0.25m Bins</v>
      </c>
      <c r="C3078" t="str">
        <f>HYPERLINK("http://www.corstruth.com.au/NT/CSV/1113636_DD85GL6.csv","1113636_DD85GL6_CSV File 1m Bins")</f>
        <v>1113636_DD85GL6_CSV File 1m Bins</v>
      </c>
      <c r="D3078">
        <v>1113636</v>
      </c>
      <c r="E3078" t="s">
        <v>2165</v>
      </c>
      <c r="G3078" t="s">
        <v>2177</v>
      </c>
      <c r="I3078">
        <v>-16.7712</v>
      </c>
      <c r="J3078">
        <v>136.35</v>
      </c>
    </row>
    <row r="3079" spans="1:11" x14ac:dyDescent="0.25">
      <c r="A3079" t="str">
        <f>HYPERLINK("http://www.corstruth.com.au/NT/1176904_BB2_cs.png","1176904_BB2_A4")</f>
        <v>1176904_BB2_A4</v>
      </c>
      <c r="B3079" t="str">
        <f>HYPERLINK("http://www.corstruth.com.au/NT/PNG2/1176904_BB2_cs.png","1176904_BB2_0.25m Bins")</f>
        <v>1176904_BB2_0.25m Bins</v>
      </c>
      <c r="C3079" t="str">
        <f>HYPERLINK("http://www.corstruth.com.au/NT/CSV/1176904_BB2.csv","1176904_BB2_CSV File 1m Bins")</f>
        <v>1176904_BB2_CSV File 1m Bins</v>
      </c>
      <c r="D3079">
        <v>1176904</v>
      </c>
      <c r="E3079" t="s">
        <v>2165</v>
      </c>
      <c r="G3079" t="s">
        <v>2177</v>
      </c>
      <c r="I3079">
        <v>-15.7912</v>
      </c>
      <c r="J3079">
        <v>135.96899999999999</v>
      </c>
      <c r="K3079" t="str">
        <f>HYPERLINK("http://geology.data.nt.gov.au/NVCLDataServices/mosaic.html?datasetid=de3fc867-6a44-4ad4-bc86-0ea92ddbf23","1176904_BB2_Core Image")</f>
        <v>1176904_BB2_Core Image</v>
      </c>
    </row>
    <row r="3080" spans="1:11" x14ac:dyDescent="0.25">
      <c r="A3080" t="str">
        <f>HYPERLINK("http://www.corstruth.com.au/NT/1176916_BB5_cs.png","1176916_BB5_A4")</f>
        <v>1176916_BB5_A4</v>
      </c>
      <c r="B3080" t="str">
        <f>HYPERLINK("http://www.corstruth.com.au/NT/PNG2/1176916_BB5_cs.png","1176916_BB5_0.25m Bins")</f>
        <v>1176916_BB5_0.25m Bins</v>
      </c>
      <c r="C3080" t="str">
        <f>HYPERLINK("http://www.corstruth.com.au/NT/CSV/1176916_BB5.csv","1176916_BB5_CSV File 1m Bins")</f>
        <v>1176916_BB5_CSV File 1m Bins</v>
      </c>
      <c r="D3080">
        <v>1176916</v>
      </c>
      <c r="E3080" t="s">
        <v>2165</v>
      </c>
      <c r="G3080" t="s">
        <v>2177</v>
      </c>
      <c r="I3080">
        <v>-15.788399999999999</v>
      </c>
      <c r="J3080">
        <v>136.03399999999999</v>
      </c>
      <c r="K3080" t="str">
        <f>HYPERLINK("http://geology.data.nt.gov.au/NVCLDataServices/mosaic.html?datasetid=600742a1-3e5d-4721-9fa2-dfaa1afd9ee","1176916_BB5_Core Image")</f>
        <v>1176916_BB5_Core Image</v>
      </c>
    </row>
    <row r="3081" spans="1:11" x14ac:dyDescent="0.25">
      <c r="A3081" t="str">
        <f>HYPERLINK("http://www.corstruth.com.au/NT/1176920_BB6_cs.png","1176920_BB6_A4")</f>
        <v>1176920_BB6_A4</v>
      </c>
      <c r="B3081" t="str">
        <f>HYPERLINK("http://www.corstruth.com.au/NT/PNG2/1176920_BB6_cs.png","1176920_BB6_0.25m Bins")</f>
        <v>1176920_BB6_0.25m Bins</v>
      </c>
      <c r="C3081" t="str">
        <f>HYPERLINK("http://www.corstruth.com.au/NT/CSV/1176920_BB6.csv","1176920_BB6_CSV File 1m Bins")</f>
        <v>1176920_BB6_CSV File 1m Bins</v>
      </c>
      <c r="D3081">
        <v>1176920</v>
      </c>
      <c r="E3081" t="s">
        <v>2165</v>
      </c>
      <c r="G3081" t="s">
        <v>2177</v>
      </c>
      <c r="I3081">
        <v>-15.7654</v>
      </c>
      <c r="J3081">
        <v>136.07499999999999</v>
      </c>
    </row>
    <row r="3082" spans="1:11" x14ac:dyDescent="0.25">
      <c r="A3082" t="str">
        <f>HYPERLINK("http://www.corstruth.com.au/NT/1202419_DD72_EC1_cs.png","1202419_DD72_EC1_A4")</f>
        <v>1202419_DD72_EC1_A4</v>
      </c>
      <c r="B3082" t="str">
        <f>HYPERLINK("http://www.corstruth.com.au/NT/PNG2/1202419_DD72_EC1_cs.png","1202419_DD72_EC1_0.25m Bins")</f>
        <v>1202419_DD72_EC1_0.25m Bins</v>
      </c>
      <c r="C3082" t="str">
        <f>HYPERLINK("http://www.corstruth.com.au/NT/CSV/1202419_DD72_EC1.csv","1202419_DD72_EC1_CSV File 1m Bins")</f>
        <v>1202419_DD72_EC1_CSV File 1m Bins</v>
      </c>
      <c r="D3082">
        <v>1202419</v>
      </c>
      <c r="E3082" t="s">
        <v>2165</v>
      </c>
      <c r="G3082" t="s">
        <v>2177</v>
      </c>
      <c r="I3082">
        <v>-15.8407</v>
      </c>
      <c r="J3082">
        <v>135.434</v>
      </c>
    </row>
    <row r="3083" spans="1:11" x14ac:dyDescent="0.25">
      <c r="A3083" t="str">
        <f>HYPERLINK("http://www.corstruth.com.au/NT/1202423_DD72_EC2_cs.png","1202423_DD72_EC2_A4")</f>
        <v>1202423_DD72_EC2_A4</v>
      </c>
      <c r="B3083" t="str">
        <f>HYPERLINK("http://www.corstruth.com.au/NT/PNG2/1202423_DD72_EC2_cs.png","1202423_DD72_EC2_0.25m Bins")</f>
        <v>1202423_DD72_EC2_0.25m Bins</v>
      </c>
      <c r="C3083" t="str">
        <f>HYPERLINK("http://www.corstruth.com.au/NT/CSV/1202423_DD72_EC2.csv","1202423_DD72_EC2_CSV File 1m Bins")</f>
        <v>1202423_DD72_EC2_CSV File 1m Bins</v>
      </c>
      <c r="D3083">
        <v>1202423</v>
      </c>
      <c r="E3083" t="s">
        <v>2165</v>
      </c>
      <c r="G3083" t="s">
        <v>2177</v>
      </c>
      <c r="I3083">
        <v>-15.8424</v>
      </c>
      <c r="J3083">
        <v>135.43199999999999</v>
      </c>
    </row>
    <row r="3084" spans="1:11" x14ac:dyDescent="0.25">
      <c r="A3084" t="str">
        <f>HYPERLINK("http://www.corstruth.com.au/NT/1311112_DD91DC1_cs.png","1311112_DD91DC1_A4")</f>
        <v>1311112_DD91DC1_A4</v>
      </c>
      <c r="B3084" t="str">
        <f>HYPERLINK("http://www.corstruth.com.au/NT/PNG2/1311112_DD91DC1_cs.png","1311112_DD91DC1_0.25m Bins")</f>
        <v>1311112_DD91DC1_0.25m Bins</v>
      </c>
      <c r="C3084" t="str">
        <f>HYPERLINK("http://www.corstruth.com.au/NT/CSV/1311112_DD91DC1.csv","1311112_DD91DC1_CSV File 1m Bins")</f>
        <v>1311112_DD91DC1_CSV File 1m Bins</v>
      </c>
      <c r="D3084">
        <v>1311112</v>
      </c>
      <c r="E3084" t="s">
        <v>2165</v>
      </c>
      <c r="G3084" t="s">
        <v>2177</v>
      </c>
      <c r="I3084">
        <v>-17.285799999999998</v>
      </c>
      <c r="J3084">
        <v>137.238</v>
      </c>
    </row>
    <row r="3085" spans="1:11" x14ac:dyDescent="0.25">
      <c r="A3085" t="str">
        <f>HYPERLINK("http://www.corstruth.com.au/NT/1319578_GR10_cs.png","1319578_GR10_A4")</f>
        <v>1319578_GR10_A4</v>
      </c>
      <c r="B3085" t="str">
        <f>HYPERLINK("http://www.corstruth.com.au/NT/PNG2/1319578_GR10_cs.png","1319578_GR10_0.25m Bins")</f>
        <v>1319578_GR10_0.25m Bins</v>
      </c>
      <c r="C3085" t="str">
        <f>HYPERLINK("http://www.corstruth.com.au/NT/CSV/1319578_GR10.csv","1319578_GR10_CSV File 1m Bins")</f>
        <v>1319578_GR10_CSV File 1m Bins</v>
      </c>
      <c r="D3085">
        <v>1319578</v>
      </c>
      <c r="E3085" t="s">
        <v>2165</v>
      </c>
      <c r="G3085" t="s">
        <v>2177</v>
      </c>
      <c r="I3085">
        <v>-16.931799999999999</v>
      </c>
      <c r="J3085">
        <v>136.30799999999999</v>
      </c>
      <c r="K3085" t="str">
        <f>HYPERLINK("http://geology.data.nt.gov.au/NVCLDataServices/mosaic.html?datasetid=b619b9ae-2798-4fa6-83aa-39a25c6db4c","1319578_GR10_Core Image")</f>
        <v>1319578_GR10_Core Image</v>
      </c>
    </row>
    <row r="3086" spans="1:11" x14ac:dyDescent="0.25">
      <c r="A3086" t="str">
        <f>HYPERLINK("http://www.corstruth.com.au/NT/1319590_GRNT_79_1_cs.png","1319590_GRNT_79_1_A4")</f>
        <v>1319590_GRNT_79_1_A4</v>
      </c>
      <c r="B3086" t="str">
        <f>HYPERLINK("http://www.corstruth.com.au/NT/PNG2/1319590_GRNT_79_1_cs.png","1319590_GRNT_79_1_0.25m Bins")</f>
        <v>1319590_GRNT_79_1_0.25m Bins</v>
      </c>
      <c r="C3086" t="str">
        <f>HYPERLINK("http://www.corstruth.com.au/NT/CSV/1319590_GRNT_79_1.csv","1319590_GRNT_79_1_CSV File 1m Bins")</f>
        <v>1319590_GRNT_79_1_CSV File 1m Bins</v>
      </c>
      <c r="D3086">
        <v>1319590</v>
      </c>
      <c r="E3086" t="s">
        <v>2165</v>
      </c>
      <c r="G3086" t="s">
        <v>2177</v>
      </c>
      <c r="I3086">
        <v>-16.889099999999999</v>
      </c>
      <c r="J3086">
        <v>136.25399999999999</v>
      </c>
      <c r="K3086" t="str">
        <f>HYPERLINK("http://geology.data.nt.gov.au/NVCLDataServices/mosaic.html?datasetid=76922f0c-c7eb-4d92-b42b-3efc09df53d","1319590_GRNT_79_1_Core Image")</f>
        <v>1319590_GRNT_79_1_Core Image</v>
      </c>
    </row>
    <row r="3087" spans="1:11" x14ac:dyDescent="0.25">
      <c r="A3087" t="str">
        <f>HYPERLINK("http://www.corstruth.com.au/NT/1319594_GRNT_79_2_cs.png","1319594_GRNT_79_2_A4")</f>
        <v>1319594_GRNT_79_2_A4</v>
      </c>
      <c r="B3087" t="str">
        <f>HYPERLINK("http://www.corstruth.com.au/NT/PNG2/1319594_GRNT_79_2_cs.png","1319594_GRNT_79_2_0.25m Bins")</f>
        <v>1319594_GRNT_79_2_0.25m Bins</v>
      </c>
      <c r="C3087" t="str">
        <f>HYPERLINK("http://www.corstruth.com.au/NT/CSV/1319594_GRNT_79_2.csv","1319594_GRNT_79_2_CSV File 1m Bins")</f>
        <v>1319594_GRNT_79_2_CSV File 1m Bins</v>
      </c>
      <c r="D3087">
        <v>1319594</v>
      </c>
      <c r="E3087" t="s">
        <v>2165</v>
      </c>
      <c r="G3087" t="s">
        <v>2177</v>
      </c>
      <c r="I3087">
        <v>-16.928799999999999</v>
      </c>
      <c r="J3087">
        <v>136.286</v>
      </c>
      <c r="K3087" t="str">
        <f>HYPERLINK("http://geology.data.nt.gov.au/NVCLDataServices/mosaic.html?datasetid=a105c877-d6b2-4364-bc5d-00bc60dc859","1319594_GRNT_79_2_Core Image")</f>
        <v>1319594_GRNT_79_2_Core Image</v>
      </c>
    </row>
    <row r="3088" spans="1:11" x14ac:dyDescent="0.25">
      <c r="A3088" t="str">
        <f>HYPERLINK("http://www.corstruth.com.au/NT/1319598_GRNT_79_3_cs.png","1319598_GRNT_79_3_A4")</f>
        <v>1319598_GRNT_79_3_A4</v>
      </c>
      <c r="B3088" t="str">
        <f>HYPERLINK("http://www.corstruth.com.au/NT/PNG2/1319598_GRNT_79_3_cs.png","1319598_GRNT_79_3_0.25m Bins")</f>
        <v>1319598_GRNT_79_3_0.25m Bins</v>
      </c>
      <c r="C3088" t="str">
        <f>HYPERLINK("http://www.corstruth.com.au/NT/CSV/1319598_GRNT_79_3.csv","1319598_GRNT_79_3_CSV File 1m Bins")</f>
        <v>1319598_GRNT_79_3_CSV File 1m Bins</v>
      </c>
      <c r="D3088">
        <v>1319598</v>
      </c>
      <c r="E3088" t="s">
        <v>2165</v>
      </c>
      <c r="G3088" t="s">
        <v>2177</v>
      </c>
      <c r="I3088">
        <v>-16.879100000000001</v>
      </c>
      <c r="J3088">
        <v>136.245</v>
      </c>
      <c r="K3088" t="str">
        <f>HYPERLINK("http://geology.data.nt.gov.au/NVCLDataServices/mosaic.html?datasetid=2104b36a-2af7-4230-b2d0-e869ca140d6","1319598_GRNT_79_3_Core Image")</f>
        <v>1319598_GRNT_79_3_Core Image</v>
      </c>
    </row>
    <row r="3089" spans="1:11" x14ac:dyDescent="0.25">
      <c r="A3089" t="str">
        <f>HYPERLINK("http://www.corstruth.com.au/NT/1319602_GRNT_79_4_cs.png","1319602_GRNT_79_4_A4")</f>
        <v>1319602_GRNT_79_4_A4</v>
      </c>
      <c r="B3089" t="str">
        <f>HYPERLINK("http://www.corstruth.com.au/NT/PNG2/1319602_GRNT_79_4_cs.png","1319602_GRNT_79_4_0.25m Bins")</f>
        <v>1319602_GRNT_79_4_0.25m Bins</v>
      </c>
      <c r="C3089" t="str">
        <f>HYPERLINK("http://www.corstruth.com.au/NT/CSV/1319602_GRNT_79_4.csv","1319602_GRNT_79_4_CSV File 1m Bins")</f>
        <v>1319602_GRNT_79_4_CSV File 1m Bins</v>
      </c>
      <c r="D3089">
        <v>1319602</v>
      </c>
      <c r="E3089" t="s">
        <v>2165</v>
      </c>
      <c r="G3089" t="s">
        <v>2177</v>
      </c>
      <c r="I3089">
        <v>-16.991800000000001</v>
      </c>
      <c r="J3089">
        <v>136.303</v>
      </c>
      <c r="K3089" t="str">
        <f>HYPERLINK("http://geology.data.nt.gov.au/NVCLDataServices/mosaic.html?datasetid=422d4ed8-e2b5-4d6c-afc0-6849d71692c","1319602_GRNT_79_4_Core Image")</f>
        <v>1319602_GRNT_79_4_Core Image</v>
      </c>
    </row>
    <row r="3090" spans="1:11" x14ac:dyDescent="0.25">
      <c r="A3090" t="str">
        <f>HYPERLINK("http://www.corstruth.com.au/NT/1319606_GRNT_79_5_cs.png","1319606_GRNT_79_5_A4")</f>
        <v>1319606_GRNT_79_5_A4</v>
      </c>
      <c r="B3090" t="str">
        <f>HYPERLINK("http://www.corstruth.com.au/NT/PNG2/1319606_GRNT_79_5_cs.png","1319606_GRNT_79_5_0.25m Bins")</f>
        <v>1319606_GRNT_79_5_0.25m Bins</v>
      </c>
      <c r="C3090" t="str">
        <f>HYPERLINK("http://www.corstruth.com.au/NT/CSV/1319606_GRNT_79_5.csv","1319606_GRNT_79_5_CSV File 1m Bins")</f>
        <v>1319606_GRNT_79_5_CSV File 1m Bins</v>
      </c>
      <c r="D3090">
        <v>1319606</v>
      </c>
      <c r="E3090" t="s">
        <v>2165</v>
      </c>
      <c r="G3090" t="s">
        <v>2177</v>
      </c>
      <c r="I3090">
        <v>-16.890799999999999</v>
      </c>
      <c r="J3090">
        <v>136.27699999999999</v>
      </c>
      <c r="K3090" t="str">
        <f>HYPERLINK("http://geology.data.nt.gov.au/NVCLDataServices/mosaic.html?datasetid=2762443b-0323-4b68-a7c4-6737bbfde8a","1319606_GRNT_79_5_Core Image")</f>
        <v>1319606_GRNT_79_5_Core Image</v>
      </c>
    </row>
    <row r="3091" spans="1:11" x14ac:dyDescent="0.25">
      <c r="A3091" t="str">
        <f>HYPERLINK("http://www.corstruth.com.au/NT/1319610_GRNT79_6_cs.png","1319610_GRNT79_6_A4")</f>
        <v>1319610_GRNT79_6_A4</v>
      </c>
      <c r="B3091" t="str">
        <f>HYPERLINK("http://www.corstruth.com.au/NT/PNG2/1319610_GRNT79_6_cs.png","1319610_GRNT79_6_0.25m Bins")</f>
        <v>1319610_GRNT79_6_0.25m Bins</v>
      </c>
      <c r="C3091" t="str">
        <f>HYPERLINK("http://www.corstruth.com.au/NT/CSV/1319610_GRNT79_6.csv","1319610_GRNT79_6_CSV File 1m Bins")</f>
        <v>1319610_GRNT79_6_CSV File 1m Bins</v>
      </c>
      <c r="D3091">
        <v>1319610</v>
      </c>
      <c r="E3091" t="s">
        <v>2165</v>
      </c>
      <c r="G3091" t="s">
        <v>2177</v>
      </c>
      <c r="I3091">
        <v>-16.889900000000001</v>
      </c>
      <c r="J3091">
        <v>136.47800000000001</v>
      </c>
    </row>
    <row r="3092" spans="1:11" x14ac:dyDescent="0.25">
      <c r="A3092" t="str">
        <f>HYPERLINK("http://www.corstruth.com.au/NT/1325301_McA15_cs.png","1325301_McA15_A4")</f>
        <v>1325301_McA15_A4</v>
      </c>
      <c r="B3092" t="str">
        <f>HYPERLINK("http://www.corstruth.com.au/NT/PNG2/1325301_McA15_cs.png","1325301_McA15_0.25m Bins")</f>
        <v>1325301_McA15_0.25m Bins</v>
      </c>
      <c r="C3092" t="str">
        <f>HYPERLINK("http://www.corstruth.com.au/NT/CSV/1325301_McA15.csv","1325301_McA15_CSV File 1m Bins")</f>
        <v>1325301_McA15_CSV File 1m Bins</v>
      </c>
      <c r="D3092">
        <v>1325301</v>
      </c>
      <c r="E3092" t="s">
        <v>2165</v>
      </c>
      <c r="G3092" t="s">
        <v>2177</v>
      </c>
      <c r="I3092">
        <v>-15.9306</v>
      </c>
      <c r="J3092">
        <v>135.53200000000001</v>
      </c>
    </row>
    <row r="3093" spans="1:11" x14ac:dyDescent="0.25">
      <c r="A3093" t="str">
        <f>HYPERLINK("http://www.corstruth.com.au/NT/1325305_MYD7_cs.png","1325305_MYD7_A4")</f>
        <v>1325305_MYD7_A4</v>
      </c>
      <c r="B3093" t="str">
        <f>HYPERLINK("http://www.corstruth.com.au/NT/PNG2/1325305_MYD7_cs.png","1325305_MYD7_0.25m Bins")</f>
        <v>1325305_MYD7_0.25m Bins</v>
      </c>
      <c r="C3093" t="str">
        <f>HYPERLINK("http://www.corstruth.com.au/NT/CSV/1325305_MYD7.csv","1325305_MYD7_CSV File 1m Bins")</f>
        <v>1325305_MYD7_CSV File 1m Bins</v>
      </c>
      <c r="D3093">
        <v>1325305</v>
      </c>
      <c r="E3093" t="s">
        <v>2165</v>
      </c>
      <c r="G3093" t="s">
        <v>2177</v>
      </c>
      <c r="I3093">
        <v>-15.958600000000001</v>
      </c>
      <c r="J3093">
        <v>135.53100000000001</v>
      </c>
      <c r="K3093" t="str">
        <f>HYPERLINK("http://geology.data.nt.gov.au/NVCLDataServices/mosaic.html?datasetid=e73198dc-9844-4ffa-bdbe-e421f846b36","1325305_MYD7_Core Image")</f>
        <v>1325305_MYD7_Core Image</v>
      </c>
    </row>
    <row r="3094" spans="1:11" x14ac:dyDescent="0.25">
      <c r="A3094" t="str">
        <f>HYPERLINK("http://www.corstruth.com.au/NT/1347430_DD95GC001_cs.png","1347430_DD95GC001_A4")</f>
        <v>1347430_DD95GC001_A4</v>
      </c>
      <c r="B3094" t="str">
        <f>HYPERLINK("http://www.corstruth.com.au/NT/PNG2/1347430_DD95GC001_cs.png","1347430_DD95GC001_0.25m Bins")</f>
        <v>1347430_DD95GC001_0.25m Bins</v>
      </c>
      <c r="C3094" t="str">
        <f>HYPERLINK("http://www.corstruth.com.au/NT/CSV/1347430_DD95GC001.csv","1347430_DD95GC001_CSV File 1m Bins")</f>
        <v>1347430_DD95GC001_CSV File 1m Bins</v>
      </c>
      <c r="D3094">
        <v>1347430</v>
      </c>
      <c r="E3094" t="s">
        <v>2165</v>
      </c>
      <c r="G3094" t="s">
        <v>2177</v>
      </c>
      <c r="I3094">
        <v>-16.810600000000001</v>
      </c>
      <c r="J3094">
        <v>137.90799999999999</v>
      </c>
    </row>
    <row r="3095" spans="1:11" x14ac:dyDescent="0.25">
      <c r="A3095" t="str">
        <f>HYPERLINK("http://www.corstruth.com.au/NT/1347438_DD95GC007_cs.png","1347438_DD95GC007_A4")</f>
        <v>1347438_DD95GC007_A4</v>
      </c>
      <c r="B3095" t="str">
        <f>HYPERLINK("http://www.corstruth.com.au/NT/PNG2/1347438_DD95GC007_cs.png","1347438_DD95GC007_0.25m Bins")</f>
        <v>1347438_DD95GC007_0.25m Bins</v>
      </c>
      <c r="C3095" t="str">
        <f>HYPERLINK("http://www.corstruth.com.au/NT/CSV/1347438_DD95GC007.csv","1347438_DD95GC007_CSV File 1m Bins")</f>
        <v>1347438_DD95GC007_CSV File 1m Bins</v>
      </c>
      <c r="D3095">
        <v>1347438</v>
      </c>
      <c r="E3095" t="s">
        <v>2165</v>
      </c>
      <c r="G3095" t="s">
        <v>2177</v>
      </c>
      <c r="I3095">
        <v>-16.591000000000001</v>
      </c>
      <c r="J3095">
        <v>137.66999999999999</v>
      </c>
    </row>
    <row r="3096" spans="1:11" x14ac:dyDescent="0.25">
      <c r="A3096" t="str">
        <f>HYPERLINK("http://www.corstruth.com.au/NT/1408671_DWD1_cs.png","1408671_DWD1_A4")</f>
        <v>1408671_DWD1_A4</v>
      </c>
      <c r="B3096" t="str">
        <f>HYPERLINK("http://www.corstruth.com.au/NT/PNG2/1408671_DWD1_cs.png","1408671_DWD1_0.25m Bins")</f>
        <v>1408671_DWD1_0.25m Bins</v>
      </c>
      <c r="C3096" t="str">
        <f>HYPERLINK("http://www.corstruth.com.au/NT/CSV/1408671_DWD1.csv","1408671_DWD1_CSV File 1m Bins")</f>
        <v>1408671_DWD1_CSV File 1m Bins</v>
      </c>
      <c r="D3096">
        <v>1408671</v>
      </c>
      <c r="E3096" t="s">
        <v>2165</v>
      </c>
      <c r="G3096" t="s">
        <v>2177</v>
      </c>
      <c r="I3096">
        <v>-15.786799999999999</v>
      </c>
      <c r="J3096">
        <v>133.28100000000001</v>
      </c>
      <c r="K3096" t="str">
        <f>HYPERLINK("http://geology.data.nt.gov.au/NVCLDataServices/mosaic.html?datasetid=e2e60b10-bb8e-4561-94e0-bd324730cbe","1408671_DWD1_Core Image")</f>
        <v>1408671_DWD1_Core Image</v>
      </c>
    </row>
    <row r="3097" spans="1:11" x14ac:dyDescent="0.25">
      <c r="A3097" t="str">
        <f>HYPERLINK("http://www.corstruth.com.au/NT/1409463_DDHFO1_cs.png","1409463_DDHFO1_A4")</f>
        <v>1409463_DDHFO1_A4</v>
      </c>
      <c r="B3097" t="str">
        <f>HYPERLINK("http://www.corstruth.com.au/NT/PNG2/1409463_DDHFO1_cs.png","1409463_DDHFO1_0.25m Bins")</f>
        <v>1409463_DDHFO1_0.25m Bins</v>
      </c>
      <c r="C3097" t="str">
        <f>HYPERLINK("http://www.corstruth.com.au/NT/CSV/1409463_DDHFO1.csv","1409463_DDHFO1_CSV File 1m Bins")</f>
        <v>1409463_DDHFO1_CSV File 1m Bins</v>
      </c>
      <c r="D3097">
        <v>1409463</v>
      </c>
      <c r="E3097" t="s">
        <v>2165</v>
      </c>
      <c r="G3097" t="s">
        <v>2177</v>
      </c>
      <c r="I3097">
        <v>-16.705500000000001</v>
      </c>
      <c r="J3097">
        <v>136.68199999999999</v>
      </c>
      <c r="K3097" t="str">
        <f>HYPERLINK("http://geology.data.nt.gov.au/NVCLDataServices/mosaic.html?datasetid=8c42c263-39df-40c0-a3df-1f30680f5d2","1409463_DDHFO1_Core Image")</f>
        <v>1409463_DDHFO1_Core Image</v>
      </c>
    </row>
    <row r="3098" spans="1:11" x14ac:dyDescent="0.25">
      <c r="A3098" t="str">
        <f>HYPERLINK("http://www.corstruth.com.au/NT/1519196_DDHHO1_cs.png","1519196_DDHHO1_A4")</f>
        <v>1519196_DDHHO1_A4</v>
      </c>
      <c r="B3098" t="str">
        <f>HYPERLINK("http://www.corstruth.com.au/NT/PNG2/1519196_DDHHO1_cs.png","1519196_DDHHO1_0.25m Bins")</f>
        <v>1519196_DDHHO1_0.25m Bins</v>
      </c>
      <c r="C3098" t="str">
        <f>HYPERLINK("http://www.corstruth.com.au/NT/CSV/1519196_DDHHO1.csv","1519196_DDHHO1_CSV File 1m Bins")</f>
        <v>1519196_DDHHO1_CSV File 1m Bins</v>
      </c>
      <c r="D3098">
        <v>1519196</v>
      </c>
      <c r="E3098" t="s">
        <v>2165</v>
      </c>
      <c r="G3098" t="s">
        <v>2177</v>
      </c>
      <c r="I3098">
        <v>-16.717199999999998</v>
      </c>
      <c r="J3098">
        <v>136.613</v>
      </c>
    </row>
    <row r="3099" spans="1:11" x14ac:dyDescent="0.25">
      <c r="A3099" t="str">
        <f>HYPERLINK("http://www.corstruth.com.au/NT/1574926_DD91HC1_cs.png","1574926_DD91HC1_A4")</f>
        <v>1574926_DD91HC1_A4</v>
      </c>
      <c r="B3099" t="str">
        <f>HYPERLINK("http://www.corstruth.com.au/NT/PNG2/1574926_DD91HC1_cs.png","1574926_DD91HC1_0.25m Bins")</f>
        <v>1574926_DD91HC1_0.25m Bins</v>
      </c>
      <c r="C3099" t="str">
        <f>HYPERLINK("http://www.corstruth.com.au/NT/CSV/1574926_DD91HC1.csv","1574926_DD91HC1_CSV File 1m Bins")</f>
        <v>1574926_DD91HC1_CSV File 1m Bins</v>
      </c>
      <c r="D3099">
        <v>1574926</v>
      </c>
      <c r="E3099" t="s">
        <v>2165</v>
      </c>
      <c r="G3099" t="s">
        <v>2177</v>
      </c>
      <c r="I3099">
        <v>-17.163900000000002</v>
      </c>
      <c r="J3099">
        <v>137.792</v>
      </c>
      <c r="K3099" t="str">
        <f>HYPERLINK("http://geology.data.nt.gov.au/NVCLDataServices/mosaic.html?datasetid=7bb0a86f-e461-4558-af03-9f583d1bc05","1574926_DD91HC1_Core Image")</f>
        <v>1574926_DD91HC1_Core Image</v>
      </c>
    </row>
    <row r="3100" spans="1:11" x14ac:dyDescent="0.25">
      <c r="A3100" t="str">
        <f>HYPERLINK("http://www.corstruth.com.au/NT/1574930_DD93HC3_cs.png","1574930_DD93HC3_A4")</f>
        <v>1574930_DD93HC3_A4</v>
      </c>
      <c r="B3100" t="str">
        <f>HYPERLINK("http://www.corstruth.com.au/NT/PNG2/1574930_DD93HC3_cs.png","1574930_DD93HC3_0.25m Bins")</f>
        <v>1574930_DD93HC3_0.25m Bins</v>
      </c>
      <c r="C3100" t="str">
        <f>HYPERLINK("http://www.corstruth.com.au/NT/CSV/1574930_DD93HC3.csv","1574930_DD93HC3_CSV File 1m Bins")</f>
        <v>1574930_DD93HC3_CSV File 1m Bins</v>
      </c>
      <c r="D3100">
        <v>1574930</v>
      </c>
      <c r="E3100" t="s">
        <v>2165</v>
      </c>
      <c r="G3100" t="s">
        <v>2177</v>
      </c>
      <c r="I3100">
        <v>-17.055199999999999</v>
      </c>
      <c r="J3100">
        <v>137.947</v>
      </c>
    </row>
    <row r="3101" spans="1:11" x14ac:dyDescent="0.25">
      <c r="A3101" t="str">
        <f>HYPERLINK("http://www.corstruth.com.au/NT/1607321_DDHMN1_cs.png","1607321_DDHMN1_A4")</f>
        <v>1607321_DDHMN1_A4</v>
      </c>
      <c r="B3101" t="str">
        <f>HYPERLINK("http://www.corstruth.com.au/NT/PNG2/1607321_DDHMN1_cs.png","1607321_DDHMN1_0.25m Bins")</f>
        <v>1607321_DDHMN1_0.25m Bins</v>
      </c>
      <c r="C3101" t="str">
        <f>HYPERLINK("http://www.corstruth.com.au/NT/CSV/1607321_DDHMN1.csv","1607321_DDHMN1_CSV File 1m Bins")</f>
        <v>1607321_DDHMN1_CSV File 1m Bins</v>
      </c>
      <c r="D3101">
        <v>1607321</v>
      </c>
      <c r="E3101" t="s">
        <v>2165</v>
      </c>
      <c r="G3101" t="s">
        <v>2177</v>
      </c>
      <c r="I3101">
        <v>-17.1142</v>
      </c>
      <c r="J3101">
        <v>135.88300000000001</v>
      </c>
      <c r="K3101" t="str">
        <f>HYPERLINK("http://geology.data.nt.gov.au/NVCLDataServices/mosaic.html?datasetid=e1ffce50-637e-4935-8f8f-cb782ed5ca2","1607321_DDHMN1_Core Image")</f>
        <v>1607321_DDHMN1_Core Image</v>
      </c>
    </row>
    <row r="3102" spans="1:11" x14ac:dyDescent="0.25">
      <c r="A3102" t="str">
        <f>HYPERLINK("http://www.corstruth.com.au/NT/1607325_DDHMN2_cs.png","1607325_DDHMN2_A4")</f>
        <v>1607325_DDHMN2_A4</v>
      </c>
      <c r="B3102" t="str">
        <f>HYPERLINK("http://www.corstruth.com.au/NT/PNG2/1607325_DDHMN2_cs.png","1607325_DDHMN2_0.25m Bins")</f>
        <v>1607325_DDHMN2_0.25m Bins</v>
      </c>
      <c r="C3102" t="str">
        <f>HYPERLINK("http://www.corstruth.com.au/NT/CSV/1607325_DDHMN2.csv","1607325_DDHMN2_CSV File 1m Bins")</f>
        <v>1607325_DDHMN2_CSV File 1m Bins</v>
      </c>
      <c r="D3102">
        <v>1607325</v>
      </c>
      <c r="E3102" t="s">
        <v>2165</v>
      </c>
      <c r="G3102" t="s">
        <v>2177</v>
      </c>
      <c r="I3102">
        <v>-17.1172</v>
      </c>
      <c r="J3102">
        <v>135.852</v>
      </c>
      <c r="K3102" t="str">
        <f>HYPERLINK("http://geology.data.nt.gov.au/NVCLDataServices/mosaic.html?datasetid=5945988d-58ae-4cb4-ad46-1bc2b56493a","1607325_DDHMN2_Core Image")</f>
        <v>1607325_DDHMN2_Core Image</v>
      </c>
    </row>
    <row r="3103" spans="1:11" x14ac:dyDescent="0.25">
      <c r="A3103" t="str">
        <f>HYPERLINK("http://www.corstruth.com.au/NT/1607668_DDH11_cs.png","1607668_DDH11_A4")</f>
        <v>1607668_DDH11_A4</v>
      </c>
      <c r="B3103" t="str">
        <f>HYPERLINK("http://www.corstruth.com.au/NT/PNG2/1607668_DDH11_cs.png","1607668_DDH11_0.25m Bins")</f>
        <v>1607668_DDH11_0.25m Bins</v>
      </c>
      <c r="C3103" t="str">
        <f>HYPERLINK("http://www.corstruth.com.au/NT/CSV/1607668_DDH11.csv","1607668_DDH11_CSV File 1m Bins")</f>
        <v>1607668_DDH11_CSV File 1m Bins</v>
      </c>
      <c r="D3103">
        <v>1607668</v>
      </c>
      <c r="E3103" t="s">
        <v>2165</v>
      </c>
      <c r="G3103" t="s">
        <v>2177</v>
      </c>
      <c r="I3103">
        <v>-16.427099999999999</v>
      </c>
      <c r="J3103">
        <v>135.191</v>
      </c>
    </row>
    <row r="3104" spans="1:11" x14ac:dyDescent="0.25">
      <c r="A3104" t="str">
        <f>HYPERLINK("http://www.corstruth.com.au/NT/1617030_McA6_cs.png","1617030_McA6_A4")</f>
        <v>1617030_McA6_A4</v>
      </c>
      <c r="B3104" t="str">
        <f>HYPERLINK("http://www.corstruth.com.au/NT/PNG2/1617030_McA6_cs.png","1617030_McA6_0.25m Bins")</f>
        <v>1617030_McA6_0.25m Bins</v>
      </c>
      <c r="C3104" t="str">
        <f>HYPERLINK("http://www.corstruth.com.au/NT/CSV/1617030_McA6.csv","1617030_McA6_CSV File 1m Bins")</f>
        <v>1617030_McA6_CSV File 1m Bins</v>
      </c>
      <c r="D3104">
        <v>1617030</v>
      </c>
      <c r="E3104" t="s">
        <v>2165</v>
      </c>
      <c r="G3104" t="s">
        <v>2177</v>
      </c>
      <c r="I3104">
        <v>-16.017199999999999</v>
      </c>
      <c r="J3104">
        <v>135.54400000000001</v>
      </c>
    </row>
    <row r="3105" spans="1:11" x14ac:dyDescent="0.25">
      <c r="A3105" t="str">
        <f>HYPERLINK("http://www.corstruth.com.au/NT/1654216_82_2_cs.png","1654216_82_2_A4")</f>
        <v>1654216_82_2_A4</v>
      </c>
      <c r="B3105" t="str">
        <f>HYPERLINK("http://www.corstruth.com.au/NT/PNG2/1654216_82_2_cs.png","1654216_82_2_0.25m Bins")</f>
        <v>1654216_82_2_0.25m Bins</v>
      </c>
      <c r="C3105" t="str">
        <f>HYPERLINK("http://www.corstruth.com.au/NT/CSV/1654216_82_2.csv","1654216_82_2_CSV File 1m Bins")</f>
        <v>1654216_82_2_CSV File 1m Bins</v>
      </c>
      <c r="D3105">
        <v>1654216</v>
      </c>
      <c r="E3105" t="s">
        <v>2165</v>
      </c>
      <c r="G3105" t="s">
        <v>2177</v>
      </c>
      <c r="I3105">
        <v>-15.9916</v>
      </c>
      <c r="J3105">
        <v>135.33099999999999</v>
      </c>
      <c r="K3105" t="str">
        <f>HYPERLINK("http://geology.data.nt.gov.au/NVCLDataServices/mosaic.html?datasetid=5f9c84b7-d7fb-4b52-8421-cee62cfc2ec","1654216_82_2_Core Image")</f>
        <v>1654216_82_2_Core Image</v>
      </c>
    </row>
    <row r="3106" spans="1:11" x14ac:dyDescent="0.25">
      <c r="A3106" t="str">
        <f>HYPERLINK("http://www.corstruth.com.au/NT/1654220_82_3_cs.png","1654220_82_3_A4")</f>
        <v>1654220_82_3_A4</v>
      </c>
      <c r="B3106" t="str">
        <f>HYPERLINK("http://www.corstruth.com.au/NT/PNG2/1654220_82_3_cs.png","1654220_82_3_0.25m Bins")</f>
        <v>1654220_82_3_0.25m Bins</v>
      </c>
      <c r="C3106" t="str">
        <f>HYPERLINK("http://www.corstruth.com.au/NT/CSV/1654220_82_3.csv","1654220_82_3_CSV File 1m Bins")</f>
        <v>1654220_82_3_CSV File 1m Bins</v>
      </c>
      <c r="D3106">
        <v>1654220</v>
      </c>
      <c r="E3106" t="s">
        <v>2165</v>
      </c>
      <c r="G3106" t="s">
        <v>2177</v>
      </c>
      <c r="I3106">
        <v>-15.734400000000001</v>
      </c>
      <c r="J3106">
        <v>135.267</v>
      </c>
      <c r="K3106" t="str">
        <f>HYPERLINK("http://geology.data.nt.gov.au/NVCLDataServices/mosaic.html?datasetid=fdd9986a-0f7c-44dd-b69c-db95dcc1f57","1654220_82_3_Core Image")</f>
        <v>1654220_82_3_Core Image</v>
      </c>
    </row>
    <row r="3107" spans="1:11" x14ac:dyDescent="0.25">
      <c r="A3107" t="str">
        <f>HYPERLINK("http://www.corstruth.com.au/NT/1654224_82_4_cs.png","1654224_82_4_A4")</f>
        <v>1654224_82_4_A4</v>
      </c>
      <c r="B3107" t="str">
        <f>HYPERLINK("http://www.corstruth.com.au/NT/PNG2/1654224_82_4_cs.png","1654224_82_4_0.25m Bins")</f>
        <v>1654224_82_4_0.25m Bins</v>
      </c>
      <c r="C3107" t="str">
        <f>HYPERLINK("http://www.corstruth.com.au/NT/CSV/1654224_82_4.csv","1654224_82_4_CSV File 1m Bins")</f>
        <v>1654224_82_4_CSV File 1m Bins</v>
      </c>
      <c r="D3107">
        <v>1654224</v>
      </c>
      <c r="E3107" t="s">
        <v>2165</v>
      </c>
      <c r="G3107" t="s">
        <v>2177</v>
      </c>
      <c r="I3107">
        <v>-15.4955</v>
      </c>
      <c r="J3107">
        <v>135.12200000000001</v>
      </c>
      <c r="K3107" t="str">
        <f>HYPERLINK("http://geology.data.nt.gov.au/NVCLDataServices/mosaic.html?datasetid=9b70d4b3-4285-44b2-88fb-1793e1d02d2","1654224_82_4_Core Image")</f>
        <v>1654224_82_4_Core Image</v>
      </c>
    </row>
    <row r="3108" spans="1:11" x14ac:dyDescent="0.25">
      <c r="A3108" t="str">
        <f>HYPERLINK("http://www.corstruth.com.au/NT/1654228_82_1_cs.png","1654228_82_1_A4")</f>
        <v>1654228_82_1_A4</v>
      </c>
      <c r="B3108" t="str">
        <f>HYPERLINK("http://www.corstruth.com.au/NT/PNG2/1654228_82_1_cs.png","1654228_82_1_0.25m Bins")</f>
        <v>1654228_82_1_0.25m Bins</v>
      </c>
      <c r="C3108" t="str">
        <f>HYPERLINK("http://www.corstruth.com.au/NT/CSV/1654228_82_1.csv","1654228_82_1_CSV File 1m Bins")</f>
        <v>1654228_82_1_CSV File 1m Bins</v>
      </c>
      <c r="D3108">
        <v>1654228</v>
      </c>
      <c r="E3108" t="s">
        <v>2165</v>
      </c>
      <c r="G3108" t="s">
        <v>2177</v>
      </c>
      <c r="I3108">
        <v>-16.158899999999999</v>
      </c>
      <c r="J3108">
        <v>135.30099999999999</v>
      </c>
      <c r="K3108" t="str">
        <f>HYPERLINK("http://geology.data.nt.gov.au/NVCLDataServices/mosaic.html?datasetid=4e93d140-d9f2-4e14-a323-caa35116bf7","1654228_82_1_Core Image")</f>
        <v>1654228_82_1_Core Image</v>
      </c>
    </row>
    <row r="3109" spans="1:11" x14ac:dyDescent="0.25">
      <c r="A3109" t="str">
        <f>HYPERLINK("http://www.corstruth.com.au/NT/1672984_82_5_cs.png","1672984_82_5_A4")</f>
        <v>1672984_82_5_A4</v>
      </c>
      <c r="B3109" t="str">
        <f>HYPERLINK("http://www.corstruth.com.au/NT/PNG2/1672984_82_5_cs.png","1672984_82_5_0.25m Bins")</f>
        <v>1672984_82_5_0.25m Bins</v>
      </c>
      <c r="C3109" t="str">
        <f>HYPERLINK("http://www.corstruth.com.au/NT/CSV/1672984_82_5.csv","1672984_82_5_CSV File 1m Bins")</f>
        <v>1672984_82_5_CSV File 1m Bins</v>
      </c>
      <c r="D3109">
        <v>1672984</v>
      </c>
      <c r="E3109" t="s">
        <v>2165</v>
      </c>
      <c r="G3109" t="s">
        <v>2177</v>
      </c>
      <c r="I3109">
        <v>-16.2211</v>
      </c>
      <c r="J3109">
        <v>135.971</v>
      </c>
    </row>
    <row r="3110" spans="1:11" x14ac:dyDescent="0.25">
      <c r="A3110" t="str">
        <f>HYPERLINK("http://www.corstruth.com.au/NT/1672988_82_6_cs.png","1672988_82_6_A4")</f>
        <v>1672988_82_6_A4</v>
      </c>
      <c r="B3110" t="str">
        <f>HYPERLINK("http://www.corstruth.com.au/NT/PNG2/1672988_82_6_cs.png","1672988_82_6_0.25m Bins")</f>
        <v>1672988_82_6_0.25m Bins</v>
      </c>
      <c r="C3110" t="str">
        <f>HYPERLINK("http://www.corstruth.com.au/NT/CSV/1672988_82_6.csv","1672988_82_6_CSV File 1m Bins")</f>
        <v>1672988_82_6_CSV File 1m Bins</v>
      </c>
      <c r="D3110">
        <v>1672988</v>
      </c>
      <c r="E3110" t="s">
        <v>2165</v>
      </c>
      <c r="G3110" t="s">
        <v>2177</v>
      </c>
      <c r="I3110">
        <v>-16.712199999999999</v>
      </c>
      <c r="J3110">
        <v>136.238</v>
      </c>
      <c r="K3110" t="str">
        <f>HYPERLINK("http://geology.data.nt.gov.au/NVCLDataServices/mosaic.html?datasetid=b0e31cdc-527f-4510-8700-fc7b0f48048","1672988_82_6_Core Image")</f>
        <v>1672988_82_6_Core Image</v>
      </c>
    </row>
    <row r="3111" spans="1:11" x14ac:dyDescent="0.25">
      <c r="A3111" t="str">
        <f>HYPERLINK("http://www.corstruth.com.au/NT/1672992_82_7_cs.png","1672992_82_7_A4")</f>
        <v>1672992_82_7_A4</v>
      </c>
      <c r="B3111" t="str">
        <f>HYPERLINK("http://www.corstruth.com.au/NT/PNG2/1672992_82_7_cs.png","1672992_82_7_0.25m Bins")</f>
        <v>1672992_82_7_0.25m Bins</v>
      </c>
      <c r="C3111" t="str">
        <f>HYPERLINK("http://www.corstruth.com.au/NT/CSV/1672992_82_7.csv","1672992_82_7_CSV File 1m Bins")</f>
        <v>1672992_82_7_CSV File 1m Bins</v>
      </c>
      <c r="D3111">
        <v>1672992</v>
      </c>
      <c r="E3111" t="s">
        <v>2165</v>
      </c>
      <c r="G3111" t="s">
        <v>2177</v>
      </c>
      <c r="I3111">
        <v>-16.778600000000001</v>
      </c>
      <c r="J3111">
        <v>136</v>
      </c>
    </row>
    <row r="3112" spans="1:11" x14ac:dyDescent="0.25">
      <c r="A3112" t="str">
        <f>HYPERLINK("http://www.corstruth.com.au/NT/1672996_82_8_cs.png","1672996_82_8_A4")</f>
        <v>1672996_82_8_A4</v>
      </c>
      <c r="B3112" t="str">
        <f>HYPERLINK("http://www.corstruth.com.au/NT/PNG2/1672996_82_8_cs.png","1672996_82_8_0.25m Bins")</f>
        <v>1672996_82_8_0.25m Bins</v>
      </c>
      <c r="C3112" t="str">
        <f>HYPERLINK("http://www.corstruth.com.au/NT/CSV/1672996_82_8.csv","1672996_82_8_CSV File 1m Bins")</f>
        <v>1672996_82_8_CSV File 1m Bins</v>
      </c>
      <c r="D3112">
        <v>1672996</v>
      </c>
      <c r="E3112" t="s">
        <v>2165</v>
      </c>
      <c r="G3112" t="s">
        <v>2177</v>
      </c>
      <c r="I3112">
        <v>-16.690799999999999</v>
      </c>
      <c r="J3112">
        <v>135.827</v>
      </c>
    </row>
    <row r="3113" spans="1:11" x14ac:dyDescent="0.25">
      <c r="A3113" t="str">
        <f>HYPERLINK("http://www.corstruth.com.au/NT/1692475_LY1_cs.png","1692475_LY1_A4")</f>
        <v>1692475_LY1_A4</v>
      </c>
      <c r="B3113" t="str">
        <f>HYPERLINK("http://www.corstruth.com.au/NT/PNG2/1692475_LY1_cs.png","1692475_LY1_0.25m Bins")</f>
        <v>1692475_LY1_0.25m Bins</v>
      </c>
      <c r="C3113" t="str">
        <f>HYPERLINK("http://www.corstruth.com.au/NT/CSV/1692475_LY1.csv","1692475_LY1_CSV File 1m Bins")</f>
        <v>1692475_LY1_CSV File 1m Bins</v>
      </c>
      <c r="D3113">
        <v>1692475</v>
      </c>
      <c r="E3113" t="s">
        <v>2165</v>
      </c>
      <c r="G3113" t="s">
        <v>2177</v>
      </c>
      <c r="I3113">
        <v>-16.612400000000001</v>
      </c>
      <c r="J3113">
        <v>135.86799999999999</v>
      </c>
    </row>
    <row r="3114" spans="1:11" x14ac:dyDescent="0.25">
      <c r="A3114" t="str">
        <f>HYPERLINK("http://www.corstruth.com.au/NT/1852240_MD4_cs.png","1852240_MD4_A4")</f>
        <v>1852240_MD4_A4</v>
      </c>
      <c r="B3114" t="str">
        <f>HYPERLINK("http://www.corstruth.com.au/NT/PNG2/1852240_MD4_cs.png","1852240_MD4_0.25m Bins")</f>
        <v>1852240_MD4_0.25m Bins</v>
      </c>
      <c r="C3114" t="str">
        <f>HYPERLINK("http://www.corstruth.com.au/NT/CSV/1852240_MD4.csv","1852240_MD4_CSV File 1m Bins")</f>
        <v>1852240_MD4_CSV File 1m Bins</v>
      </c>
      <c r="D3114">
        <v>1852240</v>
      </c>
      <c r="E3114" t="s">
        <v>2165</v>
      </c>
      <c r="G3114" t="s">
        <v>2177</v>
      </c>
      <c r="I3114">
        <v>-16.940100000000001</v>
      </c>
      <c r="J3114">
        <v>135.30699999999999</v>
      </c>
      <c r="K3114" t="str">
        <f>HYPERLINK("http://geology.data.nt.gov.au/NVCLDataServices/mosaic.html?datasetid=26acc0db-f849-4a62-b982-b5c340b3424","1852240_MD4_Core Image")</f>
        <v>1852240_MD4_Core Image</v>
      </c>
    </row>
    <row r="3115" spans="1:11" x14ac:dyDescent="0.25">
      <c r="A3115" t="str">
        <f>HYPERLINK("http://www.corstruth.com.au/NT/1852248_MD2_cs.png","1852248_MD2_A4")</f>
        <v>1852248_MD2_A4</v>
      </c>
      <c r="B3115" t="str">
        <f>HYPERLINK("http://www.corstruth.com.au/NT/PNG2/1852248_MD2_cs.png","1852248_MD2_0.25m Bins")</f>
        <v>1852248_MD2_0.25m Bins</v>
      </c>
      <c r="C3115" t="str">
        <f>HYPERLINK("http://www.corstruth.com.au/NT/CSV/1852248_MD2.csv","1852248_MD2_CSV File 1m Bins")</f>
        <v>1852248_MD2_CSV File 1m Bins</v>
      </c>
      <c r="D3115">
        <v>1852248</v>
      </c>
      <c r="E3115" t="s">
        <v>2165</v>
      </c>
      <c r="G3115" t="s">
        <v>2177</v>
      </c>
      <c r="I3115">
        <v>-17.130500000000001</v>
      </c>
      <c r="J3115">
        <v>135.29499999999999</v>
      </c>
    </row>
    <row r="3116" spans="1:11" x14ac:dyDescent="0.25">
      <c r="A3116" t="str">
        <f>HYPERLINK("http://www.corstruth.com.au/NT/1852252_MD3_cs.png","1852252_MD3_A4")</f>
        <v>1852252_MD3_A4</v>
      </c>
      <c r="B3116" t="str">
        <f>HYPERLINK("http://www.corstruth.com.au/NT/PNG2/1852252_MD3_cs.png","1852252_MD3_0.25m Bins")</f>
        <v>1852252_MD3_0.25m Bins</v>
      </c>
      <c r="C3116" t="str">
        <f>HYPERLINK("http://www.corstruth.com.au/NT/CSV/1852252_MD3.csv","1852252_MD3_CSV File 1m Bins")</f>
        <v>1852252_MD3_CSV File 1m Bins</v>
      </c>
      <c r="D3116">
        <v>1852252</v>
      </c>
      <c r="E3116" t="s">
        <v>2165</v>
      </c>
      <c r="G3116" t="s">
        <v>2177</v>
      </c>
      <c r="I3116">
        <v>-17.6996</v>
      </c>
      <c r="J3116">
        <v>135.08500000000001</v>
      </c>
    </row>
    <row r="3117" spans="1:11" x14ac:dyDescent="0.25">
      <c r="A3117" t="str">
        <f>HYPERLINK("http://www.corstruth.com.au/NT/1852256_MD5_cs.png","1852256_MD5_A4")</f>
        <v>1852256_MD5_A4</v>
      </c>
      <c r="B3117" t="str">
        <f>HYPERLINK("http://www.corstruth.com.au/NT/PNG2/1852256_MD5_cs.png","1852256_MD5_0.25m Bins")</f>
        <v>1852256_MD5_0.25m Bins</v>
      </c>
      <c r="C3117" t="str">
        <f>HYPERLINK("http://www.corstruth.com.au/NT/CSV/1852256_MD5.csv","1852256_MD5_CSV File 1m Bins")</f>
        <v>1852256_MD5_CSV File 1m Bins</v>
      </c>
      <c r="D3117">
        <v>1852256</v>
      </c>
      <c r="E3117" t="s">
        <v>2165</v>
      </c>
      <c r="G3117" t="s">
        <v>2177</v>
      </c>
      <c r="I3117">
        <v>-17.081600000000002</v>
      </c>
      <c r="J3117">
        <v>135.38200000000001</v>
      </c>
    </row>
    <row r="3118" spans="1:11" x14ac:dyDescent="0.25">
      <c r="A3118" t="str">
        <f>HYPERLINK("http://www.corstruth.com.au/NT/1923288_DDHMA1_cs.png","1923288_DDHMA1_A4")</f>
        <v>1923288_DDHMA1_A4</v>
      </c>
      <c r="B3118" t="str">
        <f>HYPERLINK("http://www.corstruth.com.au/NT/PNG2/1923288_DDHMA1_cs.png","1923288_DDHMA1_0.25m Bins")</f>
        <v>1923288_DDHMA1_0.25m Bins</v>
      </c>
      <c r="C3118" t="str">
        <f>HYPERLINK("http://www.corstruth.com.au/NT/CSV/1923288_DDHMA1.csv","1923288_DDHMA1_CSV File 1m Bins")</f>
        <v>1923288_DDHMA1_CSV File 1m Bins</v>
      </c>
      <c r="D3118">
        <v>1923288</v>
      </c>
      <c r="E3118" t="s">
        <v>2165</v>
      </c>
      <c r="G3118" t="s">
        <v>2177</v>
      </c>
      <c r="I3118">
        <v>-16.898599999999998</v>
      </c>
      <c r="J3118">
        <v>136.48699999999999</v>
      </c>
    </row>
    <row r="3119" spans="1:11" x14ac:dyDescent="0.25">
      <c r="A3119" t="str">
        <f>HYPERLINK("http://www.corstruth.com.au/NT/1923292_DDHMA2_cs.png","1923292_DDHMA2_A4")</f>
        <v>1923292_DDHMA2_A4</v>
      </c>
      <c r="B3119" t="str">
        <f>HYPERLINK("http://www.corstruth.com.au/NT/PNG2/1923292_DDHMA2_cs.png","1923292_DDHMA2_0.25m Bins")</f>
        <v>1923292_DDHMA2_0.25m Bins</v>
      </c>
      <c r="C3119" t="str">
        <f>HYPERLINK("http://www.corstruth.com.au/NT/CSV/1923292_DDHMA2.csv","1923292_DDHMA2_CSV File 1m Bins")</f>
        <v>1923292_DDHMA2_CSV File 1m Bins</v>
      </c>
      <c r="D3119">
        <v>1923292</v>
      </c>
      <c r="E3119" t="s">
        <v>2165</v>
      </c>
      <c r="G3119" t="s">
        <v>2177</v>
      </c>
      <c r="I3119">
        <v>-16.888999999999999</v>
      </c>
      <c r="J3119">
        <v>136.45400000000001</v>
      </c>
      <c r="K3119" t="str">
        <f>HYPERLINK("http://geology.data.nt.gov.au/NVCLDataServices/mosaic.html?datasetid=f7d21e0b-80da-4dc3-a123-4b0267562c0","1923292_DDHMA2_Core Image")</f>
        <v>1923292_DDHMA2_Core Image</v>
      </c>
    </row>
    <row r="3120" spans="1:11" x14ac:dyDescent="0.25">
      <c r="A3120" t="str">
        <f>HYPERLINK("http://www.corstruth.com.au/NT/2329091_MYD004_cs.png","2329091_MYD004_A4")</f>
        <v>2329091_MYD004_A4</v>
      </c>
      <c r="B3120" t="str">
        <f>HYPERLINK("http://www.corstruth.com.au/NT/PNG2/2329091_MYD004_cs.png","2329091_MYD004_0.25m Bins")</f>
        <v>2329091_MYD004_0.25m Bins</v>
      </c>
      <c r="C3120" t="str">
        <f>HYPERLINK("http://www.corstruth.com.au/NT/CSV/2329091_MYD004.csv","2329091_MYD004_CSV File 1m Bins")</f>
        <v>2329091_MYD004_CSV File 1m Bins</v>
      </c>
      <c r="D3120">
        <v>2329091</v>
      </c>
      <c r="E3120" t="s">
        <v>2165</v>
      </c>
      <c r="G3120" t="s">
        <v>2177</v>
      </c>
      <c r="I3120">
        <v>-15.5631</v>
      </c>
      <c r="J3120">
        <v>135.845</v>
      </c>
    </row>
    <row r="3121" spans="1:11" x14ac:dyDescent="0.25">
      <c r="A3121" t="str">
        <f>HYPERLINK("http://www.corstruth.com.au/NT/2329103_MYD1_cs.png","2329103_MYD1_A4")</f>
        <v>2329103_MYD1_A4</v>
      </c>
      <c r="B3121" t="str">
        <f>HYPERLINK("http://www.corstruth.com.au/NT/PNG2/2329103_MYD1_cs.png","2329103_MYD1_0.25m Bins")</f>
        <v>2329103_MYD1_0.25m Bins</v>
      </c>
      <c r="C3121" t="str">
        <f>HYPERLINK("http://www.corstruth.com.au/NT/CSV/2329103_MYD1.csv","2329103_MYD1_CSV File 1m Bins")</f>
        <v>2329103_MYD1_CSV File 1m Bins</v>
      </c>
      <c r="D3121">
        <v>2329103</v>
      </c>
      <c r="E3121" t="s">
        <v>2165</v>
      </c>
      <c r="G3121" t="s">
        <v>2177</v>
      </c>
      <c r="I3121">
        <v>-15.2958</v>
      </c>
      <c r="J3121">
        <v>135.91</v>
      </c>
    </row>
    <row r="3122" spans="1:11" x14ac:dyDescent="0.25">
      <c r="A3122" t="str">
        <f>HYPERLINK("http://www.corstruth.com.au/NT/2331261_TRD2_cs.png","2331261_TRD2_A4")</f>
        <v>2331261_TRD2_A4</v>
      </c>
      <c r="B3122" t="str">
        <f>HYPERLINK("http://www.corstruth.com.au/NT/PNG2/2331261_TRD2_cs.png","2331261_TRD2_0.25m Bins")</f>
        <v>2331261_TRD2_0.25m Bins</v>
      </c>
      <c r="C3122" t="str">
        <f>HYPERLINK("http://www.corstruth.com.au/NT/CSV/2331261_TRD2.csv","2331261_TRD2_CSV File 1m Bins")</f>
        <v>2331261_TRD2_CSV File 1m Bins</v>
      </c>
      <c r="D3122">
        <v>2331261</v>
      </c>
      <c r="E3122" t="s">
        <v>2165</v>
      </c>
      <c r="G3122" t="s">
        <v>2177</v>
      </c>
      <c r="I3122">
        <v>-15.3294</v>
      </c>
      <c r="J3122">
        <v>135.285</v>
      </c>
    </row>
    <row r="3123" spans="1:11" x14ac:dyDescent="0.25">
      <c r="A3123" t="str">
        <f>HYPERLINK("http://www.corstruth.com.au/NT/2339681_YED1_cs.png","2339681_YED1_A4")</f>
        <v>2339681_YED1_A4</v>
      </c>
      <c r="B3123" t="str">
        <f>HYPERLINK("http://www.corstruth.com.au/NT/PNG2/2339681_YED1_cs.png","2339681_YED1_0.25m Bins")</f>
        <v>2339681_YED1_0.25m Bins</v>
      </c>
      <c r="C3123" t="str">
        <f>HYPERLINK("http://www.corstruth.com.au/NT/CSV/2339681_YED1.csv","2339681_YED1_CSV File 1m Bins")</f>
        <v>2339681_YED1_CSV File 1m Bins</v>
      </c>
      <c r="D3123">
        <v>2339681</v>
      </c>
      <c r="E3123" t="s">
        <v>2165</v>
      </c>
      <c r="G3123" t="s">
        <v>2177</v>
      </c>
      <c r="I3123">
        <v>-15.4108</v>
      </c>
      <c r="J3123">
        <v>135.553</v>
      </c>
    </row>
    <row r="3124" spans="1:11" x14ac:dyDescent="0.25">
      <c r="A3124" t="str">
        <f>HYPERLINK("http://www.corstruth.com.au/NT/2341994_MY4_cs.png","2341994_MY4_A4")</f>
        <v>2341994_MY4_A4</v>
      </c>
      <c r="B3124" t="str">
        <f>HYPERLINK("http://www.corstruth.com.au/NT/PNG2/2341994_MY4_cs.png","2341994_MY4_0.25m Bins")</f>
        <v>2341994_MY4_0.25m Bins</v>
      </c>
      <c r="C3124" t="str">
        <f>HYPERLINK("http://www.corstruth.com.au/NT/CSV/2341994_MY4.csv","2341994_MY4_CSV File 1m Bins")</f>
        <v>2341994_MY4_CSV File 1m Bins</v>
      </c>
      <c r="D3124">
        <v>2341994</v>
      </c>
      <c r="E3124" t="s">
        <v>2165</v>
      </c>
      <c r="G3124" t="s">
        <v>2177</v>
      </c>
      <c r="I3124">
        <v>-16.601900000000001</v>
      </c>
      <c r="J3124">
        <v>136.059</v>
      </c>
    </row>
    <row r="3125" spans="1:11" x14ac:dyDescent="0.25">
      <c r="A3125" t="str">
        <f>HYPERLINK("http://www.corstruth.com.au/NT/2341998_MY5_cs.png","2341998_MY5_A4")</f>
        <v>2341998_MY5_A4</v>
      </c>
      <c r="B3125" t="str">
        <f>HYPERLINK("http://www.corstruth.com.au/NT/PNG2/2341998_MY5_cs.png","2341998_MY5_0.25m Bins")</f>
        <v>2341998_MY5_0.25m Bins</v>
      </c>
      <c r="C3125" t="str">
        <f>HYPERLINK("http://www.corstruth.com.au/NT/CSV/2341998_MY5.csv","2341998_MY5_CSV File 1m Bins")</f>
        <v>2341998_MY5_CSV File 1m Bins</v>
      </c>
      <c r="D3125">
        <v>2341998</v>
      </c>
      <c r="E3125" t="s">
        <v>2165</v>
      </c>
      <c r="G3125" t="s">
        <v>2177</v>
      </c>
      <c r="I3125">
        <v>-16.5947</v>
      </c>
      <c r="J3125">
        <v>136.036</v>
      </c>
      <c r="K3125" t="str">
        <f>HYPERLINK("http://geology.data.nt.gov.au/NVCLDataServices/mosaic.html?datasetid=bb33bf92-56f6-4e89-925c-799ad95315e","2341998_MY5_Core Image")</f>
        <v>2341998_MY5_Core Image</v>
      </c>
    </row>
    <row r="3126" spans="1:11" x14ac:dyDescent="0.25">
      <c r="A3126" t="str">
        <f>HYPERLINK("http://www.corstruth.com.au/NT/2827239_McA17_cs.png","2827239_McA17_A4")</f>
        <v>2827239_McA17_A4</v>
      </c>
      <c r="B3126" t="str">
        <f>HYPERLINK("http://www.corstruth.com.au/NT/PNG2/2827239_McA17_cs.png","2827239_McA17_0.25m Bins")</f>
        <v>2827239_McA17_0.25m Bins</v>
      </c>
      <c r="C3126" t="str">
        <f>HYPERLINK("http://www.corstruth.com.au/NT/CSV/2827239_McA17.csv","2827239_McA17_CSV File 1m Bins")</f>
        <v>2827239_McA17_CSV File 1m Bins</v>
      </c>
      <c r="D3126">
        <v>2827239</v>
      </c>
      <c r="E3126" t="s">
        <v>2165</v>
      </c>
      <c r="G3126" t="s">
        <v>2177</v>
      </c>
      <c r="I3126">
        <v>-15.571099999999999</v>
      </c>
      <c r="J3126">
        <v>135.96600000000001</v>
      </c>
    </row>
    <row r="3127" spans="1:11" x14ac:dyDescent="0.25">
      <c r="A3127" t="str">
        <f>HYPERLINK("http://www.corstruth.com.au/NT/2827243_McA18_cs.png","2827243_McA18_A4")</f>
        <v>2827243_McA18_A4</v>
      </c>
      <c r="B3127" t="str">
        <f>HYPERLINK("http://www.corstruth.com.au/NT/PNG2/2827243_McA18_cs.png","2827243_McA18_0.25m Bins")</f>
        <v>2827243_McA18_0.25m Bins</v>
      </c>
      <c r="C3127" t="str">
        <f>HYPERLINK("http://www.corstruth.com.au/NT/CSV/2827243_McA18.csv","2827243_McA18_CSV File 1m Bins")</f>
        <v>2827243_McA18_CSV File 1m Bins</v>
      </c>
      <c r="D3127">
        <v>2827243</v>
      </c>
      <c r="E3127" t="s">
        <v>2165</v>
      </c>
      <c r="G3127" t="s">
        <v>2177</v>
      </c>
      <c r="I3127">
        <v>-15.6713</v>
      </c>
      <c r="J3127">
        <v>135.999</v>
      </c>
    </row>
    <row r="3128" spans="1:11" x14ac:dyDescent="0.25">
      <c r="A3128" t="str">
        <f>HYPERLINK("http://www.corstruth.com.au/NT/2827251_McA20_cs.png","2827251_McA20_A4")</f>
        <v>2827251_McA20_A4</v>
      </c>
      <c r="B3128" t="str">
        <f>HYPERLINK("http://www.corstruth.com.au/NT/PNG2/2827251_McA20_cs.png","2827251_McA20_0.25m Bins")</f>
        <v>2827251_McA20_0.25m Bins</v>
      </c>
      <c r="C3128" t="str">
        <f>HYPERLINK("http://www.corstruth.com.au/NT/CSV/2827251_McA20.csv","2827251_McA20_CSV File 1m Bins")</f>
        <v>2827251_McA20_CSV File 1m Bins</v>
      </c>
      <c r="D3128">
        <v>2827251</v>
      </c>
      <c r="E3128" t="s">
        <v>2165</v>
      </c>
      <c r="G3128" t="s">
        <v>2177</v>
      </c>
      <c r="I3128">
        <v>-15.585599999999999</v>
      </c>
      <c r="J3128">
        <v>135.96600000000001</v>
      </c>
      <c r="K3128" t="str">
        <f>HYPERLINK("http://geology.data.nt.gov.au/NVCLDataServices/mosaic.html?datasetid=4959d30d-43f3-4707-a391-6ab2d6ab5a9","2827251_McA20_Core Image")</f>
        <v>2827251_McA20_Core Image</v>
      </c>
    </row>
    <row r="3129" spans="1:11" x14ac:dyDescent="0.25">
      <c r="A3129" t="str">
        <f>HYPERLINK("http://www.corstruth.com.au/NT/2827255_MRSD01_cs.png","2827255_MRSD01_A4")</f>
        <v>2827255_MRSD01_A4</v>
      </c>
      <c r="B3129" t="str">
        <f>HYPERLINK("http://www.corstruth.com.au/NT/PNG2/2827255_MRSD01_cs.png","2827255_MRSD01_0.25m Bins")</f>
        <v>2827255_MRSD01_0.25m Bins</v>
      </c>
      <c r="C3129" t="str">
        <f>HYPERLINK("http://www.corstruth.com.au/NT/CSV/2827255_MRSD01.csv","2827255_MRSD01_CSV File 1m Bins")</f>
        <v>2827255_MRSD01_CSV File 1m Bins</v>
      </c>
      <c r="D3129">
        <v>2827255</v>
      </c>
      <c r="E3129" t="s">
        <v>2165</v>
      </c>
      <c r="G3129" t="s">
        <v>2177</v>
      </c>
      <c r="I3129">
        <v>-15.465999999999999</v>
      </c>
      <c r="J3129">
        <v>136.059</v>
      </c>
    </row>
    <row r="3130" spans="1:11" x14ac:dyDescent="0.25">
      <c r="A3130" t="str">
        <f>HYPERLINK("http://www.corstruth.com.au/NT/2827259_MRSD03_cs.png","2827259_MRSD03_A4")</f>
        <v>2827259_MRSD03_A4</v>
      </c>
      <c r="B3130" t="str">
        <f>HYPERLINK("http://www.corstruth.com.au/NT/PNG2/2827259_MRSD03_cs.png","2827259_MRSD03_0.25m Bins")</f>
        <v>2827259_MRSD03_0.25m Bins</v>
      </c>
      <c r="C3130" t="str">
        <f>HYPERLINK("http://www.corstruth.com.au/NT/CSV/2827259_MRSD03.csv","2827259_MRSD03_CSV File 1m Bins")</f>
        <v>2827259_MRSD03_CSV File 1m Bins</v>
      </c>
      <c r="D3130">
        <v>2827259</v>
      </c>
      <c r="E3130" t="s">
        <v>2165</v>
      </c>
      <c r="G3130" t="s">
        <v>2177</v>
      </c>
      <c r="I3130">
        <v>-15.4651</v>
      </c>
      <c r="J3130">
        <v>136.02699999999999</v>
      </c>
    </row>
    <row r="3131" spans="1:11" x14ac:dyDescent="0.25">
      <c r="A3131" t="str">
        <f>HYPERLINK("http://www.corstruth.com.au/NT/2834657_DD90RC2_cs.png","2834657_DD90RC2_A4")</f>
        <v>2834657_DD90RC2_A4</v>
      </c>
      <c r="B3131" t="str">
        <f>HYPERLINK("http://www.corstruth.com.au/NT/PNG2/2834657_DD90RC2_cs.png","2834657_DD90RC2_0.25m Bins")</f>
        <v>2834657_DD90RC2_0.25m Bins</v>
      </c>
      <c r="C3131" t="str">
        <f>HYPERLINK("http://www.corstruth.com.au/NT/CSV/2834657_DD90RC2.csv","2834657_DD90RC2_CSV File 1m Bins")</f>
        <v>2834657_DD90RC2_CSV File 1m Bins</v>
      </c>
      <c r="D3131">
        <v>2834657</v>
      </c>
      <c r="E3131" t="s">
        <v>2165</v>
      </c>
      <c r="G3131" t="s">
        <v>2177</v>
      </c>
      <c r="I3131">
        <v>-16.723299999999998</v>
      </c>
      <c r="J3131">
        <v>137.77099999999999</v>
      </c>
    </row>
    <row r="3132" spans="1:11" x14ac:dyDescent="0.25">
      <c r="A3132" t="str">
        <f>HYPERLINK("http://www.corstruth.com.au/NT/2834669_DD94RC075_cs.png","2834669_DD94RC075_A4")</f>
        <v>2834669_DD94RC075_A4</v>
      </c>
      <c r="B3132" t="str">
        <f>HYPERLINK("http://www.corstruth.com.au/NT/PNG2/2834669_DD94RC075_cs.png","2834669_DD94RC075_0.25m Bins")</f>
        <v>2834669_DD94RC075_0.25m Bins</v>
      </c>
      <c r="C3132" t="str">
        <f>HYPERLINK("http://www.corstruth.com.au/NT/CSV/2834669_DD94RC075.csv","2834669_DD94RC075_CSV File 1m Bins")</f>
        <v>2834669_DD94RC075_CSV File 1m Bins</v>
      </c>
      <c r="D3132">
        <v>2834669</v>
      </c>
      <c r="E3132" t="s">
        <v>2165</v>
      </c>
      <c r="G3132" t="s">
        <v>2177</v>
      </c>
      <c r="I3132">
        <v>-16.723199999999999</v>
      </c>
      <c r="J3132">
        <v>137.77099999999999</v>
      </c>
    </row>
    <row r="3133" spans="1:11" x14ac:dyDescent="0.25">
      <c r="A3133" t="str">
        <f>HYPERLINK("http://www.corstruth.com.au/NT/2869424_DD94RK2_cs.png","2869424_DD94RK2_A4")</f>
        <v>2869424_DD94RK2_A4</v>
      </c>
      <c r="B3133" t="str">
        <f>HYPERLINK("http://www.corstruth.com.au/NT/PNG2/2869424_DD94RK2_cs.png","2869424_DD94RK2_0.25m Bins")</f>
        <v>2869424_DD94RK2_0.25m Bins</v>
      </c>
      <c r="C3133" t="str">
        <f>HYPERLINK("http://www.corstruth.com.au/NT/CSV/2869424_DD94RK2.csv","2869424_DD94RK2_CSV File 1m Bins")</f>
        <v>2869424_DD94RK2_CSV File 1m Bins</v>
      </c>
      <c r="D3133">
        <v>2869424</v>
      </c>
      <c r="E3133" t="s">
        <v>2165</v>
      </c>
      <c r="G3133" t="s">
        <v>2177</v>
      </c>
      <c r="I3133">
        <v>-16.776800000000001</v>
      </c>
      <c r="J3133">
        <v>135.36199999999999</v>
      </c>
    </row>
    <row r="3134" spans="1:11" x14ac:dyDescent="0.25">
      <c r="A3134" t="str">
        <f>HYPERLINK("http://www.corstruth.com.au/NT/2912424_DD90RC6_cs.png","2912424_DD90RC6_A4")</f>
        <v>2912424_DD90RC6_A4</v>
      </c>
      <c r="B3134" t="str">
        <f>HYPERLINK("http://www.corstruth.com.au/NT/PNG2/2912424_DD90RC6_cs.png","2912424_DD90RC6_0.25m Bins")</f>
        <v>2912424_DD90RC6_0.25m Bins</v>
      </c>
      <c r="C3134" t="str">
        <f>HYPERLINK("http://www.corstruth.com.au/NT/CSV/2912424_DD90RC6.csv","2912424_DD90RC6_CSV File 1m Bins")</f>
        <v>2912424_DD90RC6_CSV File 1m Bins</v>
      </c>
      <c r="D3134">
        <v>2912424</v>
      </c>
      <c r="E3134" t="s">
        <v>2165</v>
      </c>
      <c r="G3134" t="s">
        <v>2177</v>
      </c>
      <c r="I3134">
        <v>-16.742799999999999</v>
      </c>
      <c r="J3134">
        <v>137.75299999999999</v>
      </c>
    </row>
    <row r="3135" spans="1:11" x14ac:dyDescent="0.25">
      <c r="A3135" t="str">
        <f>HYPERLINK("http://www.corstruth.com.au/NT/2912432_DD94RC072_cs.png","2912432_DD94RC072_A4")</f>
        <v>2912432_DD94RC072_A4</v>
      </c>
      <c r="B3135" t="str">
        <f>HYPERLINK("http://www.corstruth.com.au/NT/PNG2/2912432_DD94RC072_cs.png","2912432_DD94RC072_0.25m Bins")</f>
        <v>2912432_DD94RC072_0.25m Bins</v>
      </c>
      <c r="C3135" t="str">
        <f>HYPERLINK("http://www.corstruth.com.au/NT/CSV/2912432_DD94RC072.csv","2912432_DD94RC072_CSV File 1m Bins")</f>
        <v>2912432_DD94RC072_CSV File 1m Bins</v>
      </c>
      <c r="D3135">
        <v>2912432</v>
      </c>
      <c r="E3135" t="s">
        <v>2165</v>
      </c>
      <c r="G3135" t="s">
        <v>2177</v>
      </c>
      <c r="I3135">
        <v>-16.742799999999999</v>
      </c>
      <c r="J3135">
        <v>137.75299999999999</v>
      </c>
    </row>
    <row r="3136" spans="1:11" x14ac:dyDescent="0.25">
      <c r="A3136" t="str">
        <f>HYPERLINK("http://www.corstruth.com.au/NT/2944865_McA1_cs.png","2944865_McA1_A4")</f>
        <v>2944865_McA1_A4</v>
      </c>
      <c r="B3136" t="str">
        <f>HYPERLINK("http://www.corstruth.com.au/NT/PNG2/2944865_McA1_cs.png","2944865_McA1_0.25m Bins")</f>
        <v>2944865_McA1_0.25m Bins</v>
      </c>
      <c r="C3136" t="str">
        <f>HYPERLINK("http://www.corstruth.com.au/NT/CSV/2944865_McA1.csv","2944865_McA1_CSV File 1m Bins")</f>
        <v>2944865_McA1_CSV File 1m Bins</v>
      </c>
      <c r="D3136">
        <v>2944865</v>
      </c>
      <c r="E3136" t="s">
        <v>2165</v>
      </c>
      <c r="G3136" t="s">
        <v>2177</v>
      </c>
      <c r="I3136">
        <v>-16.225200000000001</v>
      </c>
      <c r="J3136">
        <v>135.55799999999999</v>
      </c>
    </row>
    <row r="3137" spans="1:11" x14ac:dyDescent="0.25">
      <c r="A3137" t="str">
        <f>HYPERLINK("http://www.corstruth.com.au/NT/2944978_DD91RC18_cs.png","2944978_DD91RC18_A4")</f>
        <v>2944978_DD91RC18_A4</v>
      </c>
      <c r="B3137" t="str">
        <f>HYPERLINK("http://www.corstruth.com.au/NT/PNG2/2944978_DD91RC18_cs.png","2944978_DD91RC18_0.25m Bins")</f>
        <v>2944978_DD91RC18_0.25m Bins</v>
      </c>
      <c r="C3137" t="str">
        <f>HYPERLINK("http://www.corstruth.com.au/NT/CSV/2944978_DD91RC18.csv","2944978_DD91RC18_CSV File 1m Bins")</f>
        <v>2944978_DD91RC18_CSV File 1m Bins</v>
      </c>
      <c r="D3137">
        <v>2944978</v>
      </c>
      <c r="E3137" t="s">
        <v>2165</v>
      </c>
      <c r="G3137" t="s">
        <v>2177</v>
      </c>
      <c r="I3137">
        <v>-16.702999999999999</v>
      </c>
      <c r="J3137">
        <v>137.77500000000001</v>
      </c>
      <c r="K3137" t="str">
        <f>HYPERLINK("http://geology.data.nt.gov.au/NVCLDataServices/mosaic.html?datasetid=a56c09ae-747f-494d-a23b-0d419f2d139","2944978_DD91RC18_Core Image")</f>
        <v>2944978_DD91RC18_Core Image</v>
      </c>
    </row>
    <row r="3138" spans="1:11" x14ac:dyDescent="0.25">
      <c r="A3138" t="str">
        <f>HYPERLINK("http://www.corstruth.com.au/NT/2957204_DD93SP1_cs.png","2957204_DD93SP1_A4")</f>
        <v>2957204_DD93SP1_A4</v>
      </c>
      <c r="B3138" t="str">
        <f>HYPERLINK("http://www.corstruth.com.au/NT/PNG2/2957204_DD93SP1_cs.png","2957204_DD93SP1_0.25m Bins")</f>
        <v>2957204_DD93SP1_0.25m Bins</v>
      </c>
      <c r="C3138" t="str">
        <f>HYPERLINK("http://www.corstruth.com.au/NT/CSV/2957204_DD93SP1.csv","2957204_DD93SP1_CSV File 1m Bins")</f>
        <v>2957204_DD93SP1_CSV File 1m Bins</v>
      </c>
      <c r="D3138">
        <v>2957204</v>
      </c>
      <c r="E3138" t="s">
        <v>2165</v>
      </c>
      <c r="G3138" t="s">
        <v>2177</v>
      </c>
      <c r="I3138">
        <v>-17.113299999999999</v>
      </c>
      <c r="J3138">
        <v>137.94800000000001</v>
      </c>
    </row>
    <row r="3139" spans="1:11" x14ac:dyDescent="0.25">
      <c r="A3139" t="str">
        <f>HYPERLINK("http://www.corstruth.com.au/NT/3093696_DD93RC033_cs.png","3093696_DD93RC033_A4")</f>
        <v>3093696_DD93RC033_A4</v>
      </c>
      <c r="B3139" t="str">
        <f>HYPERLINK("http://www.corstruth.com.au/NT/PNG2/3093696_DD93RC033_cs.png","3093696_DD93RC033_0.25m Bins")</f>
        <v>3093696_DD93RC033_0.25m Bins</v>
      </c>
      <c r="C3139" t="str">
        <f>HYPERLINK("http://www.corstruth.com.au/NT/CSV/3093696_DD93RC033.csv","3093696_DD93RC033_CSV File 1m Bins")</f>
        <v>3093696_DD93RC033_CSV File 1m Bins</v>
      </c>
      <c r="D3139">
        <v>3093696</v>
      </c>
      <c r="E3139" t="s">
        <v>2165</v>
      </c>
      <c r="G3139" t="s">
        <v>2177</v>
      </c>
      <c r="I3139">
        <v>-16.728200000000001</v>
      </c>
      <c r="J3139">
        <v>137.75399999999999</v>
      </c>
    </row>
    <row r="3140" spans="1:11" x14ac:dyDescent="0.25">
      <c r="A3140" t="str">
        <f>HYPERLINK("http://www.corstruth.com.au/NT/3093700_DD93RC33A_cs.png","3093700_DD93RC33A_A4")</f>
        <v>3093700_DD93RC33A_A4</v>
      </c>
      <c r="B3140" t="str">
        <f>HYPERLINK("http://www.corstruth.com.au/NT/PNG2/3093700_DD93RC33A_cs.png","3093700_DD93RC33A_0.25m Bins")</f>
        <v>3093700_DD93RC33A_0.25m Bins</v>
      </c>
      <c r="C3140" t="str">
        <f>HYPERLINK("http://www.corstruth.com.au/NT/CSV/3093700_DD93RC33A.csv","3093700_DD93RC33A_CSV File 1m Bins")</f>
        <v>3093700_DD93RC33A_CSV File 1m Bins</v>
      </c>
      <c r="D3140">
        <v>3093700</v>
      </c>
      <c r="E3140" t="s">
        <v>2165</v>
      </c>
      <c r="G3140" t="s">
        <v>2177</v>
      </c>
      <c r="I3140">
        <v>-16.728200000000001</v>
      </c>
      <c r="J3140">
        <v>137.75399999999999</v>
      </c>
      <c r="K3140" t="str">
        <f>HYPERLINK("http://geology.data.nt.gov.au/NVCLDataServices/mosaic.html?datasetid=ef5ed4d1-3c5c-4066-8c40-f5787ad4d79","3093700_DD93RC33A_Core Image")</f>
        <v>3093700_DD93RC33A_Core Image</v>
      </c>
    </row>
    <row r="3141" spans="1:11" x14ac:dyDescent="0.25">
      <c r="A3141" t="str">
        <f>HYPERLINK("http://www.corstruth.com.au/NT/3110661_DD83SC1_cs.png","3110661_DD83SC1_A4")</f>
        <v>3110661_DD83SC1_A4</v>
      </c>
      <c r="B3141" t="str">
        <f>HYPERLINK("http://www.corstruth.com.au/NT/PNG2/3110661_DD83SC1_cs.png","3110661_DD83SC1_0.25m Bins")</f>
        <v>3110661_DD83SC1_0.25m Bins</v>
      </c>
      <c r="C3141" t="str">
        <f>HYPERLINK("http://www.corstruth.com.au/NT/CSV/3110661_DD83SC1.csv","3110661_DD83SC1_CSV File 1m Bins")</f>
        <v>3110661_DD83SC1_CSV File 1m Bins</v>
      </c>
      <c r="D3141">
        <v>3110661</v>
      </c>
      <c r="E3141" t="s">
        <v>2165</v>
      </c>
      <c r="G3141" t="s">
        <v>2177</v>
      </c>
      <c r="I3141">
        <v>-17.276299999999999</v>
      </c>
      <c r="J3141">
        <v>135.834</v>
      </c>
    </row>
    <row r="3142" spans="1:11" x14ac:dyDescent="0.25">
      <c r="A3142" t="str">
        <f>HYPERLINK("http://www.corstruth.com.au/NT/3116298_DD93RC034_cs.png","3116298_DD93RC034_A4")</f>
        <v>3116298_DD93RC034_A4</v>
      </c>
      <c r="B3142" t="str">
        <f>HYPERLINK("http://www.corstruth.com.au/NT/PNG2/3116298_DD93RC034_cs.png","3116298_DD93RC034_0.25m Bins")</f>
        <v>3116298_DD93RC034_0.25m Bins</v>
      </c>
      <c r="C3142" t="str">
        <f>HYPERLINK("http://www.corstruth.com.au/NT/CSV/3116298_DD93RC034.csv","3116298_DD93RC034_CSV File 1m Bins")</f>
        <v>3116298_DD93RC034_CSV File 1m Bins</v>
      </c>
      <c r="D3142">
        <v>3116298</v>
      </c>
      <c r="E3142" t="s">
        <v>2165</v>
      </c>
      <c r="G3142" t="s">
        <v>2177</v>
      </c>
      <c r="I3142">
        <v>-16.729199999999999</v>
      </c>
      <c r="J3142">
        <v>137.75399999999999</v>
      </c>
    </row>
    <row r="3143" spans="1:11" x14ac:dyDescent="0.25">
      <c r="A3143" t="str">
        <f>HYPERLINK("http://www.corstruth.com.au/NT/3116302_DD94RC38_cs.png","3116302_DD94RC38_A4")</f>
        <v>3116302_DD94RC38_A4</v>
      </c>
      <c r="B3143" t="str">
        <f>HYPERLINK("http://www.corstruth.com.au/NT/PNG2/3116302_DD94RC38_cs.png","3116302_DD94RC38_0.25m Bins")</f>
        <v>3116302_DD94RC38_0.25m Bins</v>
      </c>
      <c r="C3143" t="str">
        <f>HYPERLINK("http://www.corstruth.com.au/NT/CSV/3116302_DD94RC38.csv","3116302_DD94RC38_CSV File 1m Bins")</f>
        <v>3116302_DD94RC38_CSV File 1m Bins</v>
      </c>
      <c r="D3143">
        <v>3116302</v>
      </c>
      <c r="E3143" t="s">
        <v>2165</v>
      </c>
      <c r="G3143" t="s">
        <v>2177</v>
      </c>
      <c r="I3143">
        <v>-16.7285</v>
      </c>
      <c r="J3143">
        <v>137.75399999999999</v>
      </c>
      <c r="K3143" t="str">
        <f>HYPERLINK("http://geology.data.nt.gov.au/NVCLDataServices/mosaic.html?datasetid=1dc4b993-710a-4222-9b9d-aefadf03fe6","3116302_DD94RC38_Core Image")</f>
        <v>3116302_DD94RC38_Core Image</v>
      </c>
    </row>
    <row r="3144" spans="1:11" x14ac:dyDescent="0.25">
      <c r="A3144" t="str">
        <f>HYPERLINK("http://www.corstruth.com.au/NT/3116306_DD94RC039_cs.png","3116306_DD94RC039_A4")</f>
        <v>3116306_DD94RC039_A4</v>
      </c>
      <c r="B3144" t="str">
        <f>HYPERLINK("http://www.corstruth.com.au/NT/PNG2/3116306_DD94RC039_cs.png","3116306_DD94RC039_0.25m Bins")</f>
        <v>3116306_DD94RC039_0.25m Bins</v>
      </c>
      <c r="C3144" t="str">
        <f>HYPERLINK("http://www.corstruth.com.au/NT/CSV/3116306_DD94RC039.csv","3116306_DD94RC039_CSV File 1m Bins")</f>
        <v>3116306_DD94RC039_CSV File 1m Bins</v>
      </c>
      <c r="D3144">
        <v>3116306</v>
      </c>
      <c r="E3144" t="s">
        <v>2165</v>
      </c>
      <c r="G3144" t="s">
        <v>2177</v>
      </c>
      <c r="I3144">
        <v>-16.728300000000001</v>
      </c>
      <c r="J3144">
        <v>137.75399999999999</v>
      </c>
    </row>
    <row r="3145" spans="1:11" x14ac:dyDescent="0.25">
      <c r="A3145" t="str">
        <f>HYPERLINK("http://www.corstruth.com.au/NT/3116314_DD94RC051_cs.png","3116314_DD94RC051_A4")</f>
        <v>3116314_DD94RC051_A4</v>
      </c>
      <c r="B3145" t="str">
        <f>HYPERLINK("http://www.corstruth.com.au/NT/PNG2/3116314_DD94RC051_cs.png","3116314_DD94RC051_0.25m Bins")</f>
        <v>3116314_DD94RC051_0.25m Bins</v>
      </c>
      <c r="C3145" t="str">
        <f>HYPERLINK("http://www.corstruth.com.au/NT/CSV/3116314_DD94RC051.csv","3116314_DD94RC051_CSV File 1m Bins")</f>
        <v>3116314_DD94RC051_CSV File 1m Bins</v>
      </c>
      <c r="D3145">
        <v>3116314</v>
      </c>
      <c r="E3145" t="s">
        <v>2165</v>
      </c>
      <c r="G3145" t="s">
        <v>2177</v>
      </c>
      <c r="I3145">
        <v>-16.727699999999999</v>
      </c>
      <c r="J3145">
        <v>137.755</v>
      </c>
    </row>
    <row r="3146" spans="1:11" x14ac:dyDescent="0.25">
      <c r="A3146" t="str">
        <f>HYPERLINK("http://www.corstruth.com.au/NT/3116326_DD94RC100_cs.png","3116326_DD94RC100_A4")</f>
        <v>3116326_DD94RC100_A4</v>
      </c>
      <c r="B3146" t="str">
        <f>HYPERLINK("http://www.corstruth.com.au/NT/PNG2/3116326_DD94RC100_cs.png","3116326_DD94RC100_0.25m Bins")</f>
        <v>3116326_DD94RC100_0.25m Bins</v>
      </c>
      <c r="C3146" t="str">
        <f>HYPERLINK("http://www.corstruth.com.au/NT/CSV/3116326_DD94RC100.csv","3116326_DD94RC100_CSV File 1m Bins")</f>
        <v>3116326_DD94RC100_CSV File 1m Bins</v>
      </c>
      <c r="D3146">
        <v>3116326</v>
      </c>
      <c r="E3146" t="s">
        <v>2165</v>
      </c>
      <c r="G3146" t="s">
        <v>2177</v>
      </c>
      <c r="I3146">
        <v>-16.728300000000001</v>
      </c>
      <c r="J3146">
        <v>137.75399999999999</v>
      </c>
    </row>
    <row r="3147" spans="1:11" x14ac:dyDescent="0.25">
      <c r="A3147" t="str">
        <f>HYPERLINK("http://www.corstruth.com.au/NT/3116330_DD94RC107_cs.png","3116330_DD94RC107_A4")</f>
        <v>3116330_DD94RC107_A4</v>
      </c>
      <c r="B3147" t="str">
        <f>HYPERLINK("http://www.corstruth.com.au/NT/PNG2/3116330_DD94RC107_cs.png","3116330_DD94RC107_0.25m Bins")</f>
        <v>3116330_DD94RC107_0.25m Bins</v>
      </c>
      <c r="C3147" t="str">
        <f>HYPERLINK("http://www.corstruth.com.au/NT/CSV/3116330_DD94RC107.csv","3116330_DD94RC107_CSV File 1m Bins")</f>
        <v>3116330_DD94RC107_CSV File 1m Bins</v>
      </c>
      <c r="D3147">
        <v>3116330</v>
      </c>
      <c r="E3147" t="s">
        <v>2165</v>
      </c>
      <c r="G3147" t="s">
        <v>2177</v>
      </c>
      <c r="I3147">
        <v>-16.728300000000001</v>
      </c>
      <c r="J3147">
        <v>137.75399999999999</v>
      </c>
    </row>
    <row r="3148" spans="1:11" x14ac:dyDescent="0.25">
      <c r="A3148" t="str">
        <f>HYPERLINK("http://www.corstruth.com.au/NT/3116346_DD94RC120_cs.png","3116346_DD94RC120_A4")</f>
        <v>3116346_DD94RC120_A4</v>
      </c>
      <c r="B3148" t="str">
        <f>HYPERLINK("http://www.corstruth.com.au/NT/PNG2/3116346_DD94RC120_cs.png","3116346_DD94RC120_0.25m Bins")</f>
        <v>3116346_DD94RC120_0.25m Bins</v>
      </c>
      <c r="C3148" t="str">
        <f>HYPERLINK("http://www.corstruth.com.au/NT/CSV/3116346_DD94RC120.csv","3116346_DD94RC120_CSV File 1m Bins")</f>
        <v>3116346_DD94RC120_CSV File 1m Bins</v>
      </c>
      <c r="D3148">
        <v>3116346</v>
      </c>
      <c r="E3148" t="s">
        <v>2165</v>
      </c>
      <c r="G3148" t="s">
        <v>2177</v>
      </c>
      <c r="I3148">
        <v>-16.727900000000002</v>
      </c>
      <c r="J3148">
        <v>137.75399999999999</v>
      </c>
    </row>
    <row r="3149" spans="1:11" x14ac:dyDescent="0.25">
      <c r="A3149" t="str">
        <f>HYPERLINK("http://www.corstruth.com.au/NT/3116354_DD94RC123_cs.png","3116354_DD94RC123_A4")</f>
        <v>3116354_DD94RC123_A4</v>
      </c>
      <c r="B3149" t="str">
        <f>HYPERLINK("http://www.corstruth.com.au/NT/PNG2/3116354_DD94RC123_cs.png","3116354_DD94RC123_0.25m Bins")</f>
        <v>3116354_DD94RC123_0.25m Bins</v>
      </c>
      <c r="C3149" t="str">
        <f>HYPERLINK("http://www.corstruth.com.au/NT/CSV/3116354_DD94RC123.csv","3116354_DD94RC123_CSV File 1m Bins")</f>
        <v>3116354_DD94RC123_CSV File 1m Bins</v>
      </c>
      <c r="D3149">
        <v>3116354</v>
      </c>
      <c r="E3149" t="s">
        <v>2165</v>
      </c>
      <c r="G3149" t="s">
        <v>2177</v>
      </c>
      <c r="I3149">
        <v>-16.7287</v>
      </c>
      <c r="J3149">
        <v>137.75299999999999</v>
      </c>
    </row>
    <row r="3150" spans="1:11" x14ac:dyDescent="0.25">
      <c r="A3150" t="str">
        <f>HYPERLINK("http://www.corstruth.com.au/NT/3116358_DD94RC124_cs.png","3116358_DD94RC124_A4")</f>
        <v>3116358_DD94RC124_A4</v>
      </c>
      <c r="B3150" t="str">
        <f>HYPERLINK("http://www.corstruth.com.au/NT/PNG2/3116358_DD94RC124_cs.png","3116358_DD94RC124_0.25m Bins")</f>
        <v>3116358_DD94RC124_0.25m Bins</v>
      </c>
      <c r="C3150" t="str">
        <f>HYPERLINK("http://www.corstruth.com.au/NT/CSV/3116358_DD94RC124.csv","3116358_DD94RC124_CSV File 1m Bins")</f>
        <v>3116358_DD94RC124_CSV File 1m Bins</v>
      </c>
      <c r="D3150">
        <v>3116358</v>
      </c>
      <c r="E3150" t="s">
        <v>2165</v>
      </c>
      <c r="G3150" t="s">
        <v>2177</v>
      </c>
      <c r="I3150">
        <v>-16.728100000000001</v>
      </c>
      <c r="J3150">
        <v>137.75399999999999</v>
      </c>
    </row>
    <row r="3151" spans="1:11" x14ac:dyDescent="0.25">
      <c r="A3151" t="str">
        <f>HYPERLINK("http://www.corstruth.com.au/NT/3116362_DD94RC40_cs.png","3116362_DD94RC40_A4")</f>
        <v>3116362_DD94RC40_A4</v>
      </c>
      <c r="B3151" t="str">
        <f>HYPERLINK("http://www.corstruth.com.au/NT/PNG2/3116362_DD94RC40_cs.png","3116362_DD94RC40_0.25m Bins")</f>
        <v>3116362_DD94RC40_0.25m Bins</v>
      </c>
      <c r="C3151" t="str">
        <f>HYPERLINK("http://www.corstruth.com.au/NT/CSV/3116362_DD94RC40.csv","3116362_DD94RC40_CSV File 1m Bins")</f>
        <v>3116362_DD94RC40_CSV File 1m Bins</v>
      </c>
      <c r="D3151">
        <v>3116362</v>
      </c>
      <c r="E3151" t="s">
        <v>2165</v>
      </c>
      <c r="G3151" t="s">
        <v>2177</v>
      </c>
      <c r="I3151">
        <v>-16.727699999999999</v>
      </c>
      <c r="J3151">
        <v>137.75399999999999</v>
      </c>
      <c r="K3151" t="str">
        <f>HYPERLINK("http://geology.data.nt.gov.au/NVCLDataServices/mosaic.html?datasetid=d9aefc42-ac39-48f3-bd7a-447198810d3","3116362_DD94RC40_Core Image")</f>
        <v>3116362_DD94RC40_Core Image</v>
      </c>
    </row>
    <row r="3152" spans="1:11" x14ac:dyDescent="0.25">
      <c r="A3152" t="str">
        <f>HYPERLINK("http://www.corstruth.com.au/NT/3116366_DD94RC44_cs.png","3116366_DD94RC44_A4")</f>
        <v>3116366_DD94RC44_A4</v>
      </c>
      <c r="B3152" t="str">
        <f>HYPERLINK("http://www.corstruth.com.au/NT/PNG2/3116366_DD94RC44_cs.png","3116366_DD94RC44_0.25m Bins")</f>
        <v>3116366_DD94RC44_0.25m Bins</v>
      </c>
      <c r="C3152" t="str">
        <f>HYPERLINK("http://www.corstruth.com.au/NT/CSV/3116366_DD94RC44.csv","3116366_DD94RC44_CSV File 1m Bins")</f>
        <v>3116366_DD94RC44_CSV File 1m Bins</v>
      </c>
      <c r="D3152">
        <v>3116366</v>
      </c>
      <c r="E3152" t="s">
        <v>2165</v>
      </c>
      <c r="G3152" t="s">
        <v>2177</v>
      </c>
      <c r="I3152">
        <v>-16.728400000000001</v>
      </c>
      <c r="J3152">
        <v>137.755</v>
      </c>
    </row>
    <row r="3153" spans="1:11" x14ac:dyDescent="0.25">
      <c r="A3153" t="str">
        <f>HYPERLINK("http://www.corstruth.com.au/NT/3116374_DD95RC156_cs.png","3116374_DD95RC156_A4")</f>
        <v>3116374_DD95RC156_A4</v>
      </c>
      <c r="B3153" t="str">
        <f>HYPERLINK("http://www.corstruth.com.au/NT/PNG2/3116374_DD95RC156_cs.png","3116374_DD95RC156_0.25m Bins")</f>
        <v>3116374_DD95RC156_0.25m Bins</v>
      </c>
      <c r="C3153" t="str">
        <f>HYPERLINK("http://www.corstruth.com.au/NT/CSV/3116374_DD95RC156.csv","3116374_DD95RC156_CSV File 1m Bins")</f>
        <v>3116374_DD95RC156_CSV File 1m Bins</v>
      </c>
      <c r="D3153">
        <v>3116374</v>
      </c>
      <c r="E3153" t="s">
        <v>2165</v>
      </c>
      <c r="G3153" t="s">
        <v>2177</v>
      </c>
      <c r="I3153">
        <v>-16.7288</v>
      </c>
      <c r="J3153">
        <v>137.75399999999999</v>
      </c>
    </row>
    <row r="3154" spans="1:11" x14ac:dyDescent="0.25">
      <c r="A3154" t="str">
        <f>HYPERLINK("http://www.corstruth.com.au/NT/3190859_VDD2_cs.png","3190859_VDD2_A4")</f>
        <v>3190859_VDD2_A4</v>
      </c>
      <c r="B3154" t="str">
        <f>HYPERLINK("http://www.corstruth.com.au/NT/PNG2/3190859_VDD2_cs.png","3190859_VDD2_0.25m Bins")</f>
        <v>3190859_VDD2_0.25m Bins</v>
      </c>
      <c r="C3154" t="str">
        <f>HYPERLINK("http://www.corstruth.com.au/NT/CSV/3190859_VDD2.csv","3190859_VDD2_CSV File 1m Bins")</f>
        <v>3190859_VDD2_CSV File 1m Bins</v>
      </c>
      <c r="D3154">
        <v>3190859</v>
      </c>
      <c r="E3154" t="s">
        <v>2165</v>
      </c>
      <c r="G3154" t="s">
        <v>2177</v>
      </c>
      <c r="I3154">
        <v>-15.408899999999999</v>
      </c>
      <c r="J3154">
        <v>133.47800000000001</v>
      </c>
      <c r="K3154" t="str">
        <f>HYPERLINK("http://geology.data.nt.gov.au/NVCLDataServices/mosaic.html?datasetid=a275ee28-39ba-4184-abba-61826b54892","3190859_VDD2_Core Image")</f>
        <v>3190859_VDD2_Core Image</v>
      </c>
    </row>
    <row r="3155" spans="1:11" x14ac:dyDescent="0.25">
      <c r="A3155" t="str">
        <f>HYPERLINK("http://www.corstruth.com.au/NT/3256230_DD83TR1_cs.png","3256230_DD83TR1_A4")</f>
        <v>3256230_DD83TR1_A4</v>
      </c>
      <c r="B3155" t="str">
        <f>HYPERLINK("http://www.corstruth.com.au/NT/PNG2/3256230_DD83TR1_cs.png","3256230_DD83TR1_0.25m Bins")</f>
        <v>3256230_DD83TR1_0.25m Bins</v>
      </c>
      <c r="C3155" t="str">
        <f>HYPERLINK("http://www.corstruth.com.au/NT/CSV/3256230_DD83TR1.csv","3256230_DD83TR1_CSV File 1m Bins")</f>
        <v>3256230_DD83TR1_CSV File 1m Bins</v>
      </c>
      <c r="D3155">
        <v>3256230</v>
      </c>
      <c r="E3155" t="s">
        <v>2165</v>
      </c>
      <c r="G3155" t="s">
        <v>2177</v>
      </c>
      <c r="I3155">
        <v>-15.1153</v>
      </c>
      <c r="J3155">
        <v>135.13399999999999</v>
      </c>
    </row>
    <row r="3156" spans="1:11" x14ac:dyDescent="0.25">
      <c r="A3156" t="str">
        <f>HYPERLINK("http://www.corstruth.com.au/NT/3723589_WE1_cs.png","3723589_WE1_A4")</f>
        <v>3723589_WE1_A4</v>
      </c>
      <c r="B3156" t="str">
        <f>HYPERLINK("http://www.corstruth.com.au/NT/PNG2/3723589_WE1_cs.png","3723589_WE1_0.25m Bins")</f>
        <v>3723589_WE1_0.25m Bins</v>
      </c>
      <c r="C3156" t="str">
        <f>HYPERLINK("http://www.corstruth.com.au/NT/CSV/3723589_WE1.csv","3723589_WE1_CSV File 1m Bins")</f>
        <v>3723589_WE1_CSV File 1m Bins</v>
      </c>
      <c r="D3156">
        <v>3723589</v>
      </c>
      <c r="E3156" t="s">
        <v>2165</v>
      </c>
      <c r="G3156" t="s">
        <v>2177</v>
      </c>
      <c r="I3156">
        <v>-16.819600000000001</v>
      </c>
      <c r="J3156">
        <v>136.46700000000001</v>
      </c>
      <c r="K3156" t="str">
        <f>HYPERLINK("http://geology.data.nt.gov.au/NVCLDataServices/mosaic.html?datasetid=a50a0c15-70e9-4caa-93ec-b6c180207a2","3723589_WE1_Core Image")</f>
        <v>3723589_WE1_Core Image</v>
      </c>
    </row>
    <row r="3157" spans="1:11" x14ac:dyDescent="0.25">
      <c r="A3157" t="str">
        <f>HYPERLINK("http://www.corstruth.com.au/NT/3723593_MWSD05_cs.png","3723593_MWSD05_A4")</f>
        <v>3723593_MWSD05_A4</v>
      </c>
      <c r="B3157" t="str">
        <f>HYPERLINK("http://www.corstruth.com.au/NT/PNG2/3723593_MWSD05_cs.png","3723593_MWSD05_0.25m Bins")</f>
        <v>3723593_MWSD05_0.25m Bins</v>
      </c>
      <c r="C3157" t="str">
        <f>HYPERLINK("http://www.corstruth.com.au/NT/CSV/3723593_MWSD05.csv","3723593_MWSD05_CSV File 1m Bins")</f>
        <v>3723593_MWSD05_CSV File 1m Bins</v>
      </c>
      <c r="D3157">
        <v>3723593</v>
      </c>
      <c r="E3157" t="s">
        <v>2165</v>
      </c>
      <c r="G3157" t="s">
        <v>2177</v>
      </c>
      <c r="I3157">
        <v>-16.1388</v>
      </c>
      <c r="J3157">
        <v>136.86699999999999</v>
      </c>
    </row>
    <row r="3158" spans="1:11" x14ac:dyDescent="0.25">
      <c r="A3158" t="str">
        <f>HYPERLINK("http://www.corstruth.com.au/NT/3723597_MWSD07_cs.png","3723597_MWSD07_A4")</f>
        <v>3723597_MWSD07_A4</v>
      </c>
      <c r="B3158" t="str">
        <f>HYPERLINK("http://www.corstruth.com.au/NT/PNG2/3723597_MWSD07_cs.png","3723597_MWSD07_0.25m Bins")</f>
        <v>3723597_MWSD07_0.25m Bins</v>
      </c>
      <c r="C3158" t="str">
        <f>HYPERLINK("http://www.corstruth.com.au/NT/CSV/3723597_MWSD07.csv","3723597_MWSD07_CSV File 1m Bins")</f>
        <v>3723597_MWSD07_CSV File 1m Bins</v>
      </c>
      <c r="D3158">
        <v>3723597</v>
      </c>
      <c r="E3158" t="s">
        <v>2165</v>
      </c>
      <c r="G3158" t="s">
        <v>2177</v>
      </c>
      <c r="I3158">
        <v>-16.154900000000001</v>
      </c>
      <c r="J3158">
        <v>136.78700000000001</v>
      </c>
    </row>
    <row r="3159" spans="1:11" x14ac:dyDescent="0.25">
      <c r="A3159" t="str">
        <f>HYPERLINK("http://www.corstruth.com.au/NT/3747523_McA21_cs.png","3747523_McA21_A4")</f>
        <v>3747523_McA21_A4</v>
      </c>
      <c r="B3159" t="str">
        <f>HYPERLINK("http://www.corstruth.com.au/NT/PNG2/3747523_McA21_cs.png","3747523_McA21_0.25m Bins")</f>
        <v>3747523_McA21_0.25m Bins</v>
      </c>
      <c r="C3159" t="str">
        <f>HYPERLINK("http://www.corstruth.com.au/NT/CSV/3747523_McA21.csv","3747523_McA21_CSV File 1m Bins")</f>
        <v>3747523_McA21_CSV File 1m Bins</v>
      </c>
      <c r="D3159">
        <v>3747523</v>
      </c>
      <c r="E3159" t="s">
        <v>2165</v>
      </c>
      <c r="G3159" t="s">
        <v>2177</v>
      </c>
      <c r="I3159">
        <v>-15.5824</v>
      </c>
      <c r="J3159">
        <v>135.93600000000001</v>
      </c>
    </row>
    <row r="3160" spans="1:11" x14ac:dyDescent="0.25">
      <c r="A3160" t="str">
        <f>HYPERLINK("http://www.corstruth.com.au/NT/3747531_WM4_cs.png","3747531_WM4_A4")</f>
        <v>3747531_WM4_A4</v>
      </c>
      <c r="B3160" t="str">
        <f>HYPERLINK("http://www.corstruth.com.au/NT/PNG2/3747531_WM4_cs.png","3747531_WM4_0.25m Bins")</f>
        <v>3747531_WM4_0.25m Bins</v>
      </c>
      <c r="C3160" t="str">
        <f>HYPERLINK("http://www.corstruth.com.au/NT/CSV/3747531_WM4.csv","3747531_WM4_CSV File 1m Bins")</f>
        <v>3747531_WM4_CSV File 1m Bins</v>
      </c>
      <c r="D3160">
        <v>3747531</v>
      </c>
      <c r="E3160" t="s">
        <v>2165</v>
      </c>
      <c r="G3160" t="s">
        <v>2177</v>
      </c>
      <c r="I3160">
        <v>-15.7026</v>
      </c>
      <c r="J3160">
        <v>135.88800000000001</v>
      </c>
    </row>
    <row r="3161" spans="1:11" x14ac:dyDescent="0.25">
      <c r="A3161" t="str">
        <f>HYPERLINK("http://www.corstruth.com.au/NT/3747539_WM6_cs.png","3747539_WM6_A4")</f>
        <v>3747539_WM6_A4</v>
      </c>
      <c r="B3161" t="str">
        <f>HYPERLINK("http://www.corstruth.com.au/NT/PNG2/3747539_WM6_cs.png","3747539_WM6_0.25m Bins")</f>
        <v>3747539_WM6_0.25m Bins</v>
      </c>
      <c r="C3161" t="str">
        <f>HYPERLINK("http://www.corstruth.com.au/NT/CSV/3747539_WM6.csv","3747539_WM6_CSV File 1m Bins")</f>
        <v>3747539_WM6_CSV File 1m Bins</v>
      </c>
      <c r="D3161">
        <v>3747539</v>
      </c>
      <c r="E3161" t="s">
        <v>2165</v>
      </c>
      <c r="G3161" t="s">
        <v>2177</v>
      </c>
      <c r="I3161">
        <v>-15.5808</v>
      </c>
      <c r="J3161">
        <v>135.91200000000001</v>
      </c>
      <c r="K3161" t="str">
        <f>HYPERLINK("http://geology.data.nt.gov.au/NVCLDataServices/mosaic.html?datasetid=0b154651-6f33-46fb-9efa-ca4a610b1d7","3747539_WM6_Core Image")</f>
        <v>3747539_WM6_Core Image</v>
      </c>
    </row>
    <row r="3162" spans="1:11" x14ac:dyDescent="0.25">
      <c r="A3162" t="str">
        <f>HYPERLINK("http://www.corstruth.com.au/NT/3995940_YN9701D_cs.png","3995940_YN9701D_A4")</f>
        <v>3995940_YN9701D_A4</v>
      </c>
      <c r="B3162" t="str">
        <f>HYPERLINK("http://www.corstruth.com.au/NT/PNG2/3995940_YN9701D_cs.png","3995940_YN9701D_0.25m Bins")</f>
        <v>3995940_YN9701D_0.25m Bins</v>
      </c>
      <c r="C3162" t="str">
        <f>HYPERLINK("http://www.corstruth.com.au/NT/CSV/3995940_YN9701D.csv","3995940_YN9701D_CSV File 1m Bins")</f>
        <v>3995940_YN9701D_CSV File 1m Bins</v>
      </c>
      <c r="D3162">
        <v>3995940</v>
      </c>
      <c r="E3162" t="s">
        <v>2165</v>
      </c>
      <c r="G3162" t="s">
        <v>2177</v>
      </c>
      <c r="I3162">
        <v>-15.968999999999999</v>
      </c>
      <c r="J3162">
        <v>135.95400000000001</v>
      </c>
    </row>
    <row r="3163" spans="1:11" x14ac:dyDescent="0.25">
      <c r="A3163" t="str">
        <f>HYPERLINK("http://www.corstruth.com.au/NT/3995944_YN9702D_cs.png","3995944_YN9702D_A4")</f>
        <v>3995944_YN9702D_A4</v>
      </c>
      <c r="B3163" t="str">
        <f>HYPERLINK("http://www.corstruth.com.au/NT/PNG2/3995944_YN9702D_cs.png","3995944_YN9702D_0.25m Bins")</f>
        <v>3995944_YN9702D_0.25m Bins</v>
      </c>
      <c r="C3163" t="str">
        <f>HYPERLINK("http://www.corstruth.com.au/NT/CSV/3995944_YN9702D.csv","3995944_YN9702D_CSV File 1m Bins")</f>
        <v>3995944_YN9702D_CSV File 1m Bins</v>
      </c>
      <c r="D3163">
        <v>3995944</v>
      </c>
      <c r="E3163" t="s">
        <v>2165</v>
      </c>
      <c r="G3163" t="s">
        <v>2177</v>
      </c>
      <c r="I3163">
        <v>-15.968999999999999</v>
      </c>
      <c r="J3163">
        <v>135.94499999999999</v>
      </c>
    </row>
    <row r="3164" spans="1:11" x14ac:dyDescent="0.25">
      <c r="A3164" t="str">
        <f>HYPERLINK("http://www.corstruth.com.au/NT/4056171_McA2_cs.png","4056171_McA2_A4")</f>
        <v>4056171_McA2_A4</v>
      </c>
      <c r="B3164" t="str">
        <f>HYPERLINK("http://www.corstruth.com.au/NT/PNG2/4056171_McA2_cs.png","4056171_McA2_0.25m Bins")</f>
        <v>4056171_McA2_0.25m Bins</v>
      </c>
      <c r="C3164" t="str">
        <f>HYPERLINK("http://www.corstruth.com.au/NT/CSV/4056171_McA2.csv","4056171_McA2_CSV File 1m Bins")</f>
        <v>4056171_McA2_CSV File 1m Bins</v>
      </c>
      <c r="D3164">
        <v>4056171</v>
      </c>
      <c r="E3164" t="s">
        <v>2165</v>
      </c>
      <c r="G3164" t="s">
        <v>2177</v>
      </c>
      <c r="I3164">
        <v>-15.468500000000001</v>
      </c>
      <c r="J3164">
        <v>135.93199999999999</v>
      </c>
    </row>
    <row r="3165" spans="1:11" x14ac:dyDescent="0.25">
      <c r="A3165" t="str">
        <f>HYPERLINK("http://www.corstruth.com.au/NT/4056175_McA3_cs.png","4056175_McA3_A4")</f>
        <v>4056175_McA3_A4</v>
      </c>
      <c r="B3165" t="str">
        <f>HYPERLINK("http://www.corstruth.com.au/NT/PNG2/4056175_McA3_cs.png","4056175_McA3_0.25m Bins")</f>
        <v>4056175_McA3_0.25m Bins</v>
      </c>
      <c r="C3165" t="str">
        <f>HYPERLINK("http://www.corstruth.com.au/NT/CSV/4056175_McA3.csv","4056175_McA3_CSV File 1m Bins")</f>
        <v>4056175_McA3_CSV File 1m Bins</v>
      </c>
      <c r="D3165">
        <v>4056175</v>
      </c>
      <c r="E3165" t="s">
        <v>2165</v>
      </c>
      <c r="G3165" t="s">
        <v>2177</v>
      </c>
      <c r="I3165">
        <v>-15.4735</v>
      </c>
      <c r="J3165">
        <v>135.89099999999999</v>
      </c>
    </row>
    <row r="3166" spans="1:11" x14ac:dyDescent="0.25">
      <c r="A3166" t="str">
        <f>HYPERLINK("http://www.corstruth.com.au/NT/61589_GSD003_cs.png","61589_GSD003_A4")</f>
        <v>61589_GSD003_A4</v>
      </c>
      <c r="B3166" t="str">
        <f>HYPERLINK("http://www.corstruth.com.au/NT/PNG2/61589_GSD003_cs.png","61589_GSD003_0.25m Bins")</f>
        <v>61589_GSD003_0.25m Bins</v>
      </c>
      <c r="C3166" t="str">
        <f>HYPERLINK("http://www.corstruth.com.au/NT/CSV/61589_GSD003.csv","61589_GSD003_CSV File 1m Bins")</f>
        <v>61589_GSD003_CSV File 1m Bins</v>
      </c>
      <c r="D3166">
        <v>61589</v>
      </c>
      <c r="E3166" t="s">
        <v>2165</v>
      </c>
      <c r="G3166" t="s">
        <v>2177</v>
      </c>
      <c r="I3166">
        <v>-17.251100000000001</v>
      </c>
      <c r="J3166">
        <v>136.36600000000001</v>
      </c>
    </row>
    <row r="3167" spans="1:11" x14ac:dyDescent="0.25">
      <c r="A3167" t="str">
        <f>HYPERLINK("http://www.corstruth.com.au/NT/721128_BDH1_cs.png","721128_BDH1_A4")</f>
        <v>721128_BDH1_A4</v>
      </c>
      <c r="B3167" t="str">
        <f>HYPERLINK("http://www.corstruth.com.au/NT/PNG2/721128_BDH1_cs.png","721128_BDH1_0.25m Bins")</f>
        <v>721128_BDH1_0.25m Bins</v>
      </c>
      <c r="C3167" t="str">
        <f>HYPERLINK("http://www.corstruth.com.au/NT/CSV/721128_BDH1.csv","721128_BDH1_CSV File 1m Bins")</f>
        <v>721128_BDH1_CSV File 1m Bins</v>
      </c>
      <c r="D3167">
        <v>721128</v>
      </c>
      <c r="E3167" t="s">
        <v>2165</v>
      </c>
      <c r="G3167" t="s">
        <v>2177</v>
      </c>
      <c r="I3167">
        <v>-17.780999999999999</v>
      </c>
      <c r="J3167">
        <v>137.04</v>
      </c>
    </row>
    <row r="3168" spans="1:11" x14ac:dyDescent="0.25">
      <c r="A3168" t="str">
        <f>HYPERLINK("http://www.corstruth.com.au/NT/721132_BDH3_cs.png","721132_BDH3_A4")</f>
        <v>721132_BDH3_A4</v>
      </c>
      <c r="B3168" t="str">
        <f>HYPERLINK("http://www.corstruth.com.au/NT/PNG2/721132_BDH3_cs.png","721132_BDH3_0.25m Bins")</f>
        <v>721132_BDH3_0.25m Bins</v>
      </c>
      <c r="C3168" t="str">
        <f>HYPERLINK("http://www.corstruth.com.au/NT/CSV/721132_BDH3.csv","721132_BDH3_CSV File 1m Bins")</f>
        <v>721132_BDH3_CSV File 1m Bins</v>
      </c>
      <c r="D3168">
        <v>721132</v>
      </c>
      <c r="E3168" t="s">
        <v>2165</v>
      </c>
      <c r="G3168" t="s">
        <v>2177</v>
      </c>
      <c r="I3168">
        <v>-17.781300000000002</v>
      </c>
      <c r="J3168">
        <v>137.04</v>
      </c>
    </row>
    <row r="3169" spans="1:11" x14ac:dyDescent="0.25">
      <c r="A3169" t="str">
        <f>HYPERLINK("http://www.corstruth.com.au/NT/721136_BDH4_cs.png","721136_BDH4_A4")</f>
        <v>721136_BDH4_A4</v>
      </c>
      <c r="B3169" t="str">
        <f>HYPERLINK("http://www.corstruth.com.au/NT/PNG2/721136_BDH4_cs.png","721136_BDH4_0.25m Bins")</f>
        <v>721136_BDH4_0.25m Bins</v>
      </c>
      <c r="C3169" t="str">
        <f>HYPERLINK("http://www.corstruth.com.au/NT/CSV/721136_BDH4.csv","721136_BDH4_CSV File 1m Bins")</f>
        <v>721136_BDH4_CSV File 1m Bins</v>
      </c>
      <c r="D3169">
        <v>721136</v>
      </c>
      <c r="E3169" t="s">
        <v>2165</v>
      </c>
      <c r="G3169" t="s">
        <v>2177</v>
      </c>
      <c r="I3169">
        <v>-17.780799999999999</v>
      </c>
      <c r="J3169">
        <v>137.041</v>
      </c>
    </row>
    <row r="3170" spans="1:11" x14ac:dyDescent="0.25">
      <c r="A3170" t="str">
        <f>HYPERLINK("http://www.corstruth.com.au/NT/721140_BDH5_cs.png","721140_BDH5_A4")</f>
        <v>721140_BDH5_A4</v>
      </c>
      <c r="B3170" t="str">
        <f>HYPERLINK("http://www.corstruth.com.au/NT/PNG2/721140_BDH5_cs.png","721140_BDH5_0.25m Bins")</f>
        <v>721140_BDH5_0.25m Bins</v>
      </c>
      <c r="C3170" t="str">
        <f>HYPERLINK("http://www.corstruth.com.au/NT/CSV/721140_BDH5.csv","721140_BDH5_CSV File 1m Bins")</f>
        <v>721140_BDH5_CSV File 1m Bins</v>
      </c>
      <c r="D3170">
        <v>721140</v>
      </c>
      <c r="E3170" t="s">
        <v>2165</v>
      </c>
      <c r="G3170" t="s">
        <v>2177</v>
      </c>
      <c r="I3170">
        <v>-17.781400000000001</v>
      </c>
      <c r="J3170">
        <v>137.041</v>
      </c>
    </row>
    <row r="3171" spans="1:11" x14ac:dyDescent="0.25">
      <c r="A3171" t="str">
        <f>HYPERLINK("http://www.corstruth.com.au/NT/721144_BDH67_cs.png","721144_BDH67_A4")</f>
        <v>721144_BDH67_A4</v>
      </c>
      <c r="B3171" t="str">
        <f>HYPERLINK("http://www.corstruth.com.au/NT/PNG2/721144_BDH67_cs.png","721144_BDH67_0.25m Bins")</f>
        <v>721144_BDH67_0.25m Bins</v>
      </c>
      <c r="C3171" t="str">
        <f>HYPERLINK("http://www.corstruth.com.au/NT/CSV/721144_BDH67.csv","721144_BDH67_CSV File 1m Bins")</f>
        <v>721144_BDH67_CSV File 1m Bins</v>
      </c>
      <c r="D3171">
        <v>721144</v>
      </c>
      <c r="E3171" t="s">
        <v>2165</v>
      </c>
      <c r="G3171" t="s">
        <v>2177</v>
      </c>
      <c r="I3171">
        <v>-17.7819</v>
      </c>
      <c r="J3171">
        <v>137.04</v>
      </c>
    </row>
    <row r="3172" spans="1:11" x14ac:dyDescent="0.25">
      <c r="A3172" t="str">
        <f>HYPERLINK("http://www.corstruth.com.au/NT/736078_BJ1_cs.png","736078_BJ1_A4")</f>
        <v>736078_BJ1_A4</v>
      </c>
      <c r="B3172" t="str">
        <f>HYPERLINK("http://www.corstruth.com.au/NT/PNG2/736078_BJ1_cs.png","736078_BJ1_0.25m Bins")</f>
        <v>736078_BJ1_0.25m Bins</v>
      </c>
      <c r="C3172" t="str">
        <f>HYPERLINK("http://www.corstruth.com.au/NT/CSV/736078_BJ1.csv","736078_BJ1_CSV File 1m Bins")</f>
        <v>736078_BJ1_CSV File 1m Bins</v>
      </c>
      <c r="D3172">
        <v>736078</v>
      </c>
      <c r="E3172" t="s">
        <v>2165</v>
      </c>
      <c r="G3172" t="s">
        <v>2177</v>
      </c>
      <c r="I3172">
        <v>-16.430499999999999</v>
      </c>
      <c r="J3172">
        <v>135.93899999999999</v>
      </c>
    </row>
    <row r="3173" spans="1:11" x14ac:dyDescent="0.25">
      <c r="A3173" t="str">
        <f>HYPERLINK("http://www.corstruth.com.au/NT/736082_BJ2_cs.png","736082_BJ2_A4")</f>
        <v>736082_BJ2_A4</v>
      </c>
      <c r="B3173" t="str">
        <f>HYPERLINK("http://www.corstruth.com.au/NT/PNG2/736082_BJ2_cs.png","736082_BJ2_0.25m Bins")</f>
        <v>736082_BJ2_0.25m Bins</v>
      </c>
      <c r="C3173" t="str">
        <f>HYPERLINK("http://www.corstruth.com.au/NT/CSV/736082_BJ2.csv","736082_BJ2_CSV File 1m Bins")</f>
        <v>736082_BJ2_CSV File 1m Bins</v>
      </c>
      <c r="D3173">
        <v>736082</v>
      </c>
      <c r="E3173" t="s">
        <v>2165</v>
      </c>
      <c r="G3173" t="s">
        <v>2177</v>
      </c>
      <c r="I3173">
        <v>-16.420999999999999</v>
      </c>
      <c r="J3173">
        <v>135.93899999999999</v>
      </c>
    </row>
    <row r="3174" spans="1:11" x14ac:dyDescent="0.25">
      <c r="A3174" t="str">
        <f>HYPERLINK("http://www.corstruth.com.au/NT/736098_BJ6_cs.png","736098_BJ6_A4")</f>
        <v>736098_BJ6_A4</v>
      </c>
      <c r="B3174" t="str">
        <f>HYPERLINK("http://www.corstruth.com.au/NT/PNG2/736098_BJ6_cs.png","736098_BJ6_0.25m Bins")</f>
        <v>736098_BJ6_0.25m Bins</v>
      </c>
      <c r="C3174" t="str">
        <f>HYPERLINK("http://www.corstruth.com.au/NT/CSV/736098_BJ6.csv","736098_BJ6_CSV File 1m Bins")</f>
        <v>736098_BJ6_CSV File 1m Bins</v>
      </c>
      <c r="D3174">
        <v>736098</v>
      </c>
      <c r="E3174" t="s">
        <v>2165</v>
      </c>
      <c r="G3174" t="s">
        <v>2177</v>
      </c>
      <c r="I3174">
        <v>-16.3977</v>
      </c>
      <c r="J3174">
        <v>135.87700000000001</v>
      </c>
    </row>
    <row r="3175" spans="1:11" x14ac:dyDescent="0.25">
      <c r="A3175" t="str">
        <f>HYPERLINK("http://www.corstruth.com.au/NT/810729_BCD001_cs.png","810729_BCD001_A4")</f>
        <v>810729_BCD001_A4</v>
      </c>
      <c r="B3175" t="str">
        <f>HYPERLINK("http://www.corstruth.com.au/NT/PNG2/810729_BCD001_cs.png","810729_BCD001_0.25m Bins")</f>
        <v>810729_BCD001_0.25m Bins</v>
      </c>
      <c r="C3175" t="str">
        <f>HYPERLINK("http://www.corstruth.com.au/NT/CSV/810729_BCD001.csv","810729_BCD001_CSV File 1m Bins")</f>
        <v>810729_BCD001_CSV File 1m Bins</v>
      </c>
      <c r="D3175">
        <v>810729</v>
      </c>
      <c r="E3175" t="s">
        <v>2165</v>
      </c>
      <c r="G3175" t="s">
        <v>2177</v>
      </c>
      <c r="I3175">
        <v>-15.860799999999999</v>
      </c>
      <c r="J3175">
        <v>136.08500000000001</v>
      </c>
    </row>
    <row r="3176" spans="1:11" x14ac:dyDescent="0.25">
      <c r="A3176" t="str">
        <f>HYPERLINK("http://www.corstruth.com.au/NT/810757_McA10_cs.png","810757_McA10_A4")</f>
        <v>810757_McA10_A4</v>
      </c>
      <c r="B3176" t="str">
        <f>HYPERLINK("http://www.corstruth.com.au/NT/PNG2/810757_McA10_cs.png","810757_McA10_0.25m Bins")</f>
        <v>810757_McA10_0.25m Bins</v>
      </c>
      <c r="C3176" t="str">
        <f>HYPERLINK("http://www.corstruth.com.au/NT/CSV/810757_McA10.csv","810757_McA10_CSV File 1m Bins")</f>
        <v>810757_McA10_CSV File 1m Bins</v>
      </c>
      <c r="D3176">
        <v>810757</v>
      </c>
      <c r="E3176" t="s">
        <v>2165</v>
      </c>
      <c r="G3176" t="s">
        <v>2177</v>
      </c>
      <c r="I3176">
        <v>-16.509499999999999</v>
      </c>
      <c r="J3176">
        <v>135.96</v>
      </c>
    </row>
    <row r="3177" spans="1:11" x14ac:dyDescent="0.25">
      <c r="A3177" t="str">
        <f>HYPERLINK("http://www.corstruth.com.au/NT/810761_McA11_cs.png","810761_McA11_A4")</f>
        <v>810761_McA11_A4</v>
      </c>
      <c r="B3177" t="str">
        <f>HYPERLINK("http://www.corstruth.com.au/NT/PNG2/810761_McA11_cs.png","810761_McA11_0.25m Bins")</f>
        <v>810761_McA11_0.25m Bins</v>
      </c>
      <c r="C3177" t="str">
        <f>HYPERLINK("http://www.corstruth.com.au/NT/CSV/810761_McA11.csv","810761_McA11_CSV File 1m Bins")</f>
        <v>810761_McA11_CSV File 1m Bins</v>
      </c>
      <c r="D3177">
        <v>810761</v>
      </c>
      <c r="E3177" t="s">
        <v>2165</v>
      </c>
      <c r="G3177" t="s">
        <v>2177</v>
      </c>
      <c r="I3177">
        <v>-16.509499999999999</v>
      </c>
      <c r="J3177">
        <v>135.97999999999999</v>
      </c>
    </row>
    <row r="3178" spans="1:11" x14ac:dyDescent="0.25">
      <c r="A3178" t="str">
        <f>HYPERLINK("http://www.corstruth.com.au/NT/810765_McA7_cs.png","810765_McA7_A4")</f>
        <v>810765_McA7_A4</v>
      </c>
      <c r="B3178" t="str">
        <f>HYPERLINK("http://www.corstruth.com.au/NT/PNG2/810765_McA7_cs.png","810765_McA7_0.25m Bins")</f>
        <v>810765_McA7_0.25m Bins</v>
      </c>
      <c r="C3178" t="str">
        <f>HYPERLINK("http://www.corstruth.com.au/NT/CSV/810765_McA7.csv","810765_McA7_CSV File 1m Bins")</f>
        <v>810765_McA7_CSV File 1m Bins</v>
      </c>
      <c r="D3178">
        <v>810765</v>
      </c>
      <c r="E3178" t="s">
        <v>2165</v>
      </c>
      <c r="G3178" t="s">
        <v>2177</v>
      </c>
      <c r="I3178">
        <v>-16.507899999999999</v>
      </c>
      <c r="J3178">
        <v>135.94399999999999</v>
      </c>
    </row>
    <row r="3179" spans="1:11" x14ac:dyDescent="0.25">
      <c r="A3179" t="str">
        <f>HYPERLINK("http://www.corstruth.com.au/NT/810773_McA9_cs.png","810773_McA9_A4")</f>
        <v>810773_McA9_A4</v>
      </c>
      <c r="B3179" t="str">
        <f>HYPERLINK("http://www.corstruth.com.au/NT/PNG2/810773_McA9_cs.png","810773_McA9_0.25m Bins")</f>
        <v>810773_McA9_0.25m Bins</v>
      </c>
      <c r="C3179" t="str">
        <f>HYPERLINK("http://www.corstruth.com.au/NT/CSV/810773_McA9.csv","810773_McA9_CSV File 1m Bins")</f>
        <v>810773_McA9_CSV File 1m Bins</v>
      </c>
      <c r="D3179">
        <v>810773</v>
      </c>
      <c r="E3179" t="s">
        <v>2165</v>
      </c>
      <c r="G3179" t="s">
        <v>2177</v>
      </c>
      <c r="I3179">
        <v>-16.481200000000001</v>
      </c>
      <c r="J3179">
        <v>135.93</v>
      </c>
    </row>
    <row r="3180" spans="1:11" x14ac:dyDescent="0.25">
      <c r="A3180" t="str">
        <f>HYPERLINK("http://www.corstruth.com.au/NT/824610_DD01BAL01_cs.png","824610_DD01BAL01_A4")</f>
        <v>824610_DD01BAL01_A4</v>
      </c>
      <c r="B3180" t="str">
        <f>HYPERLINK("http://www.corstruth.com.au/NT/PNG2/824610_DD01BAL01_cs.png","824610_DD01BAL01_0.25m Bins")</f>
        <v>824610_DD01BAL01_0.25m Bins</v>
      </c>
      <c r="C3180" t="str">
        <f>HYPERLINK("http://www.corstruth.com.au/NT/CSV/824610_DD01BAL01.csv","824610_DD01BAL01_CSV File 1m Bins")</f>
        <v>824610_DD01BAL01_CSV File 1m Bins</v>
      </c>
      <c r="D3180">
        <v>824610</v>
      </c>
      <c r="E3180" t="s">
        <v>2165</v>
      </c>
      <c r="G3180" t="s">
        <v>2177</v>
      </c>
      <c r="I3180">
        <v>-16.156700000000001</v>
      </c>
      <c r="J3180">
        <v>136.03299999999999</v>
      </c>
    </row>
    <row r="3181" spans="1:11" x14ac:dyDescent="0.25">
      <c r="A3181" t="str">
        <f>HYPERLINK("http://www.corstruth.com.au/NT/824614_DD01BAL02_cs.png","824614_DD01BAL02_A4")</f>
        <v>824614_DD01BAL02_A4</v>
      </c>
      <c r="B3181" t="str">
        <f>HYPERLINK("http://www.corstruth.com.au/NT/PNG2/824614_DD01BAL02_cs.png","824614_DD01BAL02_0.25m Bins")</f>
        <v>824614_DD01BAL02_0.25m Bins</v>
      </c>
      <c r="C3181" t="str">
        <f>HYPERLINK("http://www.corstruth.com.au/NT/CSV/824614_DD01BAL02.csv","824614_DD01BAL02_CSV File 1m Bins")</f>
        <v>824614_DD01BAL02_CSV File 1m Bins</v>
      </c>
      <c r="D3181">
        <v>824614</v>
      </c>
      <c r="E3181" t="s">
        <v>2165</v>
      </c>
      <c r="G3181" t="s">
        <v>2177</v>
      </c>
      <c r="I3181">
        <v>-16.138500000000001</v>
      </c>
      <c r="J3181">
        <v>136.01900000000001</v>
      </c>
    </row>
    <row r="3182" spans="1:11" x14ac:dyDescent="0.25">
      <c r="A3182" t="str">
        <f>HYPERLINK("http://www.corstruth.com.au/NT/824618_DD01BAL03_cs.png","824618_DD01BAL03_A4")</f>
        <v>824618_DD01BAL03_A4</v>
      </c>
      <c r="B3182" t="str">
        <f>HYPERLINK("http://www.corstruth.com.au/NT/PNG2/824618_DD01BAL03_cs.png","824618_DD01BAL03_0.25m Bins")</f>
        <v>824618_DD01BAL03_0.25m Bins</v>
      </c>
      <c r="C3182" t="str">
        <f>HYPERLINK("http://www.corstruth.com.au/NT/CSV/824618_DD01BAL03.csv","824618_DD01BAL03_CSV File 1m Bins")</f>
        <v>824618_DD01BAL03_CSV File 1m Bins</v>
      </c>
      <c r="D3182">
        <v>824618</v>
      </c>
      <c r="E3182" t="s">
        <v>2165</v>
      </c>
      <c r="G3182" t="s">
        <v>2177</v>
      </c>
      <c r="I3182">
        <v>-16.180199999999999</v>
      </c>
      <c r="J3182">
        <v>136.02600000000001</v>
      </c>
    </row>
    <row r="3183" spans="1:11" x14ac:dyDescent="0.25">
      <c r="A3183" t="str">
        <f>HYPERLINK("http://www.corstruth.com.au/NT/830830_McA13_cs.png","830830_McA13_A4")</f>
        <v>830830_McA13_A4</v>
      </c>
      <c r="B3183" t="str">
        <f>HYPERLINK("http://www.corstruth.com.au/NT/PNG2/830830_McA13_cs.png","830830_McA13_0.25m Bins")</f>
        <v>830830_McA13_0.25m Bins</v>
      </c>
      <c r="C3183" t="str">
        <f>HYPERLINK("http://www.corstruth.com.au/NT/CSV/830830_McA13.csv","830830_McA13_CSV File 1m Bins")</f>
        <v>830830_McA13_CSV File 1m Bins</v>
      </c>
      <c r="D3183">
        <v>830830</v>
      </c>
      <c r="E3183" t="s">
        <v>2165</v>
      </c>
      <c r="G3183" t="s">
        <v>2177</v>
      </c>
      <c r="I3183">
        <v>-15.8361</v>
      </c>
      <c r="J3183">
        <v>136.20500000000001</v>
      </c>
      <c r="K3183" t="str">
        <f>HYPERLINK("http://geology.data.nt.gov.au/NVCLDataServices/mosaic.html?datasetid=924ef08e-54be-497b-beba-f2d8026d54b","830830_McA13_Core Image")</f>
        <v>830830_McA13_Core Image</v>
      </c>
    </row>
    <row r="3184" spans="1:11" x14ac:dyDescent="0.25">
      <c r="A3184" t="str">
        <f>HYPERLINK("http://www.corstruth.com.au/NT/830834_McA14_cs.png","830834_McA14_A4")</f>
        <v>830834_McA14_A4</v>
      </c>
      <c r="B3184" t="str">
        <f>HYPERLINK("http://www.corstruth.com.au/NT/PNG2/830834_McA14_cs.png","830834_McA14_0.25m Bins")</f>
        <v>830834_McA14_0.25m Bins</v>
      </c>
      <c r="C3184" t="str">
        <f>HYPERLINK("http://www.corstruth.com.au/NT/CSV/830834_McA14.csv","830834_McA14_CSV File 1m Bins")</f>
        <v>830834_McA14_CSV File 1m Bins</v>
      </c>
      <c r="D3184">
        <v>830834</v>
      </c>
      <c r="E3184" t="s">
        <v>2165</v>
      </c>
      <c r="G3184" t="s">
        <v>2177</v>
      </c>
      <c r="I3184">
        <v>-15.759600000000001</v>
      </c>
      <c r="J3184">
        <v>136.244</v>
      </c>
    </row>
    <row r="3185" spans="1:11" x14ac:dyDescent="0.25">
      <c r="A3185" t="str">
        <f>HYPERLINK("http://www.corstruth.com.au/NT/830838_McA16_cs.png","830838_McA16_A4")</f>
        <v>830838_McA16_A4</v>
      </c>
      <c r="B3185" t="str">
        <f>HYPERLINK("http://www.corstruth.com.au/NT/PNG2/830838_McA16_cs.png","830838_McA16_0.25m Bins")</f>
        <v>830838_McA16_0.25m Bins</v>
      </c>
      <c r="C3185" t="str">
        <f>HYPERLINK("http://www.corstruth.com.au/NT/CSV/830838_McA16.csv","830838_McA16_CSV File 1m Bins")</f>
        <v>830838_McA16_CSV File 1m Bins</v>
      </c>
      <c r="D3185">
        <v>830838</v>
      </c>
      <c r="E3185" t="s">
        <v>2165</v>
      </c>
      <c r="G3185" t="s">
        <v>2177</v>
      </c>
      <c r="I3185">
        <v>-15.892200000000001</v>
      </c>
      <c r="J3185">
        <v>136.11500000000001</v>
      </c>
    </row>
    <row r="3186" spans="1:11" x14ac:dyDescent="0.25">
      <c r="A3186" t="str">
        <f>HYPERLINK("http://www.corstruth.com.au/NT/830842_McA4_cs.png","830842_McA4_A4")</f>
        <v>830842_McA4_A4</v>
      </c>
      <c r="B3186" t="str">
        <f>HYPERLINK("http://www.corstruth.com.au/NT/PNG2/830842_McA4_cs.png","830842_McA4_0.25m Bins")</f>
        <v>830842_McA4_0.25m Bins</v>
      </c>
      <c r="C3186" t="str">
        <f>HYPERLINK("http://www.corstruth.com.au/NT/CSV/830842_McA4.csv","830842_McA4_CSV File 1m Bins")</f>
        <v>830842_McA4_CSV File 1m Bins</v>
      </c>
      <c r="D3186">
        <v>830842</v>
      </c>
      <c r="E3186" t="s">
        <v>2165</v>
      </c>
      <c r="G3186" t="s">
        <v>2177</v>
      </c>
      <c r="I3186">
        <v>-15.8299</v>
      </c>
      <c r="J3186">
        <v>136.108</v>
      </c>
    </row>
    <row r="3187" spans="1:11" x14ac:dyDescent="0.25">
      <c r="A3187" t="str">
        <f>HYPERLINK("http://www.corstruth.com.au/NT/830846_McA5_cs.png","830846_McA5_A4")</f>
        <v>830846_McA5_A4</v>
      </c>
      <c r="B3187" t="str">
        <f>HYPERLINK("http://www.corstruth.com.au/NT/PNG2/830846_McA5_cs.png","830846_McA5_0.25m Bins")</f>
        <v>830846_McA5_0.25m Bins</v>
      </c>
      <c r="C3187" t="str">
        <f>HYPERLINK("http://www.corstruth.com.au/NT/CSV/830846_McA5.csv","830846_McA5_CSV File 1m Bins")</f>
        <v>830846_McA5_CSV File 1m Bins</v>
      </c>
      <c r="D3187">
        <v>830846</v>
      </c>
      <c r="E3187" t="s">
        <v>2165</v>
      </c>
      <c r="G3187" t="s">
        <v>2177</v>
      </c>
      <c r="I3187">
        <v>-15.846500000000001</v>
      </c>
      <c r="J3187">
        <v>136.10599999999999</v>
      </c>
      <c r="K3187" t="str">
        <f>HYPERLINK("http://geology.data.nt.gov.au/NVCLDataServices/mosaic.html?datasetid=c02e74f3-605b-43aa-bddd-16f97d2c130","830846_McA5_Core Image")</f>
        <v>830846_McA5_Core Image</v>
      </c>
    </row>
    <row r="3188" spans="1:11" x14ac:dyDescent="0.25">
      <c r="A3188" t="str">
        <f>HYPERLINK("http://www.corstruth.com.au/NT/8418305_LV09001_cs.png","8418305_LV09001_A4")</f>
        <v>8418305_LV09001_A4</v>
      </c>
      <c r="B3188" t="str">
        <f>HYPERLINK("http://www.corstruth.com.au/NT/PNG2/8418305_LV09001_cs.png","8418305_LV09001_0.25m Bins")</f>
        <v>8418305_LV09001_0.25m Bins</v>
      </c>
      <c r="C3188" t="str">
        <f>HYPERLINK("http://www.corstruth.com.au/NT/CSV/8418305_LV09001.csv","8418305_LV09001_CSV File 1m Bins")</f>
        <v>8418305_LV09001_CSV File 1m Bins</v>
      </c>
      <c r="D3188">
        <v>8418305</v>
      </c>
      <c r="E3188" t="s">
        <v>2165</v>
      </c>
      <c r="G3188" t="s">
        <v>2177</v>
      </c>
      <c r="I3188">
        <v>-16.822199999999999</v>
      </c>
      <c r="J3188">
        <v>136.30799999999999</v>
      </c>
      <c r="K3188" t="str">
        <f>HYPERLINK("http://geology.data.nt.gov.au/NVCLDataServices/mosaic.html?datasetid=0aef1028-27d3-4583-8c3b-a44859c7b19","8418305_LV09001_Core Image")</f>
        <v>8418305_LV09001_Core Image</v>
      </c>
    </row>
    <row r="3189" spans="1:11" x14ac:dyDescent="0.25">
      <c r="A3189" t="str">
        <f>HYPERLINK("http://www.corstruth.com.au/NT/8423204_AL-D1_cs.png","8423204_AL-D1_A4")</f>
        <v>8423204_AL-D1_A4</v>
      </c>
      <c r="B3189" t="str">
        <f>HYPERLINK("http://www.corstruth.com.au/NT/PNG2/8423204_AL-D1_cs.png","8423204_AL-D1_0.25m Bins")</f>
        <v>8423204_AL-D1_0.25m Bins</v>
      </c>
      <c r="C3189" t="str">
        <f>HYPERLINK("http://www.corstruth.com.au/NT/CSV/8423204_AL-D1.csv","8423204_AL-D1_CSV File 1m Bins")</f>
        <v>8423204_AL-D1_CSV File 1m Bins</v>
      </c>
      <c r="D3189">
        <v>8423204</v>
      </c>
      <c r="E3189" t="s">
        <v>2165</v>
      </c>
      <c r="G3189" t="s">
        <v>2177</v>
      </c>
      <c r="I3189">
        <v>-12.831899999999999</v>
      </c>
      <c r="J3189">
        <v>135.55099999999999</v>
      </c>
    </row>
    <row r="3190" spans="1:11" x14ac:dyDescent="0.25">
      <c r="A3190" t="str">
        <f>HYPERLINK("http://www.corstruth.com.au/NT/8423236_Elliott_1_cs.png","8423236_Elliott_1_A4")</f>
        <v>8423236_Elliott_1_A4</v>
      </c>
      <c r="B3190" t="str">
        <f>HYPERLINK("http://www.corstruth.com.au/NT/PNG2/8423236_Elliott_1_cs.png","8423236_Elliott_1_0.25m Bins")</f>
        <v>8423236_Elliott_1_0.25m Bins</v>
      </c>
      <c r="C3190" t="str">
        <f>HYPERLINK("http://www.corstruth.com.au/NT/CSV/8423236_Elliott_1.csv","8423236_Elliott_1_CSV File 1m Bins")</f>
        <v>8423236_Elliott_1_CSV File 1m Bins</v>
      </c>
      <c r="D3190">
        <v>8423236</v>
      </c>
      <c r="E3190" t="s">
        <v>2165</v>
      </c>
      <c r="G3190" t="s">
        <v>2177</v>
      </c>
      <c r="I3190">
        <v>-17.3889</v>
      </c>
      <c r="J3190">
        <v>133.76</v>
      </c>
      <c r="K3190" t="str">
        <f>HYPERLINK("http://geology.data.nt.gov.au/NVCLDataServices/mosaic.html?datasetid=e8c5ef41-d746-4cdb-a995-bfc9da6f70d","8423236_Elliott_1_Core Image")</f>
        <v>8423236_Elliott_1_Core Image</v>
      </c>
    </row>
    <row r="3191" spans="1:11" x14ac:dyDescent="0.25">
      <c r="A3191" t="str">
        <f>HYPERLINK("http://www.corstruth.com.au/NT/8423294_AltreeNo2_cs.png","8423294_AltreeNo2_A4")</f>
        <v>8423294_AltreeNo2_A4</v>
      </c>
      <c r="B3191" t="str">
        <f>HYPERLINK("http://www.corstruth.com.au/NT/PNG2/8423294_AltreeNo2_cs.png","8423294_AltreeNo2_0.25m Bins")</f>
        <v>8423294_AltreeNo2_0.25m Bins</v>
      </c>
      <c r="C3191" t="str">
        <f>HYPERLINK("http://www.corstruth.com.au/NT/CSV/8423294_AltreeNo2.csv","8423294_AltreeNo2_CSV File 1m Bins")</f>
        <v>8423294_AltreeNo2_CSV File 1m Bins</v>
      </c>
      <c r="D3191">
        <v>8423294</v>
      </c>
      <c r="E3191" t="s">
        <v>2165</v>
      </c>
      <c r="G3191" t="s">
        <v>2177</v>
      </c>
      <c r="I3191">
        <v>-15.9236</v>
      </c>
      <c r="J3191">
        <v>133.786</v>
      </c>
      <c r="K3191" t="str">
        <f>HYPERLINK("http://geology.data.nt.gov.au/NVCLDataServices/mosaic.html?datasetid=c8218fbf-c92d-4e86-b63a-4e67d9597a1","8423294_AltreeNo2_Core Image")</f>
        <v>8423294_AltreeNo2_Core Image</v>
      </c>
    </row>
    <row r="3192" spans="1:11" x14ac:dyDescent="0.25">
      <c r="A3192" t="str">
        <f>HYPERLINK("http://www.corstruth.com.au/NT/8423299_McManus_1_cs.png","8423299_McManus_1_A4")</f>
        <v>8423299_McManus_1_A4</v>
      </c>
      <c r="B3192" t="str">
        <f>HYPERLINK("http://www.corstruth.com.au/NT/PNG2/8423299_McManus_1_cs.png","8423299_McManus_1_0.25m Bins")</f>
        <v>8423299_McManus_1_0.25m Bins</v>
      </c>
      <c r="C3192" t="str">
        <f>HYPERLINK("http://www.corstruth.com.au/NT/CSV/8423299_McManus_1.csv","8423299_McManus_1_CSV File 1m Bins")</f>
        <v>8423299_McManus_1_CSV File 1m Bins</v>
      </c>
      <c r="D3192">
        <v>8423299</v>
      </c>
      <c r="E3192" t="s">
        <v>2165</v>
      </c>
      <c r="G3192" t="s">
        <v>2177</v>
      </c>
      <c r="I3192">
        <v>-15.9191</v>
      </c>
      <c r="J3192">
        <v>133.631</v>
      </c>
      <c r="K3192" t="str">
        <f>HYPERLINK("http://geology.data.nt.gov.au/NVCLDataServices/mosaic.html?datasetid=604a1f60-8202-45e9-92a2-2df5f176c22","8423299_McManus_1_Core Image")</f>
        <v>8423299_McManus_1_Core Image</v>
      </c>
    </row>
    <row r="3193" spans="1:11" x14ac:dyDescent="0.25">
      <c r="A3193" t="str">
        <f>HYPERLINK("http://www.corstruth.com.au/NT/8423309_Walton_2_cs.png","8423309_Walton_2_A4")</f>
        <v>8423309_Walton_2_A4</v>
      </c>
      <c r="B3193" t="str">
        <f>HYPERLINK("http://www.corstruth.com.au/NT/PNG2/8423309_Walton_2_cs.png","8423309_Walton_2_0.25m Bins")</f>
        <v>8423309_Walton_2_0.25m Bins</v>
      </c>
      <c r="C3193" t="str">
        <f>HYPERLINK("http://www.corstruth.com.au/NT/CSV/8423309_Walton_2.csv","8423309_Walton_2_CSV File 1m Bins")</f>
        <v>8423309_Walton_2_CSV File 1m Bins</v>
      </c>
      <c r="D3193">
        <v>8423309</v>
      </c>
      <c r="E3193" t="s">
        <v>2165</v>
      </c>
      <c r="G3193" t="s">
        <v>2177</v>
      </c>
      <c r="I3193">
        <v>-15.931800000000001</v>
      </c>
      <c r="J3193">
        <v>133.66800000000001</v>
      </c>
      <c r="K3193" t="str">
        <f>HYPERLINK("http://geology.data.nt.gov.au/NVCLDataServices/mosaic.html?datasetid=4391b9bb-7ce5-427b-9730-5c9df4dc8dc","8423309_Walton_2_Core Image")</f>
        <v>8423309_Walton_2_Core Image</v>
      </c>
    </row>
    <row r="3194" spans="1:11" x14ac:dyDescent="0.25">
      <c r="A3194" t="str">
        <f>HYPERLINK("http://www.corstruth.com.au/NT/8423315_Balmain_1_cs.png","8423315_Balmain_1_A4")</f>
        <v>8423315_Balmain_1_A4</v>
      </c>
      <c r="B3194" t="str">
        <f>HYPERLINK("http://www.corstruth.com.au/NT/PNG2/8423315_Balmain_1_cs.png","8423315_Balmain_1_0.25m Bins")</f>
        <v>8423315_Balmain_1_0.25m Bins</v>
      </c>
      <c r="C3194" t="str">
        <f>HYPERLINK("http://www.corstruth.com.au/NT/CSV/8423315_Balmain_1.csv","8423315_Balmain_1_CSV File 1m Bins")</f>
        <v>8423315_Balmain_1_CSV File 1m Bins</v>
      </c>
      <c r="D3194">
        <v>8423315</v>
      </c>
      <c r="E3194" t="s">
        <v>2165</v>
      </c>
      <c r="G3194" t="s">
        <v>2177</v>
      </c>
      <c r="I3194">
        <v>-16.619</v>
      </c>
      <c r="J3194">
        <v>133.57900000000001</v>
      </c>
    </row>
    <row r="3195" spans="1:11" x14ac:dyDescent="0.25">
      <c r="A3195" t="str">
        <f>HYPERLINK("http://www.corstruth.com.au/NT/8434922_GGD001_cs.png","8434922_GGD001_A4")</f>
        <v>8434922_GGD001_A4</v>
      </c>
      <c r="B3195" t="str">
        <f>HYPERLINK("http://www.corstruth.com.au/NT/PNG2/8434922_GGD001_cs.png","8434922_GGD001_0.25m Bins")</f>
        <v>8434922_GGD001_0.25m Bins</v>
      </c>
      <c r="C3195" t="str">
        <f>HYPERLINK("http://www.corstruth.com.au/NT/CSV/8434922_GGD001.csv","8434922_GGD001_CSV File 1m Bins")</f>
        <v>8434922_GGD001_CSV File 1m Bins</v>
      </c>
      <c r="D3195">
        <v>8434922</v>
      </c>
      <c r="E3195" t="s">
        <v>2165</v>
      </c>
      <c r="G3195" t="s">
        <v>2177</v>
      </c>
      <c r="I3195">
        <v>-12.5656</v>
      </c>
      <c r="J3195">
        <v>134.066</v>
      </c>
      <c r="K3195" t="str">
        <f>HYPERLINK("http://geology.data.nt.gov.au/NVCLDataServices/mosaic.html?datasetid=a7dda968-55e3-4fa3-86f1-d458e6b7a59","8434922_GGD001_Core Image")</f>
        <v>8434922_GGD001_Core Image</v>
      </c>
    </row>
    <row r="3196" spans="1:11" x14ac:dyDescent="0.25">
      <c r="A3196" t="str">
        <f>HYPERLINK("http://www.corstruth.com.au/NT/8434927_MRD002_cs.png","8434927_MRD002_A4")</f>
        <v>8434927_MRD002_A4</v>
      </c>
      <c r="B3196" t="str">
        <f>HYPERLINK("http://www.corstruth.com.au/NT/PNG2/8434927_MRD002_cs.png","8434927_MRD002_0.25m Bins")</f>
        <v>8434927_MRD002_0.25m Bins</v>
      </c>
      <c r="C3196" t="str">
        <f>HYPERLINK("http://www.corstruth.com.au/NT/CSV/8434927_MRD002.csv","8434927_MRD002_CSV File 1m Bins")</f>
        <v>8434927_MRD002_CSV File 1m Bins</v>
      </c>
      <c r="D3196">
        <v>8434927</v>
      </c>
      <c r="E3196" t="s">
        <v>2165</v>
      </c>
      <c r="G3196" t="s">
        <v>2177</v>
      </c>
      <c r="I3196">
        <v>-12.4369</v>
      </c>
      <c r="J3196">
        <v>133.321</v>
      </c>
      <c r="K3196" t="str">
        <f>HYPERLINK("http://geology.data.nt.gov.au/NVCLDataServices/mosaic.html?datasetid=d5ec373a-93d4-4388-a218-2590440bcc3","8434927_MRD002_Core Image")</f>
        <v>8434927_MRD002_Core Image</v>
      </c>
    </row>
    <row r="3197" spans="1:11" x14ac:dyDescent="0.25">
      <c r="A3197" t="str">
        <f>HYPERLINK("http://www.corstruth.com.au/NT/8434936_CDD0005_cs.png","8434936_CDD0005_A4")</f>
        <v>8434936_CDD0005_A4</v>
      </c>
      <c r="B3197" t="str">
        <f>HYPERLINK("http://www.corstruth.com.au/NT/PNG2/8434936_CDD0005_cs.png","8434936_CDD0005_0.25m Bins")</f>
        <v>8434936_CDD0005_0.25m Bins</v>
      </c>
      <c r="C3197" t="str">
        <f>HYPERLINK("http://www.corstruth.com.au/NT/CSV/8434936_CDD0005.csv","8434936_CDD0005_CSV File 1m Bins")</f>
        <v>8434936_CDD0005_CSV File 1m Bins</v>
      </c>
      <c r="D3197">
        <v>8434936</v>
      </c>
      <c r="E3197" t="s">
        <v>2165</v>
      </c>
      <c r="G3197" t="s">
        <v>2177</v>
      </c>
      <c r="I3197">
        <v>-12.3399</v>
      </c>
      <c r="J3197">
        <v>133.529</v>
      </c>
    </row>
    <row r="3198" spans="1:11" x14ac:dyDescent="0.25">
      <c r="A3198" t="str">
        <f>HYPERLINK("http://www.corstruth.com.au/NT/8434940_CDD0007_cs.png","8434940_CDD0007_A4")</f>
        <v>8434940_CDD0007_A4</v>
      </c>
      <c r="B3198" t="str">
        <f>HYPERLINK("http://www.corstruth.com.au/NT/PNG2/8434940_CDD0007_cs.png","8434940_CDD0007_0.25m Bins")</f>
        <v>8434940_CDD0007_0.25m Bins</v>
      </c>
      <c r="C3198" t="str">
        <f>HYPERLINK("http://www.corstruth.com.au/NT/CSV/8434940_CDD0007.csv","8434940_CDD0007_CSV File 1m Bins")</f>
        <v>8434940_CDD0007_CSV File 1m Bins</v>
      </c>
      <c r="D3198">
        <v>8434940</v>
      </c>
      <c r="E3198" t="s">
        <v>2165</v>
      </c>
      <c r="G3198" t="s">
        <v>2177</v>
      </c>
      <c r="I3198">
        <v>-12.3392</v>
      </c>
      <c r="J3198">
        <v>133.52000000000001</v>
      </c>
    </row>
    <row r="3199" spans="1:11" x14ac:dyDescent="0.25">
      <c r="A3199" t="str">
        <f>HYPERLINK("http://www.corstruth.com.au/NT/8434944_CDD0008_cs.png","8434944_CDD0008_A4")</f>
        <v>8434944_CDD0008_A4</v>
      </c>
      <c r="B3199" t="str">
        <f>HYPERLINK("http://www.corstruth.com.au/NT/PNG2/8434944_CDD0008_cs.png","8434944_CDD0008_0.25m Bins")</f>
        <v>8434944_CDD0008_0.25m Bins</v>
      </c>
      <c r="C3199" t="str">
        <f>HYPERLINK("http://www.corstruth.com.au/NT/CSV/8434944_CDD0008.csv","8434944_CDD0008_CSV File 1m Bins")</f>
        <v>8434944_CDD0008_CSV File 1m Bins</v>
      </c>
      <c r="D3199">
        <v>8434944</v>
      </c>
      <c r="E3199" t="s">
        <v>2165</v>
      </c>
      <c r="G3199" t="s">
        <v>2177</v>
      </c>
      <c r="I3199">
        <v>-12.3385</v>
      </c>
      <c r="J3199">
        <v>133.51400000000001</v>
      </c>
    </row>
    <row r="3200" spans="1:11" x14ac:dyDescent="0.25">
      <c r="A3200" t="str">
        <f>HYPERLINK("http://www.corstruth.com.au/NT/8434949_KLD0105_cs.png","8434949_KLD0105_A4")</f>
        <v>8434949_KLD0105_A4</v>
      </c>
      <c r="B3200" t="str">
        <f>HYPERLINK("http://www.corstruth.com.au/NT/PNG2/8434949_KLD0105_cs.png","8434949_KLD0105_0.25m Bins")</f>
        <v>8434949_KLD0105_0.25m Bins</v>
      </c>
      <c r="C3200" t="str">
        <f>HYPERLINK("http://www.corstruth.com.au/NT/CSV/8434949_KLD0105.csv","8434949_KLD0105_CSV File 1m Bins")</f>
        <v>8434949_KLD0105_CSV File 1m Bins</v>
      </c>
      <c r="D3200">
        <v>8434949</v>
      </c>
      <c r="E3200" t="s">
        <v>2165</v>
      </c>
      <c r="G3200" t="s">
        <v>2177</v>
      </c>
      <c r="I3200">
        <v>-12.5379</v>
      </c>
      <c r="J3200">
        <v>133.447</v>
      </c>
      <c r="K3200" t="str">
        <f>HYPERLINK("http://geology.data.nt.gov.au/NVCLDataServices/mosaic.html?datasetid=d576df34-4cc0-4ef1-ae38-ae8af574e5a","8434949_KLD0105_Core Image")</f>
        <v>8434949_KLD0105_Core Image</v>
      </c>
    </row>
    <row r="3201" spans="1:11" x14ac:dyDescent="0.25">
      <c r="A3201" t="str">
        <f>HYPERLINK("http://www.corstruth.com.au/NT/8434953_KLD0106_cs.png","8434953_KLD0106_A4")</f>
        <v>8434953_KLD0106_A4</v>
      </c>
      <c r="B3201" t="str">
        <f>HYPERLINK("http://www.corstruth.com.au/NT/PNG2/8434953_KLD0106_cs.png","8434953_KLD0106_0.25m Bins")</f>
        <v>8434953_KLD0106_0.25m Bins</v>
      </c>
      <c r="C3201" t="str">
        <f>HYPERLINK("http://www.corstruth.com.au/NT/CSV/8434953_KLD0106.csv","8434953_KLD0106_CSV File 1m Bins")</f>
        <v>8434953_KLD0106_CSV File 1m Bins</v>
      </c>
      <c r="D3201">
        <v>8434953</v>
      </c>
      <c r="E3201" t="s">
        <v>2165</v>
      </c>
      <c r="G3201" t="s">
        <v>2177</v>
      </c>
      <c r="I3201">
        <v>-12.540699999999999</v>
      </c>
      <c r="J3201">
        <v>133.446</v>
      </c>
    </row>
    <row r="3202" spans="1:11" x14ac:dyDescent="0.25">
      <c r="A3202" t="str">
        <f>HYPERLINK("http://www.corstruth.com.au/NT/8434972_KLD103_cs.png","8434972_KLD103_A4")</f>
        <v>8434972_KLD103_A4</v>
      </c>
      <c r="B3202" t="str">
        <f>HYPERLINK("http://www.corstruth.com.au/NT/PNG2/8434972_KLD103_cs.png","8434972_KLD103_0.25m Bins")</f>
        <v>8434972_KLD103_0.25m Bins</v>
      </c>
      <c r="C3202" t="str">
        <f>HYPERLINK("http://www.corstruth.com.au/NT/CSV/8434972_KLD103.csv","8434972_KLD103_CSV File 1m Bins")</f>
        <v>8434972_KLD103_CSV File 1m Bins</v>
      </c>
      <c r="D3202">
        <v>8434972</v>
      </c>
      <c r="E3202" t="s">
        <v>2165</v>
      </c>
      <c r="G3202" t="s">
        <v>2177</v>
      </c>
      <c r="I3202">
        <v>-12.4876</v>
      </c>
      <c r="J3202">
        <v>133.428</v>
      </c>
    </row>
    <row r="3203" spans="1:11" x14ac:dyDescent="0.25">
      <c r="A3203" t="str">
        <f>HYPERLINK("http://www.corstruth.com.au/NT/8445234_GRNT_79_9_cs.png","8445234_GRNT_79_9_A4")</f>
        <v>8445234_GRNT_79_9_A4</v>
      </c>
      <c r="B3203" t="str">
        <f>HYPERLINK("http://www.corstruth.com.au/NT/PNG2/8445234_GRNT_79_9_cs.png","8445234_GRNT_79_9_0.25m Bins")</f>
        <v>8445234_GRNT_79_9_0.25m Bins</v>
      </c>
      <c r="C3203" t="str">
        <f>HYPERLINK("http://www.corstruth.com.au/NT/CSV/8445234_GRNT_79_9.csv","8445234_GRNT_79_9_CSV File 1m Bins")</f>
        <v>8445234_GRNT_79_9_CSV File 1m Bins</v>
      </c>
      <c r="D3203">
        <v>8445234</v>
      </c>
      <c r="E3203" t="s">
        <v>2165</v>
      </c>
      <c r="G3203" t="s">
        <v>2177</v>
      </c>
      <c r="I3203">
        <v>-16.961300000000001</v>
      </c>
      <c r="J3203">
        <v>136.32</v>
      </c>
      <c r="K3203" t="str">
        <f>HYPERLINK("http://geology.data.nt.gov.au/NVCLDataServices/mosaic.html?datasetid=a95ce27f-b3b4-42f1-887f-c474c7c4214","8445234_GRNT_79_9_Core Image")</f>
        <v>8445234_GRNT_79_9_Core Image</v>
      </c>
    </row>
    <row r="3204" spans="1:11" x14ac:dyDescent="0.25">
      <c r="A3204" t="str">
        <f>HYPERLINK("http://www.corstruth.com.au/NT/8445272_GRNT79_8_cs.png","8445272_GRNT79_8_A4")</f>
        <v>8445272_GRNT79_8_A4</v>
      </c>
      <c r="B3204" t="str">
        <f>HYPERLINK("http://www.corstruth.com.au/NT/PNG2/8445272_GRNT79_8_cs.png","8445272_GRNT79_8_0.25m Bins")</f>
        <v>8445272_GRNT79_8_0.25m Bins</v>
      </c>
      <c r="C3204" t="str">
        <f>HYPERLINK("http://www.corstruth.com.au/NT/CSV/8445272_GRNT79_8.csv","8445272_GRNT79_8_CSV File 1m Bins")</f>
        <v>8445272_GRNT79_8_CSV File 1m Bins</v>
      </c>
      <c r="D3204">
        <v>8445272</v>
      </c>
      <c r="E3204" t="s">
        <v>2165</v>
      </c>
      <c r="G3204" t="s">
        <v>2177</v>
      </c>
      <c r="I3204">
        <v>-16.9907</v>
      </c>
      <c r="J3204">
        <v>136.33199999999999</v>
      </c>
      <c r="K3204" t="str">
        <f>HYPERLINK("http://geology.data.nt.gov.au/NVCLDataServices/mosaic.html?datasetid=ad8db6c6-d493-4b37-b1b5-447e4bc14fd","8445272_GRNT79_8_Core Image")</f>
        <v>8445272_GRNT79_8_Core Image</v>
      </c>
    </row>
    <row r="3205" spans="1:11" x14ac:dyDescent="0.25">
      <c r="A3205" t="str">
        <f>HYPERLINK("http://www.corstruth.com.au/NT/8445313_KLD100_cs.png","8445313_KLD100_A4")</f>
        <v>8445313_KLD100_A4</v>
      </c>
      <c r="B3205" t="str">
        <f>HYPERLINK("http://www.corstruth.com.au/NT/PNG2/8445313_KLD100_cs.png","8445313_KLD100_0.25m Bins")</f>
        <v>8445313_KLD100_0.25m Bins</v>
      </c>
      <c r="C3205" t="str">
        <f>HYPERLINK("http://www.corstruth.com.au/NT/CSV/8445313_KLD100.csv","8445313_KLD100_CSV File 1m Bins")</f>
        <v>8445313_KLD100_CSV File 1m Bins</v>
      </c>
      <c r="D3205">
        <v>8445313</v>
      </c>
      <c r="E3205" t="s">
        <v>2165</v>
      </c>
      <c r="G3205" t="s">
        <v>2177</v>
      </c>
      <c r="I3205">
        <v>-12.608499999999999</v>
      </c>
      <c r="J3205">
        <v>133.55099999999999</v>
      </c>
    </row>
    <row r="3206" spans="1:11" x14ac:dyDescent="0.25">
      <c r="A3206" t="str">
        <f>HYPERLINK("http://www.corstruth.com.au/NT/8445317_KLD0110_cs.png","8445317_KLD0110_A4")</f>
        <v>8445317_KLD0110_A4</v>
      </c>
      <c r="B3206" t="str">
        <f>HYPERLINK("http://www.corstruth.com.au/NT/PNG2/8445317_KLD0110_cs.png","8445317_KLD0110_0.25m Bins")</f>
        <v>8445317_KLD0110_0.25m Bins</v>
      </c>
      <c r="C3206" t="str">
        <f>HYPERLINK("http://www.corstruth.com.au/NT/CSV/8445317_KLD0110.csv","8445317_KLD0110_CSV File 1m Bins")</f>
        <v>8445317_KLD0110_CSV File 1m Bins</v>
      </c>
      <c r="D3206">
        <v>8445317</v>
      </c>
      <c r="E3206" t="s">
        <v>2165</v>
      </c>
      <c r="G3206" t="s">
        <v>2177</v>
      </c>
      <c r="I3206">
        <v>-12.4869</v>
      </c>
      <c r="J3206">
        <v>133.441</v>
      </c>
    </row>
    <row r="3207" spans="1:11" x14ac:dyDescent="0.25">
      <c r="A3207" t="str">
        <f>HYPERLINK("http://www.corstruth.com.au/NT/8445321_KLD0108R_cs.png","8445321_KLD0108R_A4")</f>
        <v>8445321_KLD0108R_A4</v>
      </c>
      <c r="B3207" t="str">
        <f>HYPERLINK("http://www.corstruth.com.au/NT/PNG2/8445321_KLD0108R_cs.png","8445321_KLD0108R_0.25m Bins")</f>
        <v>8445321_KLD0108R_0.25m Bins</v>
      </c>
      <c r="C3207" t="str">
        <f>HYPERLINK("http://www.corstruth.com.au/NT/CSV/8445321_KLD0108R.csv","8445321_KLD0108R_CSV File 1m Bins")</f>
        <v>8445321_KLD0108R_CSV File 1m Bins</v>
      </c>
      <c r="D3207">
        <v>8445321</v>
      </c>
      <c r="E3207" t="s">
        <v>2165</v>
      </c>
      <c r="G3207" t="s">
        <v>2177</v>
      </c>
      <c r="I3207">
        <v>-12.624000000000001</v>
      </c>
      <c r="J3207">
        <v>133.51599999999999</v>
      </c>
      <c r="K3207" t="str">
        <f>HYPERLINK("http://geology.data.nt.gov.au/NVCLDataServices/mosaic.html?datasetid=7afceaa9-c1fb-4595-8ca3-7ea7aadf870","8445321_KLD0108R_Core Image")</f>
        <v>8445321_KLD0108R_Core Image</v>
      </c>
    </row>
    <row r="3208" spans="1:11" x14ac:dyDescent="0.25">
      <c r="A3208" t="str">
        <f>HYPERLINK("http://www.corstruth.com.au/NT/8445338_LadyPenrhynNo1_cs.png","8445338_LadyPenrhynNo1_A4")</f>
        <v>8445338_LadyPenrhynNo1_A4</v>
      </c>
      <c r="B3208" t="str">
        <f>HYPERLINK("http://www.corstruth.com.au/NT/PNG2/8445338_LadyPenrhynNo1_cs.png","8445338_LadyPenrhynNo1_0.25m Bins")</f>
        <v>8445338_LadyPenrhynNo1_0.25m Bins</v>
      </c>
      <c r="C3208" t="str">
        <f>HYPERLINK("http://www.corstruth.com.au/NT/CSV/8445338_LadyPenrhynNo1.csv","8445338_LadyPenrhynNo1_CSV File 1m Bins")</f>
        <v>8445338_LadyPenrhynNo1_CSV File 1m Bins</v>
      </c>
      <c r="D3208">
        <v>8445338</v>
      </c>
      <c r="E3208" t="s">
        <v>2165</v>
      </c>
      <c r="G3208" t="s">
        <v>2177</v>
      </c>
      <c r="I3208">
        <v>-15.0769</v>
      </c>
      <c r="J3208">
        <v>133.995</v>
      </c>
      <c r="K3208" t="str">
        <f>HYPERLINK("http://geology.data.nt.gov.au/NVCLDataServices/mosaic.html?datasetid=f814a976-d02c-4844-bfeb-6308d22b21e","8445338_LadyPenrhynNo1_Core Image")</f>
        <v>8445338_LadyPenrhynNo1_Core Image</v>
      </c>
    </row>
    <row r="3209" spans="1:11" x14ac:dyDescent="0.25">
      <c r="A3209" t="str">
        <f>HYPERLINK("http://www.corstruth.com.au/NT/8445344_SeverNo1_cs.png","8445344_SeverNo1_A4")</f>
        <v>8445344_SeverNo1_A4</v>
      </c>
      <c r="B3209" t="str">
        <f>HYPERLINK("http://www.corstruth.com.au/NT/PNG2/8445344_SeverNo1_cs.png","8445344_SeverNo1_0.25m Bins")</f>
        <v>8445344_SeverNo1_0.25m Bins</v>
      </c>
      <c r="C3209" t="str">
        <f>HYPERLINK("http://www.corstruth.com.au/NT/CSV/8445344_SeverNo1.csv","8445344_SeverNo1_CSV File 1m Bins")</f>
        <v>8445344_SeverNo1_CSV File 1m Bins</v>
      </c>
      <c r="D3209">
        <v>8445344</v>
      </c>
      <c r="E3209" t="s">
        <v>2165</v>
      </c>
      <c r="G3209" t="s">
        <v>2177</v>
      </c>
      <c r="I3209">
        <v>-15.246499999999999</v>
      </c>
      <c r="J3209">
        <v>132.84399999999999</v>
      </c>
      <c r="K3209" t="str">
        <f>HYPERLINK("http://geology.data.nt.gov.au/NVCLDataServices/mosaic.html?datasetid=f98fda31-4b57-4ce2-9751-3f5a71fd470","8445344_SeverNo1_Core Image")</f>
        <v>8445344_SeverNo1_Core Image</v>
      </c>
    </row>
    <row r="3210" spans="1:11" x14ac:dyDescent="0.25">
      <c r="A3210" t="str">
        <f>HYPERLINK("http://www.corstruth.com.au/NT/8445376_ScarboroughNo1_cs.png","8445376_ScarboroughNo1_A4")</f>
        <v>8445376_ScarboroughNo1_A4</v>
      </c>
      <c r="B3210" t="str">
        <f>HYPERLINK("http://www.corstruth.com.au/NT/PNG2/8445376_ScarboroughNo1_cs.png","8445376_ScarboroughNo1_0.25m Bins")</f>
        <v>8445376_ScarboroughNo1_0.25m Bins</v>
      </c>
      <c r="C3210" t="str">
        <f>HYPERLINK("http://www.corstruth.com.au/NT/CSV/8445376_ScarboroughNo1.csv","8445376_ScarboroughNo1_CSV File 1m Bins")</f>
        <v>8445376_ScarboroughNo1_CSV File 1m Bins</v>
      </c>
      <c r="D3210">
        <v>8445376</v>
      </c>
      <c r="E3210" t="s">
        <v>2165</v>
      </c>
      <c r="G3210" t="s">
        <v>2177</v>
      </c>
      <c r="I3210">
        <v>-15.1816</v>
      </c>
      <c r="J3210">
        <v>134.80000000000001</v>
      </c>
      <c r="K3210" t="str">
        <f>HYPERLINK("http://geology.data.nt.gov.au/NVCLDataServices/mosaic.html?datasetid=b8c241ac-f35e-4153-97f0-ba9e2f1d915","8445376_ScarboroughNo1_Core Image")</f>
        <v>8445376_ScarboroughNo1_Core Image</v>
      </c>
    </row>
    <row r="3211" spans="1:11" x14ac:dyDescent="0.25">
      <c r="A3211" t="str">
        <f>HYPERLINK("http://www.corstruth.com.au/NT/8445392_MANT79_2_cs.png","8445392_MANT79_2_A4")</f>
        <v>8445392_MANT79_2_A4</v>
      </c>
      <c r="B3211" t="str">
        <f>HYPERLINK("http://www.corstruth.com.au/NT/PNG2/8445392_MANT79_2_cs.png","8445392_MANT79_2_0.25m Bins")</f>
        <v>8445392_MANT79_2_0.25m Bins</v>
      </c>
      <c r="C3211" t="str">
        <f>HYPERLINK("http://www.corstruth.com.au/NT/CSV/8445392_MANT79_2.csv","8445392_MANT79_2_CSV File 1m Bins")</f>
        <v>8445392_MANT79_2_CSV File 1m Bins</v>
      </c>
      <c r="D3211">
        <v>8445392</v>
      </c>
      <c r="E3211" t="s">
        <v>2165</v>
      </c>
      <c r="G3211" t="s">
        <v>2177</v>
      </c>
      <c r="I3211">
        <v>-16.2819</v>
      </c>
      <c r="J3211">
        <v>136.05500000000001</v>
      </c>
      <c r="K3211" t="str">
        <f>HYPERLINK("http://geology.data.nt.gov.au/NVCLDataServices/mosaic.html?datasetid=6617c1ed-b518-4ec2-98c9-6a74ad39acf","8445392_MANT79_2_Core Image")</f>
        <v>8445392_MANT79_2_Core Image</v>
      </c>
    </row>
    <row r="3212" spans="1:11" x14ac:dyDescent="0.25">
      <c r="A3212" t="str">
        <f>HYPERLINK("http://www.corstruth.com.au/NT/8445465_MBXDD001_cs.png","8445465_MBXDD001_A4")</f>
        <v>8445465_MBXDD001_A4</v>
      </c>
      <c r="B3212" t="str">
        <f>HYPERLINK("http://www.corstruth.com.au/NT/PNG2/8445465_MBXDD001_cs.png","8445465_MBXDD001_0.25m Bins")</f>
        <v>8445465_MBXDD001_0.25m Bins</v>
      </c>
      <c r="C3212" t="str">
        <f>HYPERLINK("http://www.corstruth.com.au/NT/CSV/8445465_MBXDD001.csv","8445465_MBXDD001_CSV File 1m Bins")</f>
        <v>8445465_MBXDD001_CSV File 1m Bins</v>
      </c>
      <c r="D3212">
        <v>8445465</v>
      </c>
      <c r="E3212" t="s">
        <v>2165</v>
      </c>
      <c r="G3212" t="s">
        <v>2177</v>
      </c>
      <c r="I3212">
        <v>-16.983899999999998</v>
      </c>
      <c r="J3212">
        <v>135.99600000000001</v>
      </c>
      <c r="K3212" t="str">
        <f>HYPERLINK("http://geology.data.nt.gov.au/NVCLDataServices/mosaic.html?datasetid=b5927232-1ecc-47d9-8b78-be38dedfa7f","8445465_MBXDD001_Core Image")</f>
        <v>8445465_MBXDD001_Core Image</v>
      </c>
    </row>
    <row r="3213" spans="1:11" x14ac:dyDescent="0.25">
      <c r="A3213" t="str">
        <f>HYPERLINK("http://www.corstruth.com.au/NT/8445469_MBXDD002_cs.png","8445469_MBXDD002_A4")</f>
        <v>8445469_MBXDD002_A4</v>
      </c>
      <c r="B3213" t="str">
        <f>HYPERLINK("http://www.corstruth.com.au/NT/PNG2/8445469_MBXDD002_cs.png","8445469_MBXDD002_0.25m Bins")</f>
        <v>8445469_MBXDD002_0.25m Bins</v>
      </c>
      <c r="C3213" t="str">
        <f>HYPERLINK("http://www.corstruth.com.au/NT/CSV/8445469_MBXDD002.csv","8445469_MBXDD002_CSV File 1m Bins")</f>
        <v>8445469_MBXDD002_CSV File 1m Bins</v>
      </c>
      <c r="D3213">
        <v>8445469</v>
      </c>
      <c r="E3213" t="s">
        <v>2165</v>
      </c>
      <c r="G3213" t="s">
        <v>2177</v>
      </c>
      <c r="I3213">
        <v>-16.853200000000001</v>
      </c>
      <c r="J3213">
        <v>135.792</v>
      </c>
      <c r="K3213" t="str">
        <f>HYPERLINK("http://geology.data.nt.gov.au/NVCLDataServices/mosaic.html?datasetid=917067eb-27eb-4d4a-a054-44431eb80d1","8445469_MBXDD002_Core Image")</f>
        <v>8445469_MBXDD002_Core Image</v>
      </c>
    </row>
    <row r="3214" spans="1:11" x14ac:dyDescent="0.25">
      <c r="A3214" t="str">
        <f>HYPERLINK("http://www.corstruth.com.au/NT/8446222_Lawrence_1_cs.png","8446222_Lawrence_1_A4")</f>
        <v>8446222_Lawrence_1_A4</v>
      </c>
      <c r="B3214" t="str">
        <f>HYPERLINK("http://www.corstruth.com.au/NT/PNG2/8446222_Lawrence_1_cs.png","8446222_Lawrence_1_0.25m Bins")</f>
        <v>8446222_Lawrence_1_0.25m Bins</v>
      </c>
      <c r="C3214" t="str">
        <f>HYPERLINK("http://www.corstruth.com.au/NT/CSV/8446222_Lawrence_1.csv","8446222_Lawrence_1_CSV File 1m Bins")</f>
        <v>8446222_Lawrence_1_CSV File 1m Bins</v>
      </c>
      <c r="D3214">
        <v>8446222</v>
      </c>
      <c r="E3214" t="s">
        <v>2165</v>
      </c>
      <c r="G3214" t="s">
        <v>2177</v>
      </c>
      <c r="I3214">
        <v>-14.9758</v>
      </c>
      <c r="J3214">
        <v>133.892</v>
      </c>
      <c r="K3214" t="str">
        <f>HYPERLINK("http://geology.data.nt.gov.au/NVCLDataServices/mosaic.html?datasetid=5dacbe4f-d645-4985-b385-695acc69c9e","8446222_Lawrence_1_Core Image")</f>
        <v>8446222_Lawrence_1_Core Image</v>
      </c>
    </row>
    <row r="3215" spans="1:11" x14ac:dyDescent="0.25">
      <c r="A3215" t="str">
        <f>HYPERLINK("http://www.corstruth.com.au/NT/8446230_Borrowdale_2_cs.png","8446230_Borrowdale_2_A4")</f>
        <v>8446230_Borrowdale_2_A4</v>
      </c>
      <c r="B3215" t="str">
        <f>HYPERLINK("http://www.corstruth.com.au/NT/PNG2/8446230_Borrowdale_2_cs.png","8446230_Borrowdale_2_0.25m Bins")</f>
        <v>8446230_Borrowdale_2_0.25m Bins</v>
      </c>
      <c r="C3215" t="str">
        <f>HYPERLINK("http://www.corstruth.com.au/NT/CSV/8446230_Borrowdale_2.csv","8446230_Borrowdale_2_CSV File 1m Bins")</f>
        <v>8446230_Borrowdale_2_CSV File 1m Bins</v>
      </c>
      <c r="D3215">
        <v>8446230</v>
      </c>
      <c r="E3215" t="s">
        <v>2165</v>
      </c>
      <c r="G3215" t="s">
        <v>2177</v>
      </c>
      <c r="I3215">
        <v>-15.1219</v>
      </c>
      <c r="J3215">
        <v>133.81700000000001</v>
      </c>
      <c r="K3215" t="str">
        <f>HYPERLINK("http://geology.data.nt.gov.au/NVCLDataServices/mosaic.html?datasetid=b399c81f-d935-49d0-a356-3e60788cbe8","8446230_Borrowdale_2_Core Image")</f>
        <v>8446230_Borrowdale_2_Core Image</v>
      </c>
    </row>
    <row r="3216" spans="1:11" x14ac:dyDescent="0.25">
      <c r="A3216" t="str">
        <f>HYPERLINK("http://www.corstruth.com.au/NT/8446242_HiddenValley_S2_cs.png","8446242_HiddenValley_S2_A4")</f>
        <v>8446242_HiddenValley_S2_A4</v>
      </c>
      <c r="B3216" t="str">
        <f>HYPERLINK("http://www.corstruth.com.au/NT/PNG2/8446242_HiddenValley_S2_cs.png","8446242_HiddenValley_S2_0.25m Bins")</f>
        <v>8446242_HiddenValley_S2_0.25m Bins</v>
      </c>
      <c r="C3216" t="str">
        <f>HYPERLINK("http://www.corstruth.com.au/NT/CSV/8446242_HiddenValley_S2.csv","8446242_HiddenValley_S2_CSV File 1m Bins")</f>
        <v>8446242_HiddenValley_S2_CSV File 1m Bins</v>
      </c>
      <c r="D3216">
        <v>8446242</v>
      </c>
      <c r="E3216" t="s">
        <v>2165</v>
      </c>
      <c r="G3216" t="s">
        <v>2177</v>
      </c>
      <c r="I3216">
        <v>-16.309100000000001</v>
      </c>
      <c r="J3216">
        <v>132.62100000000001</v>
      </c>
      <c r="K3216" t="str">
        <f>HYPERLINK("http://geology.data.nt.gov.au/NVCLDataServices/mosaic.html?datasetid=2d979f8a-39cb-43e3-9413-2e2b2cdf9d3","8446242_HiddenValley_S2_Core Image")</f>
        <v>8446242_HiddenValley_S2_Core Image</v>
      </c>
    </row>
    <row r="3217" spans="1:11" x14ac:dyDescent="0.25">
      <c r="A3217" t="str">
        <f>HYPERLINK("http://www.corstruth.com.au/NT/8446261_Supply_1_cs.png","8446261_Supply_1_A4")</f>
        <v>8446261_Supply_1_A4</v>
      </c>
      <c r="B3217" t="str">
        <f>HYPERLINK("http://www.corstruth.com.au/NT/PNG2/8446261_Supply_1_cs.png","8446261_Supply_1_0.25m Bins")</f>
        <v>8446261_Supply_1_0.25m Bins</v>
      </c>
      <c r="C3217" t="str">
        <f>HYPERLINK("http://www.corstruth.com.au/NT/CSV/8446261_Supply_1.csv","8446261_Supply_1_CSV File 1m Bins")</f>
        <v>8446261_Supply_1_CSV File 1m Bins</v>
      </c>
      <c r="D3217">
        <v>8446261</v>
      </c>
      <c r="E3217" t="s">
        <v>2165</v>
      </c>
      <c r="G3217" t="s">
        <v>2177</v>
      </c>
      <c r="I3217">
        <v>-15.2102</v>
      </c>
      <c r="J3217">
        <v>134.768</v>
      </c>
      <c r="K3217" t="str">
        <f>HYPERLINK("http://geology.data.nt.gov.au/NVCLDataServices/mosaic.html?datasetid=dbd79be9-14c0-4252-81e1-a2ca7289324","8446261_Supply_1_Core Image")</f>
        <v>8446261_Supply_1_Core Image</v>
      </c>
    </row>
    <row r="3218" spans="1:11" x14ac:dyDescent="0.25">
      <c r="A3218" t="str">
        <f>HYPERLINK("http://www.corstruth.com.au/NT/8446266_Alexander_1_cs.png","8446266_Alexander_1_A4")</f>
        <v>8446266_Alexander_1_A4</v>
      </c>
      <c r="B3218" t="str">
        <f>HYPERLINK("http://www.corstruth.com.au/NT/PNG2/8446266_Alexander_1_cs.png","8446266_Alexander_1_0.25m Bins")</f>
        <v>8446266_Alexander_1_0.25m Bins</v>
      </c>
      <c r="C3218" t="str">
        <f>HYPERLINK("http://www.corstruth.com.au/NT/CSV/8446266_Alexander_1.csv","8446266_Alexander_1_CSV File 1m Bins")</f>
        <v>8446266_Alexander_1_CSV File 1m Bins</v>
      </c>
      <c r="D3218">
        <v>8446266</v>
      </c>
      <c r="E3218" t="s">
        <v>2165</v>
      </c>
      <c r="G3218" t="s">
        <v>2177</v>
      </c>
      <c r="I3218">
        <v>-15.1691</v>
      </c>
      <c r="J3218">
        <v>134.85599999999999</v>
      </c>
      <c r="K3218" t="str">
        <f>HYPERLINK("http://geology.data.nt.gov.au/NVCLDataServices/mosaic.html?datasetid=4fcbf53b-5d4a-43d6-a942-9f99894d97f","8446266_Alexander_1_Core Image")</f>
        <v>8446266_Alexander_1_Core Image</v>
      </c>
    </row>
    <row r="3219" spans="1:11" x14ac:dyDescent="0.25">
      <c r="A3219" t="str">
        <f>HYPERLINK("http://www.corstruth.com.au/NT/8446271_Broughton_1_cs.png","8446271_Broughton_1_A4")</f>
        <v>8446271_Broughton_1_A4</v>
      </c>
      <c r="B3219" t="str">
        <f>HYPERLINK("http://www.corstruth.com.au/NT/PNG2/8446271_Broughton_1_cs.png","8446271_Broughton_1_0.25m Bins")</f>
        <v>8446271_Broughton_1_0.25m Bins</v>
      </c>
      <c r="C3219" t="str">
        <f>HYPERLINK("http://www.corstruth.com.au/NT/CSV/8446271_Broughton_1.csv","8446271_Broughton_1_CSV File 1m Bins")</f>
        <v>8446271_Broughton_1_CSV File 1m Bins</v>
      </c>
      <c r="D3219">
        <v>8446271</v>
      </c>
      <c r="E3219" t="s">
        <v>2165</v>
      </c>
      <c r="G3219" t="s">
        <v>2177</v>
      </c>
      <c r="I3219">
        <v>-14.36</v>
      </c>
      <c r="J3219">
        <v>133.626</v>
      </c>
      <c r="K3219" t="str">
        <f>HYPERLINK("http://geology.data.nt.gov.au/NVCLDataServices/mosaic.html?datasetid=81ad3958-c0b1-4e4e-95ab-fbd907e0b25","8446271_Broughton_1_Core Image")</f>
        <v>8446271_Broughton_1_Core Image</v>
      </c>
    </row>
    <row r="3220" spans="1:11" x14ac:dyDescent="0.25">
      <c r="A3220" t="str">
        <f>HYPERLINK("http://www.corstruth.com.au/NT/8446276_Friendship_1_cs.png","8446276_Friendship_1_A4")</f>
        <v>8446276_Friendship_1_A4</v>
      </c>
      <c r="B3220" t="str">
        <f>HYPERLINK("http://www.corstruth.com.au/NT/PNG2/8446276_Friendship_1_cs.png","8446276_Friendship_1_0.25m Bins")</f>
        <v>8446276_Friendship_1_0.25m Bins</v>
      </c>
      <c r="C3220" t="str">
        <f>HYPERLINK("http://www.corstruth.com.au/NT/CSV/8446276_Friendship_1.csv","8446276_Friendship_1_CSV File 1m Bins")</f>
        <v>8446276_Friendship_1_CSV File 1m Bins</v>
      </c>
      <c r="D3220">
        <v>8446276</v>
      </c>
      <c r="E3220" t="s">
        <v>2165</v>
      </c>
      <c r="G3220" t="s">
        <v>2177</v>
      </c>
      <c r="I3220">
        <v>-14.875999999999999</v>
      </c>
      <c r="J3220">
        <v>133.91</v>
      </c>
      <c r="K3220" t="str">
        <f>HYPERLINK("http://geology.data.nt.gov.au/NVCLDataServices/mosaic.html?datasetid=b8936ec9-135c-463c-8294-e8edc5faf6a","8446276_Friendship_1_Core Image")</f>
        <v>8446276_Friendship_1_Core Image</v>
      </c>
    </row>
    <row r="3221" spans="1:11" x14ac:dyDescent="0.25">
      <c r="A3221" t="str">
        <f>HYPERLINK("http://www.corstruth.com.au/NT/8446281_Golden_Grove_1_cs.png","8446281_Golden_Grove_1_A4")</f>
        <v>8446281_Golden_Grove_1_A4</v>
      </c>
      <c r="B3221" t="str">
        <f>HYPERLINK("http://www.corstruth.com.au/NT/PNG2/8446281_Golden_Grove_1_cs.png","8446281_Golden_Grove_1_0.25m Bins")</f>
        <v>8446281_Golden_Grove_1_0.25m Bins</v>
      </c>
      <c r="C3221" t="str">
        <f>HYPERLINK("http://www.corstruth.com.au/NT/CSV/8446281_Golden_Grove_1.csv","8446281_Golden_Grove_1_CSV File 1m Bins")</f>
        <v>8446281_Golden_Grove_1_CSV File 1m Bins</v>
      </c>
      <c r="D3221">
        <v>8446281</v>
      </c>
      <c r="E3221" t="s">
        <v>2165</v>
      </c>
      <c r="G3221" t="s">
        <v>2177</v>
      </c>
      <c r="I3221">
        <v>-14.841900000000001</v>
      </c>
      <c r="J3221">
        <v>134.36500000000001</v>
      </c>
      <c r="K3221" t="str">
        <f>HYPERLINK("http://geology.data.nt.gov.au/NVCLDataServices/mosaic.html?datasetid=046edfc3-e021-484d-a2c1-f1a8beeff89","8446281_Golden_Grove_1_Core Image")</f>
        <v>8446281_Golden_Grove_1_Core Image</v>
      </c>
    </row>
    <row r="3222" spans="1:11" x14ac:dyDescent="0.25">
      <c r="A3222" t="str">
        <f>HYPERLINK("http://www.corstruth.com.au/NT/8446286_Lady_Penrhyn_2_cs.png","8446286_Lady_Penrhyn_2_A4")</f>
        <v>8446286_Lady_Penrhyn_2_A4</v>
      </c>
      <c r="B3222" t="str">
        <f>HYPERLINK("http://www.corstruth.com.au/NT/PNG2/8446286_Lady_Penrhyn_2_cs.png","8446286_Lady_Penrhyn_2_0.25m Bins")</f>
        <v>8446286_Lady_Penrhyn_2_0.25m Bins</v>
      </c>
      <c r="C3222" t="str">
        <f>HYPERLINK("http://www.corstruth.com.au/NT/CSV/8446286_Lady_Penrhyn_2.csv","8446286_Lady_Penrhyn_2_CSV File 1m Bins")</f>
        <v>8446286_Lady_Penrhyn_2_CSV File 1m Bins</v>
      </c>
      <c r="D3222">
        <v>8446286</v>
      </c>
      <c r="E3222" t="s">
        <v>2165</v>
      </c>
      <c r="G3222" t="s">
        <v>2177</v>
      </c>
      <c r="I3222">
        <v>-15.081899999999999</v>
      </c>
      <c r="J3222">
        <v>133.99700000000001</v>
      </c>
      <c r="K3222" t="str">
        <f>HYPERLINK("http://geology.data.nt.gov.au/NVCLDataServices/mosaic.html?datasetid=505514c8-e1b5-4fdd-8edd-e9529e493da","8446286_Lady_Penrhyn_2_Core Image")</f>
        <v>8446286_Lady_Penrhyn_2_Core Image</v>
      </c>
    </row>
    <row r="3223" spans="1:11" x14ac:dyDescent="0.25">
      <c r="A3223" t="str">
        <f>HYPERLINK("http://www.corstruth.com.au/NT/8446298_Bullo_River_1_cs.png","8446298_Bullo_River_1_A4")</f>
        <v>8446298_Bullo_River_1_A4</v>
      </c>
      <c r="B3223" t="str">
        <f>HYPERLINK("http://www.corstruth.com.au/NT/PNG2/8446298_Bullo_River_1_cs.png","8446298_Bullo_River_1_0.25m Bins")</f>
        <v>8446298_Bullo_River_1_0.25m Bins</v>
      </c>
      <c r="C3223" t="str">
        <f>HYPERLINK("http://www.corstruth.com.au/NT/CSV/8446298_Bullo_River_1.csv","8446298_Bullo_River_1_CSV File 1m Bins")</f>
        <v>8446298_Bullo_River_1_CSV File 1m Bins</v>
      </c>
      <c r="D3223">
        <v>8446298</v>
      </c>
      <c r="E3223" t="s">
        <v>2165</v>
      </c>
      <c r="G3223" t="s">
        <v>2177</v>
      </c>
      <c r="I3223">
        <v>-15.5953</v>
      </c>
      <c r="J3223">
        <v>129.631</v>
      </c>
      <c r="K3223" t="str">
        <f>HYPERLINK("http://geology.data.nt.gov.au/NVCLDataServices/mosaic.html?datasetid=5067bfca-0b27-4b24-aa55-81d14d9daaa","8446298_Bullo_River_1_Core Image")</f>
        <v>8446298_Bullo_River_1_Core Image</v>
      </c>
    </row>
    <row r="3224" spans="1:11" x14ac:dyDescent="0.25">
      <c r="A3224" t="str">
        <f>HYPERLINK("http://www.corstruth.com.au/NT/8446303_Manbulloo_S1_cs.png","8446303_Manbulloo_S1_A4")</f>
        <v>8446303_Manbulloo_S1_A4</v>
      </c>
      <c r="B3224" t="str">
        <f>HYPERLINK("http://www.corstruth.com.au/NT/PNG2/8446303_Manbulloo_S1_cs.png","8446303_Manbulloo_S1_0.25m Bins")</f>
        <v>8446303_Manbulloo_S1_0.25m Bins</v>
      </c>
      <c r="C3224" t="str">
        <f>HYPERLINK("http://www.corstruth.com.au/NT/CSV/8446303_Manbulloo_S1.csv","8446303_Manbulloo_S1_CSV File 1m Bins")</f>
        <v>8446303_Manbulloo_S1_CSV File 1m Bins</v>
      </c>
      <c r="D3224">
        <v>8446303</v>
      </c>
      <c r="E3224" t="s">
        <v>2165</v>
      </c>
      <c r="G3224" t="s">
        <v>2177</v>
      </c>
      <c r="I3224">
        <v>-14.9277</v>
      </c>
      <c r="J3224">
        <v>132.268</v>
      </c>
      <c r="K3224" t="str">
        <f>HYPERLINK("http://geology.data.nt.gov.au/NVCLDataServices/mosaic.html?datasetid=474ae9e9-2095-4d6e-af98-e8d903e180a","8446303_Manbulloo_S1_Core Image")</f>
        <v>8446303_Manbulloo_S1_Core Image</v>
      </c>
    </row>
    <row r="3225" spans="1:11" x14ac:dyDescent="0.25">
      <c r="A3225" t="str">
        <f>HYPERLINK("http://www.corstruth.com.au/NT/8446320_Tarlee_S3_cs.png","8446320_Tarlee_S3_A4")</f>
        <v>8446320_Tarlee_S3_A4</v>
      </c>
      <c r="B3225" t="str">
        <f>HYPERLINK("http://www.corstruth.com.au/NT/PNG2/8446320_Tarlee_S3_cs.png","8446320_Tarlee_S3_0.25m Bins")</f>
        <v>8446320_Tarlee_S3_0.25m Bins</v>
      </c>
      <c r="C3225" t="str">
        <f>HYPERLINK("http://www.corstruth.com.au/NT/CSV/8446320_Tarlee_S3.csv","8446320_Tarlee_S3_CSV File 1m Bins")</f>
        <v>8446320_Tarlee_S3_CSV File 1m Bins</v>
      </c>
      <c r="D3225">
        <v>8446320</v>
      </c>
      <c r="E3225" t="s">
        <v>2165</v>
      </c>
      <c r="G3225" t="s">
        <v>2177</v>
      </c>
      <c r="I3225">
        <v>-15.632400000000001</v>
      </c>
      <c r="J3225">
        <v>132.82599999999999</v>
      </c>
      <c r="K3225" t="str">
        <f>HYPERLINK("http://geology.data.nt.gov.au/NVCLDataServices/mosaic.html?datasetid=83ef670b-31d9-4014-81fe-7cc4ee45eb5","8446320_Tarlee_S3_Core Image")</f>
        <v>8446320_Tarlee_S3_Core Image</v>
      </c>
    </row>
    <row r="3226" spans="1:11" x14ac:dyDescent="0.25">
      <c r="A3226" t="str">
        <f>HYPERLINK("http://www.corstruth.com.au/NT/8446342_14MCDDH001_cs.png","8446342_14MCDDH001_A4")</f>
        <v>8446342_14MCDDH001_A4</v>
      </c>
      <c r="B3226" t="str">
        <f>HYPERLINK("http://www.corstruth.com.au/NT/PNG2/8446342_14MCDDH001_cs.png","8446342_14MCDDH001_0.25m Bins")</f>
        <v>8446342_14MCDDH001_0.25m Bins</v>
      </c>
      <c r="C3226" t="str">
        <f>HYPERLINK("http://www.corstruth.com.au/NT/CSV/8446342_14MCDDH001.csv","8446342_14MCDDH001_CSV File 1m Bins")</f>
        <v>8446342_14MCDDH001_CSV File 1m Bins</v>
      </c>
      <c r="D3226">
        <v>8446342</v>
      </c>
      <c r="E3226" t="s">
        <v>2165</v>
      </c>
      <c r="G3226" t="s">
        <v>2177</v>
      </c>
      <c r="I3226">
        <v>-17.068899999999999</v>
      </c>
      <c r="J3226">
        <v>135.91499999999999</v>
      </c>
      <c r="K3226" t="str">
        <f>HYPERLINK("http://geology.data.nt.gov.au/NVCLDataServices/mosaic.html?datasetid=6672ce07-1a77-472d-b34f-90f1f73f64e","8446342_14MCDDH001_Core Image")</f>
        <v>8446342_14MCDDH001_Core Image</v>
      </c>
    </row>
    <row r="3227" spans="1:11" x14ac:dyDescent="0.25">
      <c r="A3227" t="str">
        <f>HYPERLINK("http://www.corstruth.com.au/NT/8446347_14MCDDH002_cs.png","8446347_14MCDDH002_A4")</f>
        <v>8446347_14MCDDH002_A4</v>
      </c>
      <c r="B3227" t="str">
        <f>HYPERLINK("http://www.corstruth.com.au/NT/PNG2/8446347_14MCDDH002_cs.png","8446347_14MCDDH002_0.25m Bins")</f>
        <v>8446347_14MCDDH002_0.25m Bins</v>
      </c>
      <c r="C3227" t="str">
        <f>HYPERLINK("http://www.corstruth.com.au/NT/CSV/8446347_14MCDDH002.csv","8446347_14MCDDH002_CSV File 1m Bins")</f>
        <v>8446347_14MCDDH002_CSV File 1m Bins</v>
      </c>
      <c r="D3227">
        <v>8446347</v>
      </c>
      <c r="E3227" t="s">
        <v>2165</v>
      </c>
      <c r="G3227" t="s">
        <v>2177</v>
      </c>
      <c r="I3227">
        <v>-17.106000000000002</v>
      </c>
      <c r="J3227">
        <v>135.887</v>
      </c>
      <c r="K3227" t="str">
        <f>HYPERLINK("http://geology.data.nt.gov.au/NVCLDataServices/mosaic.html?datasetid=aa34b36e-3b8c-405f-9959-c24ef1bbd79","8446347_14MCDDH002_Core Image")</f>
        <v>8446347_14MCDDH002_Core Image</v>
      </c>
    </row>
    <row r="3228" spans="1:11" x14ac:dyDescent="0.25">
      <c r="A3228" t="str">
        <f>HYPERLINK("http://www.corstruth.com.au/NT/8446403_BCF_SC_05_cs.png","8446403_BCF_SC_05_A4")</f>
        <v>8446403_BCF_SC_05_A4</v>
      </c>
      <c r="B3228" t="str">
        <f>HYPERLINK("http://www.corstruth.com.au/NT/PNG2/8446403_BCF_SC_05_cs.png","8446403_BCF_SC_05_0.25m Bins")</f>
        <v>8446403_BCF_SC_05_0.25m Bins</v>
      </c>
      <c r="C3228" t="str">
        <f>HYPERLINK("http://www.corstruth.com.au/NT/CSV/8446403_BCF_SC_05.csv","8446403_BCF_SC_05_CSV File 1m Bins")</f>
        <v>8446403_BCF_SC_05_CSV File 1m Bins</v>
      </c>
      <c r="D3228">
        <v>8446403</v>
      </c>
      <c r="E3228" t="s">
        <v>2165</v>
      </c>
      <c r="G3228" t="s">
        <v>2177</v>
      </c>
      <c r="I3228">
        <v>-14.955500000000001</v>
      </c>
      <c r="J3228">
        <v>134.76400000000001</v>
      </c>
      <c r="K3228" t="str">
        <f>HYPERLINK("http://geology.data.nt.gov.au/NVCLDataServices/mosaic.html?datasetid=155be474-6f8f-443d-886f-14b581d29e2","8446403_BCF_SC_05_Core Image")</f>
        <v>8446403_BCF_SC_05_Core Image</v>
      </c>
    </row>
    <row r="3229" spans="1:11" x14ac:dyDescent="0.25">
      <c r="A3229" t="str">
        <f>HYPERLINK("http://www.corstruth.com.au/NT/8446407_BCF_SC_03_cs.png","8446407_BCF_SC_03_A4")</f>
        <v>8446407_BCF_SC_03_A4</v>
      </c>
      <c r="B3229" t="str">
        <f>HYPERLINK("http://www.corstruth.com.au/NT/PNG2/8446407_BCF_SC_03_cs.png","8446407_BCF_SC_03_0.25m Bins")</f>
        <v>8446407_BCF_SC_03_0.25m Bins</v>
      </c>
      <c r="C3229" t="str">
        <f>HYPERLINK("http://www.corstruth.com.au/NT/CSV/8446407_BCF_SC_03.csv","8446407_BCF_SC_03_CSV File 1m Bins")</f>
        <v>8446407_BCF_SC_03_CSV File 1m Bins</v>
      </c>
      <c r="D3229">
        <v>8446407</v>
      </c>
      <c r="E3229" t="s">
        <v>2165</v>
      </c>
      <c r="G3229" t="s">
        <v>2177</v>
      </c>
      <c r="I3229">
        <v>-14.879099999999999</v>
      </c>
      <c r="J3229">
        <v>134.75800000000001</v>
      </c>
      <c r="K3229" t="str">
        <f>HYPERLINK("http://geology.data.nt.gov.au/NVCLDataServices/mosaic.html?datasetid=344b1b80-c523-4bf9-a341-7d76f80e463","8446407_BCF_SC_03_Core Image")</f>
        <v>8446407_BCF_SC_03_Core Image</v>
      </c>
    </row>
    <row r="3230" spans="1:11" x14ac:dyDescent="0.25">
      <c r="A3230" t="str">
        <f>HYPERLINK("http://www.corstruth.com.au/NT/8446411_BCF_SC_02_cs.png","8446411_BCF_SC_02_A4")</f>
        <v>8446411_BCF_SC_02_A4</v>
      </c>
      <c r="B3230" t="str">
        <f>HYPERLINK("http://www.corstruth.com.au/NT/PNG2/8446411_BCF_SC_02_cs.png","8446411_BCF_SC_02_0.25m Bins")</f>
        <v>8446411_BCF_SC_02_0.25m Bins</v>
      </c>
      <c r="C3230" t="str">
        <f>HYPERLINK("http://www.corstruth.com.au/NT/CSV/8446411_BCF_SC_02.csv","8446411_BCF_SC_02_CSV File 1m Bins")</f>
        <v>8446411_BCF_SC_02_CSV File 1m Bins</v>
      </c>
      <c r="D3230">
        <v>8446411</v>
      </c>
      <c r="E3230" t="s">
        <v>2165</v>
      </c>
      <c r="G3230" t="s">
        <v>2177</v>
      </c>
      <c r="I3230">
        <v>-14.830500000000001</v>
      </c>
      <c r="J3230">
        <v>134.85300000000001</v>
      </c>
      <c r="K3230" t="str">
        <f>HYPERLINK("http://geology.data.nt.gov.au/NVCLDataServices/mosaic.html?datasetid=61893891-84d1-4fd4-ac83-af6791ef887","8446411_BCF_SC_02_Core Image")</f>
        <v>8446411_BCF_SC_02_Core Image</v>
      </c>
    </row>
    <row r="3231" spans="1:11" x14ac:dyDescent="0.25">
      <c r="A3231" t="str">
        <f>HYPERLINK("http://www.corstruth.com.au/NT/8446415_BCF_SC_04_cs.png","8446415_BCF_SC_04_A4")</f>
        <v>8446415_BCF_SC_04_A4</v>
      </c>
      <c r="B3231" t="str">
        <f>HYPERLINK("http://www.corstruth.com.au/NT/PNG2/8446415_BCF_SC_04_cs.png","8446415_BCF_SC_04_0.25m Bins")</f>
        <v>8446415_BCF_SC_04_0.25m Bins</v>
      </c>
      <c r="C3231" t="str">
        <f>HYPERLINK("http://www.corstruth.com.au/NT/CSV/8446415_BCF_SC_04.csv","8446415_BCF_SC_04_CSV File 1m Bins")</f>
        <v>8446415_BCF_SC_04_CSV File 1m Bins</v>
      </c>
      <c r="D3231">
        <v>8446415</v>
      </c>
      <c r="E3231" t="s">
        <v>2165</v>
      </c>
      <c r="G3231" t="s">
        <v>2177</v>
      </c>
      <c r="I3231">
        <v>-14.927300000000001</v>
      </c>
      <c r="J3231">
        <v>134.75399999999999</v>
      </c>
      <c r="K3231" t="str">
        <f>HYPERLINK("http://geology.data.nt.gov.au/NVCLDataServices/mosaic.html?datasetid=7f51285d-970c-4e5e-9b8d-aba29433cbc","8446415_BCF_SC_04_Core Image")</f>
        <v>8446415_BCF_SC_04_Core Image</v>
      </c>
    </row>
    <row r="3232" spans="1:11" x14ac:dyDescent="0.25">
      <c r="A3232" t="str">
        <f>HYPERLINK("http://www.corstruth.com.au/NT/8446420_Prince_of_Wales_1_cs.png","8446420_Prince_of_Wales_1_A4")</f>
        <v>8446420_Prince_of_Wales_1_A4</v>
      </c>
      <c r="B3232" t="str">
        <f>HYPERLINK("http://www.corstruth.com.au/NT/PNG2/8446420_Prince_of_Wales_1_cs.png","8446420_Prince_of_Wales_1_0.25m Bins")</f>
        <v>8446420_Prince_of_Wales_1_0.25m Bins</v>
      </c>
      <c r="C3232" t="str">
        <f>HYPERLINK("http://www.corstruth.com.au/NT/CSV/8446420_Prince_of_Wales_1.csv","8446420_Prince_of_Wales_1_CSV File 1m Bins")</f>
        <v>8446420_Prince_of_Wales_1_CSV File 1m Bins</v>
      </c>
      <c r="D3232">
        <v>8446420</v>
      </c>
      <c r="E3232" t="s">
        <v>2165</v>
      </c>
      <c r="G3232" t="s">
        <v>2177</v>
      </c>
      <c r="I3232">
        <v>-14.7593</v>
      </c>
      <c r="J3232">
        <v>133.946</v>
      </c>
      <c r="K3232" t="str">
        <f>HYPERLINK("http://geology.data.nt.gov.au/NVCLDataServices/mosaic.html?datasetid=afbe6dc2-04fe-4888-91b8-ff188f3c2e8","8446420_Prince_of_Wales_1_Core Image")</f>
        <v>8446420_Prince_of_Wales_1_Core Image</v>
      </c>
    </row>
    <row r="3233" spans="1:11" x14ac:dyDescent="0.25">
      <c r="A3233" t="str">
        <f>HYPERLINK("http://www.corstruth.com.au/NT/8446441_URAPUNGA_1_cs.png","8446441_URAPUNGA_1_A4")</f>
        <v>8446441_URAPUNGA_1_A4</v>
      </c>
      <c r="B3233" t="str">
        <f>HYPERLINK("http://www.corstruth.com.au/NT/PNG2/8446441_URAPUNGA_1_cs.png","8446441_URAPUNGA_1_0.25m Bins")</f>
        <v>8446441_URAPUNGA_1_0.25m Bins</v>
      </c>
      <c r="C3233" t="str">
        <f>HYPERLINK("http://www.corstruth.com.au/NT/CSV/8446441_URAPUNGA_1.csv","8446441_URAPUNGA_1_CSV File 1m Bins")</f>
        <v>8446441_URAPUNGA_1_CSV File 1m Bins</v>
      </c>
      <c r="D3233">
        <v>8446441</v>
      </c>
      <c r="E3233" t="s">
        <v>2165</v>
      </c>
      <c r="G3233" t="s">
        <v>2177</v>
      </c>
      <c r="I3233">
        <v>-14.166700000000001</v>
      </c>
      <c r="J3233">
        <v>133.83199999999999</v>
      </c>
      <c r="K3233" t="str">
        <f>HYPERLINK("http://geology.data.nt.gov.au/NVCLDataServices/mosaic.html?datasetid=4d11df78-09dc-4e6d-b462-de66383d51b","8446441_URAPUNGA_1_Core Image")</f>
        <v>8446441_URAPUNGA_1_Core Image</v>
      </c>
    </row>
    <row r="3234" spans="1:11" x14ac:dyDescent="0.25">
      <c r="A3234" t="str">
        <f>HYPERLINK("http://www.corstruth.com.au/NT/8446445_URAPUNGA_2_cs.png","8446445_URAPUNGA_2_A4")</f>
        <v>8446445_URAPUNGA_2_A4</v>
      </c>
      <c r="B3234" t="str">
        <f>HYPERLINK("http://www.corstruth.com.au/NT/PNG2/8446445_URAPUNGA_2_cs.png","8446445_URAPUNGA_2_0.25m Bins")</f>
        <v>8446445_URAPUNGA_2_0.25m Bins</v>
      </c>
      <c r="C3234" t="str">
        <f>HYPERLINK("http://www.corstruth.com.au/NT/CSV/8446445_URAPUNGA_2.csv","8446445_URAPUNGA_2_CSV File 1m Bins")</f>
        <v>8446445_URAPUNGA_2_CSV File 1m Bins</v>
      </c>
      <c r="D3234">
        <v>8446445</v>
      </c>
      <c r="E3234" t="s">
        <v>2165</v>
      </c>
      <c r="G3234" t="s">
        <v>2177</v>
      </c>
      <c r="I3234">
        <v>-14.9122</v>
      </c>
      <c r="J3234">
        <v>133.626</v>
      </c>
      <c r="K3234" t="str">
        <f>HYPERLINK("http://geology.data.nt.gov.au/NVCLDataServices/mosaic.html?datasetid=d58afca6-002c-4d05-abfe-1a74dc8ba52","8446445_URAPUNGA_2_Core Image")</f>
        <v>8446445_URAPUNGA_2_Core Image</v>
      </c>
    </row>
    <row r="3235" spans="1:11" x14ac:dyDescent="0.25">
      <c r="A3235" t="str">
        <f>HYPERLINK("http://www.corstruth.com.au/NT/8446449_URAPUNGA_3_cs.png","8446449_URAPUNGA_3_A4")</f>
        <v>8446449_URAPUNGA_3_A4</v>
      </c>
      <c r="B3235" t="str">
        <f>HYPERLINK("http://www.corstruth.com.au/NT/PNG2/8446449_URAPUNGA_3_cs.png","8446449_URAPUNGA_3_0.25m Bins")</f>
        <v>8446449_URAPUNGA_3_0.25m Bins</v>
      </c>
      <c r="C3235" t="str">
        <f>HYPERLINK("http://www.corstruth.com.au/NT/CSV/8446449_URAPUNGA_3.csv","8446449_URAPUNGA_3_CSV File 1m Bins")</f>
        <v>8446449_URAPUNGA_3_CSV File 1m Bins</v>
      </c>
      <c r="D3235">
        <v>8446449</v>
      </c>
      <c r="E3235" t="s">
        <v>2165</v>
      </c>
      <c r="G3235" t="s">
        <v>2177</v>
      </c>
      <c r="I3235">
        <v>-14.652100000000001</v>
      </c>
      <c r="J3235">
        <v>133.74700000000001</v>
      </c>
      <c r="K3235" t="str">
        <f>HYPERLINK("http://geology.data.nt.gov.au/NVCLDataServices/mosaic.html?datasetid=dc22874d-3b47-4905-8252-0c07625a009","8446449_URAPUNGA_3_Core Image")</f>
        <v>8446449_URAPUNGA_3_Core Image</v>
      </c>
    </row>
    <row r="3236" spans="1:11" x14ac:dyDescent="0.25">
      <c r="A3236" t="str">
        <f>HYPERLINK("http://www.corstruth.com.au/NT/8446453_URAPUNGA_4_cs.png","8446453_URAPUNGA_4_A4")</f>
        <v>8446453_URAPUNGA_4_A4</v>
      </c>
      <c r="B3236" t="str">
        <f>HYPERLINK("http://www.corstruth.com.au/NT/PNG2/8446453_URAPUNGA_4_cs.png","8446453_URAPUNGA_4_0.25m Bins")</f>
        <v>8446453_URAPUNGA_4_0.25m Bins</v>
      </c>
      <c r="C3236" t="str">
        <f>HYPERLINK("http://www.corstruth.com.au/NT/CSV/8446453_URAPUNGA_4.csv","8446453_URAPUNGA_4_CSV File 1m Bins")</f>
        <v>8446453_URAPUNGA_4_CSV File 1m Bins</v>
      </c>
      <c r="D3236">
        <v>8446453</v>
      </c>
      <c r="E3236" t="s">
        <v>2165</v>
      </c>
      <c r="G3236" t="s">
        <v>2177</v>
      </c>
      <c r="I3236">
        <v>-14.7163</v>
      </c>
      <c r="J3236">
        <v>134.29400000000001</v>
      </c>
      <c r="K3236" t="str">
        <f>HYPERLINK("http://geology.data.nt.gov.au/NVCLDataServices/mosaic.html?datasetid=1e928a07-df7d-4856-9246-8b528da9170","8446453_URAPUNGA_4_Core Image")</f>
        <v>8446453_URAPUNGA_4_Core Image</v>
      </c>
    </row>
    <row r="3237" spans="1:11" x14ac:dyDescent="0.25">
      <c r="A3237" t="str">
        <f>HYPERLINK("http://www.corstruth.com.au/NT/8446457_URAPUNGA_5_cs.png","8446457_URAPUNGA_5_A4")</f>
        <v>8446457_URAPUNGA_5_A4</v>
      </c>
      <c r="B3237" t="str">
        <f>HYPERLINK("http://www.corstruth.com.au/NT/PNG2/8446457_URAPUNGA_5_cs.png","8446457_URAPUNGA_5_0.25m Bins")</f>
        <v>8446457_URAPUNGA_5_0.25m Bins</v>
      </c>
      <c r="C3237" t="str">
        <f>HYPERLINK("http://www.corstruth.com.au/NT/CSV/8446457_URAPUNGA_5.csv","8446457_URAPUNGA_5_CSV File 1m Bins")</f>
        <v>8446457_URAPUNGA_5_CSV File 1m Bins</v>
      </c>
      <c r="D3237">
        <v>8446457</v>
      </c>
      <c r="E3237" t="s">
        <v>2165</v>
      </c>
      <c r="G3237" t="s">
        <v>2177</v>
      </c>
      <c r="I3237">
        <v>-14.710699999999999</v>
      </c>
      <c r="J3237">
        <v>134.42099999999999</v>
      </c>
      <c r="K3237" t="str">
        <f>HYPERLINK("http://geology.data.nt.gov.au/NVCLDataServices/mosaic.html?datasetid=78cef1e2-90d3-4b75-be7f-86cc3fe4d0b","8446457_URAPUNGA_5_Core Image")</f>
        <v>8446457_URAPUNGA_5_Core Image</v>
      </c>
    </row>
    <row r="3238" spans="1:11" x14ac:dyDescent="0.25">
      <c r="A3238" t="str">
        <f>HYPERLINK("http://www.corstruth.com.au/NT/8446461_URAPUNGA_6_cs.png","8446461_URAPUNGA_6_A4")</f>
        <v>8446461_URAPUNGA_6_A4</v>
      </c>
      <c r="B3238" t="str">
        <f>HYPERLINK("http://www.corstruth.com.au/NT/PNG2/8446461_URAPUNGA_6_cs.png","8446461_URAPUNGA_6_0.25m Bins")</f>
        <v>8446461_URAPUNGA_6_0.25m Bins</v>
      </c>
      <c r="C3238" t="str">
        <f>HYPERLINK("http://www.corstruth.com.au/NT/CSV/8446461_URAPUNGA_6.csv","8446461_URAPUNGA_6_CSV File 1m Bins")</f>
        <v>8446461_URAPUNGA_6_CSV File 1m Bins</v>
      </c>
      <c r="D3238">
        <v>8446461</v>
      </c>
      <c r="E3238" t="s">
        <v>2165</v>
      </c>
      <c r="G3238" t="s">
        <v>2177</v>
      </c>
      <c r="I3238">
        <v>-14.7415</v>
      </c>
      <c r="J3238">
        <v>134.53399999999999</v>
      </c>
      <c r="K3238" t="str">
        <f>HYPERLINK("http://geology.data.nt.gov.au/NVCLDataServices/mosaic.html?datasetid=40fde5d6-8220-4220-941f-365d9def11f","8446461_URAPUNGA_6_Core Image")</f>
        <v>8446461_URAPUNGA_6_Core Image</v>
      </c>
    </row>
    <row r="3239" spans="1:11" x14ac:dyDescent="0.25">
      <c r="A3239" t="str">
        <f>HYPERLINK("http://www.corstruth.com.au/NT/8446660_BDD2_cs.png","8446660_BDD2_A4")</f>
        <v>8446660_BDD2_A4</v>
      </c>
      <c r="B3239" t="str">
        <f>HYPERLINK("http://www.corstruth.com.au/NT/PNG2/8446660_BDD2_cs.png","8446660_BDD2_0.25m Bins")</f>
        <v>8446660_BDD2_0.25m Bins</v>
      </c>
      <c r="C3239" t="str">
        <f>HYPERLINK("http://www.corstruth.com.au/NT/CSV/8446660_BDD2.csv","8446660_BDD2_CSV File 1m Bins")</f>
        <v>8446660_BDD2_CSV File 1m Bins</v>
      </c>
      <c r="D3239">
        <v>8446660</v>
      </c>
      <c r="E3239" t="s">
        <v>2165</v>
      </c>
      <c r="G3239" t="s">
        <v>2177</v>
      </c>
      <c r="I3239">
        <v>-16.343800000000002</v>
      </c>
      <c r="J3239">
        <v>135.792</v>
      </c>
    </row>
    <row r="3240" spans="1:11" x14ac:dyDescent="0.25">
      <c r="A3240" t="str">
        <f>HYPERLINK("http://www.corstruth.com.au/NT/8446664_DD98WG004_cs.png","8446664_DD98WG004_A4")</f>
        <v>8446664_DD98WG004_A4</v>
      </c>
      <c r="B3240" t="str">
        <f>HYPERLINK("http://www.corstruth.com.au/NT/PNG2/8446664_DD98WG004_cs.png","8446664_DD98WG004_0.25m Bins")</f>
        <v>8446664_DD98WG004_0.25m Bins</v>
      </c>
      <c r="C3240" t="str">
        <f>HYPERLINK("http://www.corstruth.com.au/NT/CSV/8446664_DD98WG004.csv","8446664_DD98WG004_CSV File 1m Bins")</f>
        <v>8446664_DD98WG004_CSV File 1m Bins</v>
      </c>
      <c r="D3240">
        <v>8446664</v>
      </c>
      <c r="E3240" t="s">
        <v>2165</v>
      </c>
      <c r="G3240" t="s">
        <v>2177</v>
      </c>
      <c r="I3240">
        <v>-14.9693</v>
      </c>
      <c r="J3240">
        <v>134.75899999999999</v>
      </c>
    </row>
    <row r="3241" spans="1:11" x14ac:dyDescent="0.25">
      <c r="A3241" t="str">
        <f>HYPERLINK("http://www.corstruth.com.au/NT/8446685_DD61B1_cs.png","8446685_DD61B1_A4")</f>
        <v>8446685_DD61B1_A4</v>
      </c>
      <c r="B3241" t="str">
        <f>HYPERLINK("http://www.corstruth.com.au/NT/PNG2/8446685_DD61B1_cs.png","8446685_DD61B1_0.25m Bins")</f>
        <v>8446685_DD61B1_0.25m Bins</v>
      </c>
      <c r="C3241" t="str">
        <f>HYPERLINK("http://www.corstruth.com.au/NT/CSV/8446685_DD61B1.csv","8446685_DD61B1_CSV File 1m Bins")</f>
        <v>8446685_DD61B1_CSV File 1m Bins</v>
      </c>
      <c r="D3241">
        <v>8446685</v>
      </c>
      <c r="E3241" t="s">
        <v>2165</v>
      </c>
      <c r="G3241" t="s">
        <v>2177</v>
      </c>
      <c r="I3241">
        <v>-13.6602</v>
      </c>
      <c r="J3241">
        <v>134.304</v>
      </c>
    </row>
    <row r="3242" spans="1:11" x14ac:dyDescent="0.25">
      <c r="A3242" t="str">
        <f>HYPERLINK("http://www.corstruth.com.au/NT/8446690_Lamont_Pass_3_cs.png","8446690_Lamont_Pass_3_A4")</f>
        <v>8446690_Lamont_Pass_3_A4</v>
      </c>
      <c r="B3242" t="str">
        <f>HYPERLINK("http://www.corstruth.com.au/NT/PNG2/8446690_Lamont_Pass_3_cs.png","8446690_Lamont_Pass_3_0.25m Bins")</f>
        <v>8446690_Lamont_Pass_3_0.25m Bins</v>
      </c>
      <c r="C3242" t="str">
        <f>HYPERLINK("http://www.corstruth.com.au/NT/CSV/8446690_Lamont_Pass_3.csv","8446690_Lamont_Pass_3_CSV File 1m Bins")</f>
        <v>8446690_Lamont_Pass_3_CSV File 1m Bins</v>
      </c>
      <c r="D3242">
        <v>8446690</v>
      </c>
      <c r="E3242" t="s">
        <v>2165</v>
      </c>
      <c r="G3242" t="s">
        <v>2177</v>
      </c>
      <c r="I3242">
        <v>-16.761199999999999</v>
      </c>
      <c r="J3242">
        <v>136.22999999999999</v>
      </c>
      <c r="K3242" t="str">
        <f>HYPERLINK("http://geology.data.nt.gov.au/NVCLDataServices/mosaic.html?datasetid=4770ef06-dbee-4d80-86a7-def0c93f846","8446690_Lamont_Pass_3_Core Image")</f>
        <v>8446690_Lamont_Pass_3_Core Image</v>
      </c>
    </row>
    <row r="3243" spans="1:11" x14ac:dyDescent="0.25">
      <c r="A3243" t="str">
        <f>HYPERLINK("http://www.corstruth.com.au/NT/8446711_Tanumbirini_1_cs.png","8446711_Tanumbirini_1_A4")</f>
        <v>8446711_Tanumbirini_1_A4</v>
      </c>
      <c r="B3243" t="str">
        <f>HYPERLINK("http://www.corstruth.com.au/NT/PNG2/8446711_Tanumbirini_1_cs.png","8446711_Tanumbirini_1_0.25m Bins")</f>
        <v>8446711_Tanumbirini_1_0.25m Bins</v>
      </c>
      <c r="C3243" t="str">
        <f>HYPERLINK("http://www.corstruth.com.au/NT/CSV/8446711_Tanumbirini_1.csv","8446711_Tanumbirini_1_CSV File 1m Bins")</f>
        <v>8446711_Tanumbirini_1_CSV File 1m Bins</v>
      </c>
      <c r="D3243">
        <v>8446711</v>
      </c>
      <c r="E3243" t="s">
        <v>2165</v>
      </c>
      <c r="G3243" t="s">
        <v>2177</v>
      </c>
      <c r="I3243">
        <v>-16.399100000000001</v>
      </c>
      <c r="J3243">
        <v>134.70400000000001</v>
      </c>
    </row>
    <row r="3244" spans="1:11" x14ac:dyDescent="0.25">
      <c r="A3244" t="str">
        <f>HYPERLINK("http://www.corstruth.com.au/NT/8446746_BBDD002_cs.png","8446746_BBDD002_A4")</f>
        <v>8446746_BBDD002_A4</v>
      </c>
      <c r="B3244" t="str">
        <f>HYPERLINK("http://www.corstruth.com.au/NT/PNG2/8446746_BBDD002_cs.png","8446746_BBDD002_0.25m Bins")</f>
        <v>8446746_BBDD002_0.25m Bins</v>
      </c>
      <c r="C3244" t="str">
        <f>HYPERLINK("http://www.corstruth.com.au/NT/CSV/8446746_BBDD002.csv","8446746_BBDD002_CSV File 1m Bins")</f>
        <v>8446746_BBDD002_CSV File 1m Bins</v>
      </c>
      <c r="D3244">
        <v>8446746</v>
      </c>
      <c r="E3244" t="s">
        <v>2165</v>
      </c>
      <c r="G3244" t="s">
        <v>2177</v>
      </c>
      <c r="I3244">
        <v>-15.661199999999999</v>
      </c>
      <c r="J3244">
        <v>136.251</v>
      </c>
      <c r="K3244" t="str">
        <f>HYPERLINK("http://geology.data.nt.gov.au/NVCLDataServices/mosaic.html?datasetid=f76c38ca-7fee-4f4d-8bc6-1f6a3ddf234","8446746_BBDD002_Core Image")</f>
        <v>8446746_BBDD002_Core Image</v>
      </c>
    </row>
    <row r="3245" spans="1:11" x14ac:dyDescent="0.25">
      <c r="A3245" t="str">
        <f>HYPERLINK("http://www.corstruth.com.au/NT/8446750_BBDD001_cs.png","8446750_BBDD001_A4")</f>
        <v>8446750_BBDD001_A4</v>
      </c>
      <c r="B3245" t="str">
        <f>HYPERLINK("http://www.corstruth.com.au/NT/PNG2/8446750_BBDD001_cs.png","8446750_BBDD001_0.25m Bins")</f>
        <v>8446750_BBDD001_0.25m Bins</v>
      </c>
      <c r="C3245" t="str">
        <f>HYPERLINK("http://www.corstruth.com.au/NT/CSV/8446750_BBDD001.csv","8446750_BBDD001_CSV File 1m Bins")</f>
        <v>8446750_BBDD001_CSV File 1m Bins</v>
      </c>
      <c r="D3245">
        <v>8446750</v>
      </c>
      <c r="E3245" t="s">
        <v>2165</v>
      </c>
      <c r="G3245" t="s">
        <v>2177</v>
      </c>
      <c r="I3245">
        <v>-15.6806</v>
      </c>
      <c r="J3245">
        <v>136.21899999999999</v>
      </c>
      <c r="K3245" t="str">
        <f>HYPERLINK("http://geology.data.nt.gov.au/NVCLDataServices/mosaic.html?datasetid=c91e0d42-85fd-457c-9d80-b313a241d94","8446750_BBDD001_Core Image")</f>
        <v>8446750_BBDD001_Core Image</v>
      </c>
    </row>
    <row r="3246" spans="1:11" x14ac:dyDescent="0.25">
      <c r="A3246" t="str">
        <f>HYPERLINK("http://www.corstruth.com.au/NT/8446786_BD016_cs.png","8446786_BD016_A4")</f>
        <v>8446786_BD016_A4</v>
      </c>
      <c r="B3246" t="str">
        <f>HYPERLINK("http://www.corstruth.com.au/NT/PNG2/8446786_BD016_cs.png","8446786_BD016_0.25m Bins")</f>
        <v>8446786_BD016_0.25m Bins</v>
      </c>
      <c r="C3246" t="str">
        <f>HYPERLINK("http://www.corstruth.com.au/NT/CSV/8446786_BD016.csv","8446786_BD016_CSV File 1m Bins")</f>
        <v>8446786_BD016_CSV File 1m Bins</v>
      </c>
      <c r="D3246">
        <v>8446786</v>
      </c>
      <c r="E3246" t="s">
        <v>2165</v>
      </c>
      <c r="G3246" t="s">
        <v>2177</v>
      </c>
      <c r="I3246">
        <v>-16.134499999999999</v>
      </c>
      <c r="J3246">
        <v>135.982</v>
      </c>
    </row>
    <row r="3247" spans="1:11" x14ac:dyDescent="0.25">
      <c r="A3247" t="str">
        <f>HYPERLINK("http://www.corstruth.com.au/NT/8446794_DD97WG002_cs.png","8446794_DD97WG002_A4")</f>
        <v>8446794_DD97WG002_A4</v>
      </c>
      <c r="B3247" t="str">
        <f>HYPERLINK("http://www.corstruth.com.au/NT/PNG2/8446794_DD97WG002_cs.png","8446794_DD97WG002_0.25m Bins")</f>
        <v>8446794_DD97WG002_0.25m Bins</v>
      </c>
      <c r="C3247" t="str">
        <f>HYPERLINK("http://www.corstruth.com.au/NT/CSV/8446794_DD97WG002.csv","8446794_DD97WG002_CSV File 1m Bins")</f>
        <v>8446794_DD97WG002_CSV File 1m Bins</v>
      </c>
      <c r="D3247">
        <v>8446794</v>
      </c>
      <c r="E3247" t="s">
        <v>2165</v>
      </c>
      <c r="G3247" t="s">
        <v>2177</v>
      </c>
      <c r="I3247">
        <v>-14.7898</v>
      </c>
      <c r="J3247">
        <v>134.71100000000001</v>
      </c>
    </row>
    <row r="3248" spans="1:11" x14ac:dyDescent="0.25">
      <c r="A3248" t="str">
        <f>HYPERLINK("http://www.corstruth.com.au/NT/8446802_FFD4_cs.png","8446802_FFD4_A4")</f>
        <v>8446802_FFD4_A4</v>
      </c>
      <c r="B3248" t="str">
        <f>HYPERLINK("http://www.corstruth.com.au/NT/PNG2/8446802_FFD4_cs.png","8446802_FFD4_0.25m Bins")</f>
        <v>8446802_FFD4_0.25m Bins</v>
      </c>
      <c r="C3248" t="str">
        <f>HYPERLINK("http://www.corstruth.com.au/NT/CSV/8446802_FFD4.csv","8446802_FFD4_CSV File 1m Bins")</f>
        <v>8446802_FFD4_CSV File 1m Bins</v>
      </c>
      <c r="D3248">
        <v>8446802</v>
      </c>
      <c r="E3248" t="s">
        <v>2165</v>
      </c>
      <c r="G3248" t="s">
        <v>2177</v>
      </c>
      <c r="I3248">
        <v>-14.1058</v>
      </c>
      <c r="J3248">
        <v>133.53800000000001</v>
      </c>
    </row>
    <row r="3249" spans="1:11" x14ac:dyDescent="0.25">
      <c r="A3249" t="str">
        <f>HYPERLINK("http://www.corstruth.com.au/NT/8446900_BD015_cs.png","8446900_BD015_A4")</f>
        <v>8446900_BD015_A4</v>
      </c>
      <c r="B3249" t="str">
        <f>HYPERLINK("http://www.corstruth.com.au/NT/PNG2/8446900_BD015_cs.png","8446900_BD015_0.25m Bins")</f>
        <v>8446900_BD015_0.25m Bins</v>
      </c>
      <c r="C3249" t="str">
        <f>HYPERLINK("http://www.corstruth.com.au/NT/CSV/8446900_BD015.csv","8446900_BD015_CSV File 1m Bins")</f>
        <v>8446900_BD015_CSV File 1m Bins</v>
      </c>
      <c r="D3249">
        <v>8446900</v>
      </c>
      <c r="E3249" t="s">
        <v>2165</v>
      </c>
      <c r="G3249" t="s">
        <v>2177</v>
      </c>
      <c r="I3249">
        <v>-15.9526</v>
      </c>
      <c r="J3249">
        <v>135.63499999999999</v>
      </c>
    </row>
    <row r="3250" spans="1:11" x14ac:dyDescent="0.25">
      <c r="A3250" t="str">
        <f>HYPERLINK("http://www.corstruth.com.au/NT/8446908_BD019_cs.png","8446908_BD019_A4")</f>
        <v>8446908_BD019_A4</v>
      </c>
      <c r="B3250" t="str">
        <f>HYPERLINK("http://www.corstruth.com.au/NT/PNG2/8446908_BD019_cs.png","8446908_BD019_0.25m Bins")</f>
        <v>8446908_BD019_0.25m Bins</v>
      </c>
      <c r="C3250" t="str">
        <f>HYPERLINK("http://www.corstruth.com.au/NT/CSV/8446908_BD019.csv","8446908_BD019_CSV File 1m Bins")</f>
        <v>8446908_BD019_CSV File 1m Bins</v>
      </c>
      <c r="D3250">
        <v>8446908</v>
      </c>
      <c r="E3250" t="s">
        <v>2165</v>
      </c>
      <c r="G3250" t="s">
        <v>2177</v>
      </c>
      <c r="I3250">
        <v>-16.1084</v>
      </c>
      <c r="J3250">
        <v>135.94999999999999</v>
      </c>
    </row>
    <row r="3251" spans="1:11" x14ac:dyDescent="0.25">
      <c r="A3251" t="str">
        <f>HYPERLINK("http://www.corstruth.com.au/NT/8446924_BRCD026_cs.png","8446924_BRCD026_A4")</f>
        <v>8446924_BRCD026_A4</v>
      </c>
      <c r="B3251" t="str">
        <f>HYPERLINK("http://www.corstruth.com.au/NT/PNG2/8446924_BRCD026_cs.png","8446924_BRCD026_0.25m Bins")</f>
        <v>8446924_BRCD026_0.25m Bins</v>
      </c>
      <c r="C3251" t="str">
        <f>HYPERLINK("http://www.corstruth.com.au/NT/CSV/8446924_BRCD026.csv","8446924_BRCD026_CSV File 1m Bins")</f>
        <v>8446924_BRCD026_CSV File 1m Bins</v>
      </c>
      <c r="D3251">
        <v>8446924</v>
      </c>
      <c r="E3251" t="s">
        <v>2165</v>
      </c>
      <c r="G3251" t="s">
        <v>2177</v>
      </c>
      <c r="I3251">
        <v>-15.771100000000001</v>
      </c>
      <c r="J3251">
        <v>135.94900000000001</v>
      </c>
    </row>
    <row r="3252" spans="1:11" x14ac:dyDescent="0.25">
      <c r="A3252" t="str">
        <f>HYPERLINK("http://www.corstruth.com.au/NT/8446948_WGD08012_cs.png","8446948_WGD08012_A4")</f>
        <v>8446948_WGD08012_A4</v>
      </c>
      <c r="B3252" t="str">
        <f>HYPERLINK("http://www.corstruth.com.au/NT/PNG2/8446948_WGD08012_cs.png","8446948_WGD08012_0.25m Bins")</f>
        <v>8446948_WGD08012_0.25m Bins</v>
      </c>
      <c r="C3252" t="str">
        <f>HYPERLINK("http://www.corstruth.com.au/NT/CSV/8446948_WGD08012.csv","8446948_WGD08012_CSV File 1m Bins")</f>
        <v>8446948_WGD08012_CSV File 1m Bins</v>
      </c>
      <c r="D3252">
        <v>8446948</v>
      </c>
      <c r="E3252" t="s">
        <v>2165</v>
      </c>
      <c r="G3252" t="s">
        <v>2177</v>
      </c>
      <c r="I3252">
        <v>-17.343800000000002</v>
      </c>
      <c r="J3252">
        <v>137.953</v>
      </c>
    </row>
    <row r="3253" spans="1:11" x14ac:dyDescent="0.25">
      <c r="A3253" t="str">
        <f>HYPERLINK("http://www.corstruth.com.au/NT/8447000_BD020_cs.png","8447000_BD020_A4")</f>
        <v>8447000_BD020_A4</v>
      </c>
      <c r="B3253" t="str">
        <f>HYPERLINK("http://www.corstruth.com.au/NT/PNG2/8447000_BD020_cs.png","8447000_BD020_0.25m Bins")</f>
        <v>8447000_BD020_0.25m Bins</v>
      </c>
      <c r="C3253" t="str">
        <f>HYPERLINK("http://www.corstruth.com.au/NT/CSV/8447000_BD020.csv","8447000_BD020_CSV File 1m Bins")</f>
        <v>8447000_BD020_CSV File 1m Bins</v>
      </c>
      <c r="D3253">
        <v>8447000</v>
      </c>
      <c r="E3253" t="s">
        <v>2165</v>
      </c>
      <c r="G3253" t="s">
        <v>2177</v>
      </c>
      <c r="I3253">
        <v>-16.098500000000001</v>
      </c>
      <c r="J3253">
        <v>135.959</v>
      </c>
    </row>
    <row r="3254" spans="1:11" x14ac:dyDescent="0.25">
      <c r="A3254" t="str">
        <f>HYPERLINK("http://www.corstruth.com.au/NT/8447007_87CIIDH1_cs.png","8447007_87CIIDH1_A4")</f>
        <v>8447007_87CIIDH1_A4</v>
      </c>
      <c r="B3254" t="str">
        <f>HYPERLINK("http://www.corstruth.com.au/NT/PNG2/8447007_87CIIDH1_cs.png","8447007_87CIIDH1_0.25m Bins")</f>
        <v>8447007_87CIIDH1_0.25m Bins</v>
      </c>
      <c r="C3254" t="str">
        <f>HYPERLINK("http://www.corstruth.com.au/NT/CSV/8447007_87CIIDH1.csv","8447007_87CIIDH1_CSV File 1m Bins")</f>
        <v>8447007_87CIIDH1_CSV File 1m Bins</v>
      </c>
      <c r="D3254">
        <v>8447007</v>
      </c>
      <c r="E3254" t="s">
        <v>2165</v>
      </c>
      <c r="G3254" t="s">
        <v>2177</v>
      </c>
      <c r="I3254">
        <v>-17.515699999999999</v>
      </c>
      <c r="J3254">
        <v>137.898</v>
      </c>
    </row>
    <row r="3255" spans="1:11" x14ac:dyDescent="0.25">
      <c r="A3255" t="str">
        <f>HYPERLINK("http://www.corstruth.com.au/NT/8447008_87CIIDH2_cs.png","8447008_87CIIDH2_A4")</f>
        <v>8447008_87CIIDH2_A4</v>
      </c>
      <c r="B3255" t="str">
        <f>HYPERLINK("http://www.corstruth.com.au/NT/PNG2/8447008_87CIIDH2_cs.png","8447008_87CIIDH2_0.25m Bins")</f>
        <v>8447008_87CIIDH2_0.25m Bins</v>
      </c>
      <c r="C3255" t="str">
        <f>HYPERLINK("http://www.corstruth.com.au/NT/CSV/8447008_87CIIDH2.csv","8447008_87CIIDH2_CSV File 1m Bins")</f>
        <v>8447008_87CIIDH2_CSV File 1m Bins</v>
      </c>
      <c r="D3255">
        <v>8447008</v>
      </c>
      <c r="E3255" t="s">
        <v>2165</v>
      </c>
      <c r="G3255" t="s">
        <v>2177</v>
      </c>
      <c r="I3255">
        <v>-17.515899999999998</v>
      </c>
      <c r="J3255">
        <v>137.898</v>
      </c>
    </row>
    <row r="3256" spans="1:11" x14ac:dyDescent="0.25">
      <c r="A3256" t="str">
        <f>HYPERLINK("http://www.corstruth.com.au/NT/8447010_DD61B3_cs.png","8447010_DD61B3_A4")</f>
        <v>8447010_DD61B3_A4</v>
      </c>
      <c r="B3256" t="str">
        <f>HYPERLINK("http://www.corstruth.com.au/NT/PNG2/8447010_DD61B3_cs.png","8447010_DD61B3_0.25m Bins")</f>
        <v>8447010_DD61B3_0.25m Bins</v>
      </c>
      <c r="C3256" t="str">
        <f>HYPERLINK("http://www.corstruth.com.au/NT/CSV/8447010_DD61B3.csv","8447010_DD61B3_CSV File 1m Bins")</f>
        <v>8447010_DD61B3_CSV File 1m Bins</v>
      </c>
      <c r="D3256">
        <v>8447010</v>
      </c>
      <c r="E3256" t="s">
        <v>2165</v>
      </c>
      <c r="G3256" t="s">
        <v>2177</v>
      </c>
      <c r="I3256">
        <v>-13.6591</v>
      </c>
      <c r="J3256">
        <v>134.30099999999999</v>
      </c>
    </row>
    <row r="3257" spans="1:11" x14ac:dyDescent="0.25">
      <c r="A3257" t="str">
        <f>HYPERLINK("http://www.corstruth.com.au/NT/8447017_NTGS82_42_cs.png","8447017_NTGS82_42_A4")</f>
        <v>8447017_NTGS82_42_A4</v>
      </c>
      <c r="B3257" t="str">
        <f>HYPERLINK("http://www.corstruth.com.au/NT/PNG2/8447017_NTGS82_42_cs.png","8447017_NTGS82_42_0.25m Bins")</f>
        <v>8447017_NTGS82_42_0.25m Bins</v>
      </c>
      <c r="C3257" t="str">
        <f>HYPERLINK("http://www.corstruth.com.au/NT/CSV/8447017_NTGS82_42.csv","8447017_NTGS82_42_CSV File 1m Bins")</f>
        <v>8447017_NTGS82_42_CSV File 1m Bins</v>
      </c>
      <c r="D3257">
        <v>8447017</v>
      </c>
      <c r="E3257" t="s">
        <v>2165</v>
      </c>
      <c r="G3257" t="s">
        <v>2177</v>
      </c>
      <c r="I3257">
        <v>-13.3309</v>
      </c>
      <c r="J3257">
        <v>130.625</v>
      </c>
    </row>
    <row r="3258" spans="1:11" x14ac:dyDescent="0.25">
      <c r="A3258" t="str">
        <f>HYPERLINK("http://www.corstruth.com.au/NT/8447023_DD98WG003_cs.png","8447023_DD98WG003_A4")</f>
        <v>8447023_DD98WG003_A4</v>
      </c>
      <c r="B3258" t="str">
        <f>HYPERLINK("http://www.corstruth.com.au/NT/PNG2/8447023_DD98WG003_cs.png","8447023_DD98WG003_0.25m Bins")</f>
        <v>8447023_DD98WG003_0.25m Bins</v>
      </c>
      <c r="C3258" t="str">
        <f>HYPERLINK("http://www.corstruth.com.au/NT/CSV/8447023_DD98WG003.csv","8447023_DD98WG003_CSV File 1m Bins")</f>
        <v>8447023_DD98WG003_CSV File 1m Bins</v>
      </c>
      <c r="D3258">
        <v>8447023</v>
      </c>
      <c r="E3258" t="s">
        <v>2165</v>
      </c>
      <c r="G3258" t="s">
        <v>2177</v>
      </c>
      <c r="I3258">
        <v>-14.971500000000001</v>
      </c>
      <c r="J3258">
        <v>134.773</v>
      </c>
    </row>
    <row r="3259" spans="1:11" x14ac:dyDescent="0.25">
      <c r="A3259" t="str">
        <f>HYPERLINK("http://www.corstruth.com.au/NT/8447025_BD021_cs.png","8447025_BD021_A4")</f>
        <v>8447025_BD021_A4</v>
      </c>
      <c r="B3259" t="str">
        <f>HYPERLINK("http://www.corstruth.com.au/NT/PNG2/8447025_BD021_cs.png","8447025_BD021_0.25m Bins")</f>
        <v>8447025_BD021_0.25m Bins</v>
      </c>
      <c r="C3259" t="str">
        <f>HYPERLINK("http://www.corstruth.com.au/NT/CSV/8447025_BD021.csv","8447025_BD021_CSV File 1m Bins")</f>
        <v>8447025_BD021_CSV File 1m Bins</v>
      </c>
      <c r="D3259">
        <v>8447025</v>
      </c>
      <c r="E3259" t="s">
        <v>2165</v>
      </c>
      <c r="G3259" t="s">
        <v>2177</v>
      </c>
      <c r="I3259">
        <v>-16.1065</v>
      </c>
      <c r="J3259">
        <v>135.95699999999999</v>
      </c>
    </row>
    <row r="3260" spans="1:11" x14ac:dyDescent="0.25">
      <c r="A3260" t="str">
        <f>HYPERLINK("http://www.corstruth.com.au/NT/8447026_BD013_cs.png","8447026_BD013_A4")</f>
        <v>8447026_BD013_A4</v>
      </c>
      <c r="B3260" t="str">
        <f>HYPERLINK("http://www.corstruth.com.au/NT/PNG2/8447026_BD013_cs.png","8447026_BD013_0.25m Bins")</f>
        <v>8447026_BD013_0.25m Bins</v>
      </c>
      <c r="C3260" t="str">
        <f>HYPERLINK("http://www.corstruth.com.au/NT/CSV/8447026_BD013.csv","8447026_BD013_CSV File 1m Bins")</f>
        <v>8447026_BD013_CSV File 1m Bins</v>
      </c>
      <c r="D3260">
        <v>8447026</v>
      </c>
      <c r="E3260" t="s">
        <v>2165</v>
      </c>
      <c r="G3260" t="s">
        <v>2177</v>
      </c>
      <c r="I3260">
        <v>-15.9473</v>
      </c>
      <c r="J3260">
        <v>135.58199999999999</v>
      </c>
    </row>
    <row r="3261" spans="1:11" x14ac:dyDescent="0.25">
      <c r="A3261" t="str">
        <f>HYPERLINK("http://www.corstruth.com.au/NT/8447027_BD014_cs.png","8447027_BD014_A4")</f>
        <v>8447027_BD014_A4</v>
      </c>
      <c r="B3261" t="str">
        <f>HYPERLINK("http://www.corstruth.com.au/NT/PNG2/8447027_BD014_cs.png","8447027_BD014_0.25m Bins")</f>
        <v>8447027_BD014_0.25m Bins</v>
      </c>
      <c r="C3261" t="str">
        <f>HYPERLINK("http://www.corstruth.com.au/NT/CSV/8447027_BD014.csv","8447027_BD014_CSV File 1m Bins")</f>
        <v>8447027_BD014_CSV File 1m Bins</v>
      </c>
      <c r="D3261">
        <v>8447027</v>
      </c>
      <c r="E3261" t="s">
        <v>2165</v>
      </c>
      <c r="G3261" t="s">
        <v>2177</v>
      </c>
      <c r="I3261">
        <v>-15.9567</v>
      </c>
      <c r="J3261">
        <v>135.55799999999999</v>
      </c>
    </row>
    <row r="3262" spans="1:11" x14ac:dyDescent="0.25">
      <c r="A3262" t="str">
        <f>HYPERLINK("http://www.corstruth.com.au/NT/8447028_BD017_cs.png","8447028_BD017_A4")</f>
        <v>8447028_BD017_A4</v>
      </c>
      <c r="B3262" t="str">
        <f>HYPERLINK("http://www.corstruth.com.au/NT/PNG2/8447028_BD017_cs.png","8447028_BD017_0.25m Bins")</f>
        <v>8447028_BD017_0.25m Bins</v>
      </c>
      <c r="C3262" t="str">
        <f>HYPERLINK("http://www.corstruth.com.au/NT/CSV/8447028_BD017.csv","8447028_BD017_CSV File 1m Bins")</f>
        <v>8447028_BD017_CSV File 1m Bins</v>
      </c>
      <c r="D3262">
        <v>8447028</v>
      </c>
      <c r="E3262" t="s">
        <v>2165</v>
      </c>
      <c r="G3262" t="s">
        <v>2177</v>
      </c>
      <c r="I3262">
        <v>-16.125699999999998</v>
      </c>
      <c r="J3262">
        <v>135.935</v>
      </c>
      <c r="K3262" t="str">
        <f>HYPERLINK("http://geology.data.nt.gov.au/NVCLDataServices/mosaic.html?datasetid=e937a08a-c66e-4375-b141-120a75dc3fc","8447028_BD017_Core Image")</f>
        <v>8447028_BD017_Core Image</v>
      </c>
    </row>
    <row r="3263" spans="1:11" x14ac:dyDescent="0.25">
      <c r="A3263" t="str">
        <f>HYPERLINK("http://www.corstruth.com.au/NT/8447029_BD018_cs.png","8447029_BD018_A4")</f>
        <v>8447029_BD018_A4</v>
      </c>
      <c r="B3263" t="str">
        <f>HYPERLINK("http://www.corstruth.com.au/NT/PNG2/8447029_BD018_cs.png","8447029_BD018_0.25m Bins")</f>
        <v>8447029_BD018_0.25m Bins</v>
      </c>
      <c r="C3263" t="str">
        <f>HYPERLINK("http://www.corstruth.com.au/NT/CSV/8447029_BD018.csv","8447029_BD018_CSV File 1m Bins")</f>
        <v>8447029_BD018_CSV File 1m Bins</v>
      </c>
      <c r="D3263">
        <v>8447029</v>
      </c>
      <c r="E3263" t="s">
        <v>2165</v>
      </c>
      <c r="G3263" t="s">
        <v>2177</v>
      </c>
      <c r="I3263">
        <v>-16.116499999999998</v>
      </c>
      <c r="J3263">
        <v>135.94200000000001</v>
      </c>
    </row>
    <row r="3264" spans="1:11" x14ac:dyDescent="0.25">
      <c r="A3264" t="str">
        <f>HYPERLINK("http://www.corstruth.com.au/NT/8447030_BD022_cs.png","8447030_BD022_A4")</f>
        <v>8447030_BD022_A4</v>
      </c>
      <c r="B3264" t="str">
        <f>HYPERLINK("http://www.corstruth.com.au/NT/PNG2/8447030_BD022_cs.png","8447030_BD022_0.25m Bins")</f>
        <v>8447030_BD022_0.25m Bins</v>
      </c>
      <c r="C3264" t="str">
        <f>HYPERLINK("http://www.corstruth.com.au/NT/CSV/8447030_BD022.csv","8447030_BD022_CSV File 1m Bins")</f>
        <v>8447030_BD022_CSV File 1m Bins</v>
      </c>
      <c r="D3264">
        <v>8447030</v>
      </c>
      <c r="E3264" t="s">
        <v>2165</v>
      </c>
      <c r="G3264" t="s">
        <v>2177</v>
      </c>
      <c r="I3264">
        <v>-16.0733</v>
      </c>
      <c r="J3264">
        <v>135.946</v>
      </c>
    </row>
    <row r="3265" spans="1:11" x14ac:dyDescent="0.25">
      <c r="A3265" t="str">
        <f>HYPERLINK("http://www.corstruth.com.au/NT/8447031_BRCD024_cs.png","8447031_BRCD024_A4")</f>
        <v>8447031_BRCD024_A4</v>
      </c>
      <c r="B3265" t="str">
        <f>HYPERLINK("http://www.corstruth.com.au/NT/PNG2/8447031_BRCD024_cs.png","8447031_BRCD024_0.25m Bins")</f>
        <v>8447031_BRCD024_0.25m Bins</v>
      </c>
      <c r="C3265" t="str">
        <f>HYPERLINK("http://www.corstruth.com.au/NT/CSV/8447031_BRCD024.csv","8447031_BRCD024_CSV File 1m Bins")</f>
        <v>8447031_BRCD024_CSV File 1m Bins</v>
      </c>
      <c r="D3265">
        <v>8447031</v>
      </c>
      <c r="E3265" t="s">
        <v>2165</v>
      </c>
      <c r="G3265" t="s">
        <v>2177</v>
      </c>
      <c r="I3265">
        <v>-16.032800000000002</v>
      </c>
      <c r="J3265">
        <v>135.96</v>
      </c>
    </row>
    <row r="3266" spans="1:11" x14ac:dyDescent="0.25">
      <c r="A3266" t="str">
        <f>HYPERLINK("http://www.corstruth.com.au/NT/8447033_BRCD025_cs.png","8447033_BRCD025_A4")</f>
        <v>8447033_BRCD025_A4</v>
      </c>
      <c r="B3266" t="str">
        <f>HYPERLINK("http://www.corstruth.com.au/NT/PNG2/8447033_BRCD025_cs.png","8447033_BRCD025_0.25m Bins")</f>
        <v>8447033_BRCD025_0.25m Bins</v>
      </c>
      <c r="C3266" t="str">
        <f>HYPERLINK("http://www.corstruth.com.au/NT/CSV/8447033_BRCD025.csv","8447033_BRCD025_CSV File 1m Bins")</f>
        <v>8447033_BRCD025_CSV File 1m Bins</v>
      </c>
      <c r="D3266">
        <v>8447033</v>
      </c>
      <c r="E3266" t="s">
        <v>2165</v>
      </c>
      <c r="G3266" t="s">
        <v>2177</v>
      </c>
      <c r="I3266">
        <v>-15.776</v>
      </c>
      <c r="J3266">
        <v>135.965</v>
      </c>
    </row>
    <row r="3267" spans="1:11" x14ac:dyDescent="0.25">
      <c r="A3267" t="str">
        <f>HYPERLINK("http://www.corstruth.com.au/NT/8447052_WD_3_cs.png","8447052_WD_3_A4")</f>
        <v>8447052_WD_3_A4</v>
      </c>
      <c r="B3267" t="str">
        <f>HYPERLINK("http://www.corstruth.com.au/NT/PNG2/8447052_WD_3_cs.png","8447052_WD_3_0.25m Bins")</f>
        <v>8447052_WD_3_0.25m Bins</v>
      </c>
      <c r="C3267" t="str">
        <f>HYPERLINK("http://www.corstruth.com.au/NT/CSV/8447052_WD_3.csv","8447052_WD_3_CSV File 1m Bins")</f>
        <v>8447052_WD_3_CSV File 1m Bins</v>
      </c>
      <c r="D3267">
        <v>8447052</v>
      </c>
      <c r="E3267" t="s">
        <v>2165</v>
      </c>
      <c r="G3267" t="s">
        <v>2177</v>
      </c>
      <c r="I3267">
        <v>-13.5206</v>
      </c>
      <c r="J3267">
        <v>135.78800000000001</v>
      </c>
      <c r="K3267" t="str">
        <f>HYPERLINK("http://geology.data.nt.gov.au/NVCLDataServices/mosaic.html?datasetid=660c4ea7-3efd-48ec-a808-9946f734e44","8447052_WD_3_Core Image")</f>
        <v>8447052_WD_3_Core Image</v>
      </c>
    </row>
    <row r="3268" spans="1:11" x14ac:dyDescent="0.25">
      <c r="A3268" t="str">
        <f>HYPERLINK("http://www.corstruth.com.au/NT/8458260_NB16DD018_cs.png","8458260_NB16DD018_A4")</f>
        <v>8458260_NB16DD018_A4</v>
      </c>
      <c r="B3268" t="str">
        <f>HYPERLINK("http://www.corstruth.com.au/NT/PNG2/8458260_NB16DD018_cs.png","8458260_NB16DD018_0.25m Bins")</f>
        <v>8458260_NB16DD018_0.25m Bins</v>
      </c>
      <c r="C3268" t="str">
        <f>HYPERLINK("http://www.corstruth.com.au/NT/CSV/8458260_NB16DD018.csv","8458260_NB16DD018_CSV File 1m Bins")</f>
        <v>8458260_NB16DD018_CSV File 1m Bins</v>
      </c>
      <c r="D3268">
        <v>8458260</v>
      </c>
      <c r="E3268" t="s">
        <v>2165</v>
      </c>
      <c r="G3268" t="s">
        <v>2177</v>
      </c>
      <c r="I3268">
        <v>-16.413900000000002</v>
      </c>
      <c r="J3268">
        <v>135.916</v>
      </c>
      <c r="K3268" t="str">
        <f>HYPERLINK("http://geology.data.nt.gov.au/NVCLDataServices/mosaic.html?datasetid=5220f234-9fd1-4969-a8b1-6866e6986ec","8458260_NB16DD018_Core Image")</f>
        <v>8458260_NB16DD018_Core Image</v>
      </c>
    </row>
    <row r="3269" spans="1:11" x14ac:dyDescent="0.25">
      <c r="A3269" t="str">
        <f>HYPERLINK("http://www.corstruth.com.au/NT/8470588_WD_5_cs.png","8470588_WD_5_A4")</f>
        <v>8470588_WD_5_A4</v>
      </c>
      <c r="B3269" t="str">
        <f>HYPERLINK("http://www.corstruth.com.au/NT/PNG2/8470588_WD_5_cs.png","8470588_WD_5_0.25m Bins")</f>
        <v>8470588_WD_5_0.25m Bins</v>
      </c>
      <c r="C3269" t="str">
        <f>HYPERLINK("http://www.corstruth.com.au/NT/CSV/8470588_WD_5.csv","8470588_WD_5_CSV File 1m Bins")</f>
        <v>8470588_WD_5_CSV File 1m Bins</v>
      </c>
      <c r="D3269">
        <v>8470588</v>
      </c>
      <c r="E3269" t="s">
        <v>2165</v>
      </c>
      <c r="G3269" t="s">
        <v>2177</v>
      </c>
      <c r="I3269">
        <v>-13.5243</v>
      </c>
      <c r="J3269">
        <v>135.79300000000001</v>
      </c>
      <c r="K3269" t="str">
        <f>HYPERLINK("http://geology.data.nt.gov.au/NVCLDataServices/mosaic.html?datasetid=17ab4530-b5b4-4eab-931b-64a1db31980","8470588_WD_5_Core Image")</f>
        <v>8470588_WD_5_Core Image</v>
      </c>
    </row>
    <row r="3270" spans="1:11" x14ac:dyDescent="0.25">
      <c r="A3270" t="str">
        <f>HYPERLINK("http://www.corstruth.com.au/NT/8470589_WD_6_cs.png","8470589_WD_6_A4")</f>
        <v>8470589_WD_6_A4</v>
      </c>
      <c r="B3270" t="str">
        <f>HYPERLINK("http://www.corstruth.com.au/NT/PNG2/8470589_WD_6_cs.png","8470589_WD_6_0.25m Bins")</f>
        <v>8470589_WD_6_0.25m Bins</v>
      </c>
      <c r="C3270" t="str">
        <f>HYPERLINK("http://www.corstruth.com.au/NT/CSV/8470589_WD_6.csv","8470589_WD_6_CSV File 1m Bins")</f>
        <v>8470589_WD_6_CSV File 1m Bins</v>
      </c>
      <c r="D3270">
        <v>8470589</v>
      </c>
      <c r="E3270" t="s">
        <v>2165</v>
      </c>
      <c r="G3270" t="s">
        <v>2177</v>
      </c>
      <c r="I3270">
        <v>-13.5243</v>
      </c>
      <c r="J3270">
        <v>135.79</v>
      </c>
      <c r="K3270" t="str">
        <f>HYPERLINK("http://geology.data.nt.gov.au/NVCLDataServices/mosaic.html?datasetid=e99a22b3-f4d6-40a3-9396-b26dc6e22f9","8470589_WD_6_Core Image")</f>
        <v>8470589_WD_6_Core Image</v>
      </c>
    </row>
    <row r="3271" spans="1:11" x14ac:dyDescent="0.25">
      <c r="A3271" t="str">
        <f>HYPERLINK("http://www.corstruth.com.au/NT/8470590_WD_7_cs.png","8470590_WD_7_A4")</f>
        <v>8470590_WD_7_A4</v>
      </c>
      <c r="B3271" t="str">
        <f>HYPERLINK("http://www.corstruth.com.au/NT/PNG2/8470590_WD_7_cs.png","8470590_WD_7_0.25m Bins")</f>
        <v>8470590_WD_7_0.25m Bins</v>
      </c>
      <c r="C3271" t="str">
        <f>HYPERLINK("http://www.corstruth.com.au/NT/CSV/8470590_WD_7.csv","8470590_WD_7_CSV File 1m Bins")</f>
        <v>8470590_WD_7_CSV File 1m Bins</v>
      </c>
      <c r="D3271">
        <v>8470590</v>
      </c>
      <c r="E3271" t="s">
        <v>2165</v>
      </c>
      <c r="G3271" t="s">
        <v>2177</v>
      </c>
      <c r="I3271">
        <v>-13.509499999999999</v>
      </c>
      <c r="J3271">
        <v>135.78100000000001</v>
      </c>
      <c r="K3271" t="str">
        <f>HYPERLINK("http://geology.data.nt.gov.au/NVCLDataServices/mosaic.html?datasetid=9ccf1208-8180-4162-8c69-e072e2af02c","8470590_WD_7_Core Image")</f>
        <v>8470590_WD_7_Core Image</v>
      </c>
    </row>
    <row r="3272" spans="1:11" x14ac:dyDescent="0.25">
      <c r="A3272" t="str">
        <f>HYPERLINK("http://www.corstruth.com.au/NT/8470591_WD_1_cs.png","8470591_WD_1_A4")</f>
        <v>8470591_WD_1_A4</v>
      </c>
      <c r="B3272" t="str">
        <f>HYPERLINK("http://www.corstruth.com.au/NT/PNG2/8470591_WD_1_cs.png","8470591_WD_1_0.25m Bins")</f>
        <v>8470591_WD_1_0.25m Bins</v>
      </c>
      <c r="C3272" t="str">
        <f>HYPERLINK("http://www.corstruth.com.au/NT/CSV/8470591_WD_1.csv","8470591_WD_1_CSV File 1m Bins")</f>
        <v>8470591_WD_1_CSV File 1m Bins</v>
      </c>
      <c r="D3272">
        <v>8470591</v>
      </c>
      <c r="E3272" t="s">
        <v>2165</v>
      </c>
      <c r="G3272" t="s">
        <v>2177</v>
      </c>
      <c r="I3272">
        <v>-13.5176</v>
      </c>
      <c r="J3272">
        <v>135.78399999999999</v>
      </c>
      <c r="K3272" t="str">
        <f>HYPERLINK("http://geology.data.nt.gov.au/NVCLDataServices/mosaic.html?datasetid=abdeadf1-20a5-49c1-b0b2-b5cce722a18","8470591_WD_1_Core Image")</f>
        <v>8470591_WD_1_Core Image</v>
      </c>
    </row>
    <row r="3273" spans="1:11" x14ac:dyDescent="0.25">
      <c r="A3273" t="str">
        <f>HYPERLINK("http://www.corstruth.com.au/NT/8470592_WD_4_cs.png","8470592_WD_4_A4")</f>
        <v>8470592_WD_4_A4</v>
      </c>
      <c r="B3273" t="str">
        <f>HYPERLINK("http://www.corstruth.com.au/NT/PNG2/8470592_WD_4_cs.png","8470592_WD_4_0.25m Bins")</f>
        <v>8470592_WD_4_0.25m Bins</v>
      </c>
      <c r="C3273" t="str">
        <f>HYPERLINK("http://www.corstruth.com.au/NT/CSV/8470592_WD_4.csv","8470592_WD_4_CSV File 1m Bins")</f>
        <v>8470592_WD_4_CSV File 1m Bins</v>
      </c>
      <c r="D3273">
        <v>8470592</v>
      </c>
      <c r="E3273" t="s">
        <v>2165</v>
      </c>
      <c r="G3273" t="s">
        <v>2177</v>
      </c>
      <c r="I3273">
        <v>-13.5383</v>
      </c>
      <c r="J3273">
        <v>135.786</v>
      </c>
      <c r="K3273" t="str">
        <f>HYPERLINK("http://geology.data.nt.gov.au/NVCLDataServices/mosaic.html?datasetid=79e586a6-613d-41bf-bcc6-12883d86d52","8470592_WD_4_Core Image")</f>
        <v>8470592_WD_4_Core Image</v>
      </c>
    </row>
    <row r="3274" spans="1:11" x14ac:dyDescent="0.25">
      <c r="A3274" t="str">
        <f>HYPERLINK("http://www.corstruth.com.au/NT/8470594_WD_2_cs.png","8470594_WD_2_A4")</f>
        <v>8470594_WD_2_A4</v>
      </c>
      <c r="B3274" t="str">
        <f>HYPERLINK("http://www.corstruth.com.au/NT/PNG2/8470594_WD_2_cs.png","8470594_WD_2_0.25m Bins")</f>
        <v>8470594_WD_2_0.25m Bins</v>
      </c>
      <c r="C3274" t="str">
        <f>HYPERLINK("http://www.corstruth.com.au/NT/CSV/8470594_WD_2.csv","8470594_WD_2_CSV File 1m Bins")</f>
        <v>8470594_WD_2_CSV File 1m Bins</v>
      </c>
      <c r="D3274">
        <v>8470594</v>
      </c>
      <c r="E3274" t="s">
        <v>2165</v>
      </c>
      <c r="G3274" t="s">
        <v>2177</v>
      </c>
      <c r="I3274">
        <v>-13.5175</v>
      </c>
      <c r="J3274">
        <v>135.79</v>
      </c>
      <c r="K3274" t="str">
        <f>HYPERLINK("http://geology.data.nt.gov.au/NVCLDataServices/mosaic.html?datasetid=e0a00243-c27a-4097-9e65-24dfada47e3","8470594_WD_2_Core Image")</f>
        <v>8470594_WD_2_Core Image</v>
      </c>
    </row>
    <row r="3275" spans="1:11" x14ac:dyDescent="0.25">
      <c r="A3275" t="str">
        <f>HYPERLINK("http://www.corstruth.com.au/NT/8470637_DDH2_cs.png","8470637_DDH2_A4")</f>
        <v>8470637_DDH2_A4</v>
      </c>
      <c r="B3275" t="str">
        <f>HYPERLINK("http://www.corstruth.com.au/NT/PNG2/8470637_DDH2_cs.png","8470637_DDH2_0.25m Bins")</f>
        <v>8470637_DDH2_0.25m Bins</v>
      </c>
      <c r="C3275" t="str">
        <f>HYPERLINK("http://www.corstruth.com.au/NT/CSV/8470637_DDH2.csv","8470637_DDH2_CSV File 1m Bins")</f>
        <v>8470637_DDH2_CSV File 1m Bins</v>
      </c>
      <c r="D3275">
        <v>8470637</v>
      </c>
      <c r="E3275" t="s">
        <v>2165</v>
      </c>
      <c r="G3275" t="s">
        <v>2177</v>
      </c>
      <c r="I3275">
        <v>-14.5319</v>
      </c>
      <c r="J3275">
        <v>132.80099999999999</v>
      </c>
    </row>
    <row r="3276" spans="1:11" x14ac:dyDescent="0.25">
      <c r="A3276" t="str">
        <f>HYPERLINK("http://www.corstruth.com.au/NT/8471140_MURD017_cs.png","8471140_MURD017_A4")</f>
        <v>8471140_MURD017_A4</v>
      </c>
      <c r="B3276" t="str">
        <f>HYPERLINK("http://www.corstruth.com.au/NT/PNG2/8471140_MURD017_cs.png","8471140_MURD017_0.25m Bins")</f>
        <v>8471140_MURD017_0.25m Bins</v>
      </c>
      <c r="C3276" t="str">
        <f>HYPERLINK("http://www.corstruth.com.au/NT/CSV/8471140_MURD017.csv","8471140_MURD017_CSV File 1m Bins")</f>
        <v>8471140_MURD017_CSV File 1m Bins</v>
      </c>
      <c r="D3276">
        <v>8471140</v>
      </c>
      <c r="E3276" t="s">
        <v>2165</v>
      </c>
      <c r="G3276" t="s">
        <v>2177</v>
      </c>
      <c r="I3276">
        <v>-17.7437</v>
      </c>
      <c r="J3276">
        <v>136.364</v>
      </c>
    </row>
    <row r="3277" spans="1:11" x14ac:dyDescent="0.25">
      <c r="A3277" t="str">
        <f>HYPERLINK("http://www.corstruth.com.au/NT/8471146_YLDD001_cs.png","8471146_YLDD001_A4")</f>
        <v>8471146_YLDD001_A4</v>
      </c>
      <c r="B3277" t="str">
        <f>HYPERLINK("http://www.corstruth.com.au/NT/PNG2/8471146_YLDD001_cs.png","8471146_YLDD001_0.25m Bins")</f>
        <v>8471146_YLDD001_0.25m Bins</v>
      </c>
      <c r="C3277" t="str">
        <f>HYPERLINK("http://www.corstruth.com.au/NT/CSV/8471146_YLDD001.csv","8471146_YLDD001_CSV File 1m Bins")</f>
        <v>8471146_YLDD001_CSV File 1m Bins</v>
      </c>
      <c r="D3277">
        <v>8471146</v>
      </c>
      <c r="E3277" t="s">
        <v>2165</v>
      </c>
      <c r="G3277" t="s">
        <v>2177</v>
      </c>
      <c r="I3277">
        <v>-15.8728</v>
      </c>
      <c r="J3277">
        <v>135.953</v>
      </c>
      <c r="K3277" t="str">
        <f>HYPERLINK("http://geology.data.nt.gov.au/NVCLDataServices/mosaic.html?datasetid=fa482426-cda0-4f70-bb12-c2839168796","8471146_YLDD001_Core Image")</f>
        <v>8471146_YLDD001_Core Image</v>
      </c>
    </row>
    <row r="3278" spans="1:11" x14ac:dyDescent="0.25">
      <c r="A3278" t="str">
        <f>HYPERLINK("http://www.corstruth.com.au/NT/8471148_Amungee_NW_1_cs.png","8471148_Amungee_NW_1_A4")</f>
        <v>8471148_Amungee_NW_1_A4</v>
      </c>
      <c r="B3278" t="str">
        <f>HYPERLINK("http://www.corstruth.com.au/NT/PNG2/8471148_Amungee_NW_1_cs.png","8471148_Amungee_NW_1_0.25m Bins")</f>
        <v>8471148_Amungee_NW_1_0.25m Bins</v>
      </c>
      <c r="C3278" t="str">
        <f>HYPERLINK("http://www.corstruth.com.au/NT/CSV/8471148_Amungee_NW_1.csv","8471148_Amungee_NW_1_CSV File 1m Bins")</f>
        <v>8471148_Amungee_NW_1_CSV File 1m Bins</v>
      </c>
      <c r="D3278">
        <v>8471148</v>
      </c>
      <c r="E3278" t="s">
        <v>2165</v>
      </c>
      <c r="G3278" t="s">
        <v>2177</v>
      </c>
      <c r="I3278">
        <v>-16.3475</v>
      </c>
      <c r="J3278">
        <v>133.88499999999999</v>
      </c>
    </row>
    <row r="3279" spans="1:11" x14ac:dyDescent="0.25">
      <c r="A3279" t="str">
        <f>HYPERLINK("http://www.corstruth.com.au/NT/8471150_BJD04_cs.png","8471150_BJD04_A4")</f>
        <v>8471150_BJD04_A4</v>
      </c>
      <c r="B3279" t="str">
        <f>HYPERLINK("http://www.corstruth.com.au/NT/PNG2/8471150_BJD04_cs.png","8471150_BJD04_0.25m Bins")</f>
        <v>8471150_BJD04_0.25m Bins</v>
      </c>
      <c r="C3279" t="str">
        <f>HYPERLINK("http://www.corstruth.com.au/NT/CSV/8471150_BJD04.csv","8471150_BJD04_CSV File 1m Bins")</f>
        <v>8471150_BJD04_CSV File 1m Bins</v>
      </c>
      <c r="D3279">
        <v>8471150</v>
      </c>
      <c r="E3279" t="s">
        <v>2165</v>
      </c>
      <c r="G3279" t="s">
        <v>2177</v>
      </c>
      <c r="I3279">
        <v>-16.406099999999999</v>
      </c>
      <c r="J3279">
        <v>135.83099999999999</v>
      </c>
      <c r="K3279" t="str">
        <f>HYPERLINK("http://geology.data.nt.gov.au/NVCLDataServices/mosaic.html?datasetid=22c41731-3d69-4d37-8ab6-bfea5caf9ea","8471150_BJD04_Core Image")</f>
        <v>8471150_BJD04_Core Image</v>
      </c>
    </row>
    <row r="3280" spans="1:11" x14ac:dyDescent="0.25">
      <c r="A3280" t="str">
        <f>HYPERLINK("http://www.corstruth.com.au/NT/8471151_MND05_cs.png","8471151_MND05_A4")</f>
        <v>8471151_MND05_A4</v>
      </c>
      <c r="B3280" t="str">
        <f>HYPERLINK("http://www.corstruth.com.au/NT/PNG2/8471151_MND05_cs.png","8471151_MND05_0.25m Bins")</f>
        <v>8471151_MND05_0.25m Bins</v>
      </c>
      <c r="C3280" t="str">
        <f>HYPERLINK("http://www.corstruth.com.au/NT/CSV/8471151_MND05.csv","8471151_MND05_CSV File 1m Bins")</f>
        <v>8471151_MND05_CSV File 1m Bins</v>
      </c>
      <c r="D3280">
        <v>8471151</v>
      </c>
      <c r="E3280" t="s">
        <v>2165</v>
      </c>
      <c r="G3280" t="s">
        <v>2177</v>
      </c>
      <c r="I3280">
        <v>-16.0321</v>
      </c>
      <c r="J3280">
        <v>135.55799999999999</v>
      </c>
      <c r="K3280" t="str">
        <f>HYPERLINK("http://geology.data.nt.gov.au/NVCLDataServices/mosaic.html?datasetid=16c239cf-944a-47dc-8208-26d6f639cd9","8471151_MND05_Core Image")</f>
        <v>8471151_MND05_Core Image</v>
      </c>
    </row>
    <row r="3281" spans="1:11" x14ac:dyDescent="0.25">
      <c r="A3281" t="str">
        <f>HYPERLINK("http://www.corstruth.com.au/NT/8471152_MND06_cs.png","8471152_MND06_A4")</f>
        <v>8471152_MND06_A4</v>
      </c>
      <c r="B3281" t="str">
        <f>HYPERLINK("http://www.corstruth.com.au/NT/PNG2/8471152_MND06_cs.png","8471152_MND06_0.25m Bins")</f>
        <v>8471152_MND06_0.25m Bins</v>
      </c>
      <c r="C3281" t="str">
        <f>HYPERLINK("http://www.corstruth.com.au/NT/CSV/8471152_MND06.csv","8471152_MND06_CSV File 1m Bins")</f>
        <v>8471152_MND06_CSV File 1m Bins</v>
      </c>
      <c r="D3281">
        <v>8471152</v>
      </c>
      <c r="E3281" t="s">
        <v>2165</v>
      </c>
      <c r="G3281" t="s">
        <v>2177</v>
      </c>
      <c r="I3281">
        <v>-16.049900000000001</v>
      </c>
      <c r="J3281">
        <v>135.553</v>
      </c>
      <c r="K3281" t="str">
        <f>HYPERLINK("http://geology.data.nt.gov.au/NVCLDataServices/mosaic.html?datasetid=131cde17-3998-4eef-a46b-79c4f4425d2","8471152_MND06_Core Image")</f>
        <v>8471152_MND06_Core Image</v>
      </c>
    </row>
    <row r="3282" spans="1:11" x14ac:dyDescent="0.25">
      <c r="A3282" t="str">
        <f>HYPERLINK("http://www.corstruth.com.au/NT/8471153_CCD09_cs.png","8471153_CCD09_A4")</f>
        <v>8471153_CCD09_A4</v>
      </c>
      <c r="B3282" t="str">
        <f>HYPERLINK("http://www.corstruth.com.au/NT/PNG2/8471153_CCD09_cs.png","8471153_CCD09_0.25m Bins")</f>
        <v>8471153_CCD09_0.25m Bins</v>
      </c>
      <c r="C3282" t="str">
        <f>HYPERLINK("http://www.corstruth.com.au/NT/CSV/8471153_CCD09.csv","8471153_CCD09_CSV File 1m Bins")</f>
        <v>8471153_CCD09_CSV File 1m Bins</v>
      </c>
      <c r="D3282">
        <v>8471153</v>
      </c>
      <c r="E3282" t="s">
        <v>2165</v>
      </c>
      <c r="G3282" t="s">
        <v>2177</v>
      </c>
      <c r="I3282">
        <v>-15.966799999999999</v>
      </c>
      <c r="J3282">
        <v>135.53700000000001</v>
      </c>
      <c r="K3282" t="str">
        <f>HYPERLINK("http://geology.data.nt.gov.au/NVCLDataServices/mosaic.html?datasetid=034b60fc-fd55-473b-a939-5ffb8e8c322","8471153_CCD09_Core Image")</f>
        <v>8471153_CCD09_Core Image</v>
      </c>
    </row>
    <row r="3283" spans="1:11" x14ac:dyDescent="0.25">
      <c r="A3283" t="str">
        <f>HYPERLINK("http://www.corstruth.com.au/NT/8471154_CCD10_cs.png","8471154_CCD10_A4")</f>
        <v>8471154_CCD10_A4</v>
      </c>
      <c r="B3283" t="str">
        <f>HYPERLINK("http://www.corstruth.com.au/NT/PNG2/8471154_CCD10_cs.png","8471154_CCD10_0.25m Bins")</f>
        <v>8471154_CCD10_0.25m Bins</v>
      </c>
      <c r="C3283" t="str">
        <f>HYPERLINK("http://www.corstruth.com.au/NT/CSV/8471154_CCD10.csv","8471154_CCD10_CSV File 1m Bins")</f>
        <v>8471154_CCD10_CSV File 1m Bins</v>
      </c>
      <c r="D3283">
        <v>8471154</v>
      </c>
      <c r="E3283" t="s">
        <v>2165</v>
      </c>
      <c r="G3283" t="s">
        <v>2177</v>
      </c>
      <c r="I3283">
        <v>-15.9598</v>
      </c>
      <c r="J3283">
        <v>135.529</v>
      </c>
      <c r="K3283" t="str">
        <f>HYPERLINK("http://geology.data.nt.gov.au/NVCLDataServices/mosaic.html?datasetid=994365ce-eb40-4421-8400-d3f0560aa7e","8471154_CCD10_Core Image")</f>
        <v>8471154_CCD10_Core Image</v>
      </c>
    </row>
    <row r="3284" spans="1:11" x14ac:dyDescent="0.25">
      <c r="A3284" t="str">
        <f>HYPERLINK("http://www.corstruth.com.au/NT/8487931_NB17DD049_cs.png","8487931_NB17DD049_A4")</f>
        <v>8487931_NB17DD049_A4</v>
      </c>
      <c r="B3284" t="str">
        <f>HYPERLINK("http://www.corstruth.com.au/NT/PNG2/8487931_NB17DD049_cs.png","8487931_NB17DD049_0.25m Bins")</f>
        <v>8487931_NB17DD049_0.25m Bins</v>
      </c>
      <c r="C3284" t="str">
        <f>HYPERLINK("http://www.corstruth.com.au/NT/CSV/8487931_NB17DD049.csv","8487931_NB17DD049_CSV File 1m Bins")</f>
        <v>8487931_NB17DD049_CSV File 1m Bins</v>
      </c>
      <c r="D3284">
        <v>8487931</v>
      </c>
      <c r="E3284" t="s">
        <v>2165</v>
      </c>
      <c r="G3284" t="s">
        <v>2177</v>
      </c>
      <c r="I3284">
        <v>-16.038900000000002</v>
      </c>
      <c r="J3284">
        <v>136.01400000000001</v>
      </c>
      <c r="K3284" t="str">
        <f>HYPERLINK("http://geology.data.nt.gov.au/NVCLDataServices/mosaic.html?datasetid=b5f26f80-ea92-47d6-878f-d9e897a3f16","8487931_NB17DD049_Core Image")</f>
        <v>8487931_NB17DD049_Core Image</v>
      </c>
    </row>
    <row r="3285" spans="1:11" x14ac:dyDescent="0.25">
      <c r="A3285" t="str">
        <f>HYPERLINK("http://www.corstruth.com.au/NT/8585691_BCDH1_cs.png","8585691_BCDH1_A4")</f>
        <v>8585691_BCDH1_A4</v>
      </c>
      <c r="B3285" t="str">
        <f>HYPERLINK("http://www.corstruth.com.au/NT/PNG2/8585691_BCDH1_cs.png","8585691_BCDH1_0.25m Bins")</f>
        <v>8585691_BCDH1_0.25m Bins</v>
      </c>
      <c r="C3285" t="str">
        <f>HYPERLINK("http://www.corstruth.com.au/NT/CSV/8585691_BCDH1.csv","8585691_BCDH1_CSV File 1m Bins")</f>
        <v>8585691_BCDH1_CSV File 1m Bins</v>
      </c>
      <c r="D3285">
        <v>8585691</v>
      </c>
      <c r="E3285" t="s">
        <v>2165</v>
      </c>
      <c r="G3285" t="s">
        <v>2177</v>
      </c>
      <c r="I3285">
        <v>-17.771999999999998</v>
      </c>
      <c r="J3285">
        <v>136.965</v>
      </c>
    </row>
    <row r="3286" spans="1:11" x14ac:dyDescent="0.25">
      <c r="A3286" t="str">
        <f>HYPERLINK("http://www.corstruth.com.au/NT/8585692_MCDD0003_cs.png","8585692_MCDD0003_A4")</f>
        <v>8585692_MCDD0003_A4</v>
      </c>
      <c r="B3286" t="str">
        <f>HYPERLINK("http://www.corstruth.com.au/NT/PNG2/8585692_MCDD0003_cs.png","8585692_MCDD0003_0.25m Bins")</f>
        <v>8585692_MCDD0003_0.25m Bins</v>
      </c>
      <c r="C3286" t="str">
        <f>HYPERLINK("http://www.corstruth.com.au/NT/CSV/8585692_MCDD0003.csv","8585692_MCDD0003_CSV File 1m Bins")</f>
        <v>8585692_MCDD0003_CSV File 1m Bins</v>
      </c>
      <c r="D3286">
        <v>8585692</v>
      </c>
      <c r="E3286" t="s">
        <v>2165</v>
      </c>
      <c r="G3286" t="s">
        <v>2177</v>
      </c>
      <c r="I3286">
        <v>-17.124700000000001</v>
      </c>
      <c r="J3286">
        <v>135.85900000000001</v>
      </c>
      <c r="K3286" t="str">
        <f>HYPERLINK("http://geology.data.nt.gov.au/NVCLDataServices/mosaic.html?datasetid=c453a094-40b7-49c6-8827-4c5d757acfe","8585692_MCDD0003_Core Image")</f>
        <v>8585692_MCDD0003_Core Image</v>
      </c>
    </row>
    <row r="3287" spans="1:11" x14ac:dyDescent="0.25">
      <c r="A3287" t="str">
        <f>HYPERLINK("http://www.corstruth.com.au/NT/8585693_MCDD0004_cs.png","8585693_MCDD0004_A4")</f>
        <v>8585693_MCDD0004_A4</v>
      </c>
      <c r="B3287" t="str">
        <f>HYPERLINK("http://www.corstruth.com.au/NT/PNG2/8585693_MCDD0004_cs.png","8585693_MCDD0004_0.25m Bins")</f>
        <v>8585693_MCDD0004_0.25m Bins</v>
      </c>
      <c r="C3287" t="str">
        <f>HYPERLINK("http://www.corstruth.com.au/NT/CSV/8585693_MCDD0004.csv","8585693_MCDD0004_CSV File 1m Bins")</f>
        <v>8585693_MCDD0004_CSV File 1m Bins</v>
      </c>
      <c r="D3287">
        <v>8585693</v>
      </c>
      <c r="E3287" t="s">
        <v>2165</v>
      </c>
      <c r="G3287" t="s">
        <v>2177</v>
      </c>
      <c r="I3287">
        <v>-17.0867</v>
      </c>
      <c r="J3287">
        <v>135.93299999999999</v>
      </c>
    </row>
    <row r="3288" spans="1:11" x14ac:dyDescent="0.25">
      <c r="A3288" t="str">
        <f>HYPERLINK("http://www.corstruth.com.au/NT/8587758_NB18DD050_cs.png","8587758_NB18DD050_A4")</f>
        <v>8587758_NB18DD050_A4</v>
      </c>
      <c r="B3288" t="str">
        <f>HYPERLINK("http://www.corstruth.com.au/NT/PNG2/8587758_NB18DD050_cs.png","8587758_NB18DD050_0.25m Bins")</f>
        <v>8587758_NB18DD050_0.25m Bins</v>
      </c>
      <c r="C3288" t="str">
        <f>HYPERLINK("http://www.corstruth.com.au/NT/CSV/8587758_NB18DD050.csv","8587758_NB18DD050_CSV File 1m Bins")</f>
        <v>8587758_NB18DD050_CSV File 1m Bins</v>
      </c>
      <c r="D3288">
        <v>8587758</v>
      </c>
      <c r="E3288" t="s">
        <v>2165</v>
      </c>
      <c r="G3288" t="s">
        <v>2177</v>
      </c>
      <c r="I3288">
        <v>-16.1892</v>
      </c>
      <c r="J3288">
        <v>135.941</v>
      </c>
      <c r="K3288" t="str">
        <f>HYPERLINK("http://geology.data.nt.gov.au/NVCLDataServices/mosaic.html?datasetid=b3801b1e-3b48-456c-b218-68bc3ac84d6","8587758_NB18DD050_Core Image")</f>
        <v>8587758_NB18DD050_Core Image</v>
      </c>
    </row>
    <row r="3289" spans="1:11" x14ac:dyDescent="0.25">
      <c r="A3289" t="str">
        <f>HYPERLINK("http://www.corstruth.com.au/NT/8601228_Marmbulligan_1_cs.png","8601228_Marmbulligan_1_A4")</f>
        <v>8601228_Marmbulligan_1_A4</v>
      </c>
      <c r="B3289" t="str">
        <f>HYPERLINK("http://www.corstruth.com.au/NT/PNG2/8601228_Marmbulligan_1_cs.png","8601228_Marmbulligan_1_0.25m Bins")</f>
        <v>8601228_Marmbulligan_1_0.25m Bins</v>
      </c>
      <c r="C3289" t="str">
        <f>HYPERLINK("http://www.corstruth.com.au/NT/CSV/8601228_Marmbulligan_1.csv","8601228_Marmbulligan_1_CSV File 1m Bins")</f>
        <v>8601228_Marmbulligan_1_CSV File 1m Bins</v>
      </c>
      <c r="D3289">
        <v>8601228</v>
      </c>
      <c r="E3289" t="s">
        <v>2165</v>
      </c>
      <c r="G3289" t="s">
        <v>2177</v>
      </c>
      <c r="I3289">
        <v>-16.1997</v>
      </c>
      <c r="J3289">
        <v>134.77199999999999</v>
      </c>
    </row>
    <row r="3290" spans="1:11" x14ac:dyDescent="0.25">
      <c r="A3290" t="str">
        <f>HYPERLINK("http://www.corstruth.com.au/NT/8601229_MCDD0005_cs.png","8601229_MCDD0005_A4")</f>
        <v>8601229_MCDD0005_A4</v>
      </c>
      <c r="B3290" t="str">
        <f>HYPERLINK("http://www.corstruth.com.au/NT/PNG2/8601229_MCDD0005_cs.png","8601229_MCDD0005_0.25m Bins")</f>
        <v>8601229_MCDD0005_0.25m Bins</v>
      </c>
      <c r="C3290" t="str">
        <f>HYPERLINK("http://www.corstruth.com.au/NT/CSV/8601229_MCDD0005.csv","8601229_MCDD0005_CSV File 1m Bins")</f>
        <v>8601229_MCDD0005_CSV File 1m Bins</v>
      </c>
      <c r="D3290">
        <v>8601229</v>
      </c>
      <c r="E3290" t="s">
        <v>2165</v>
      </c>
      <c r="G3290" t="s">
        <v>2177</v>
      </c>
      <c r="I3290">
        <v>-17.059899999999999</v>
      </c>
      <c r="J3290">
        <v>135.93199999999999</v>
      </c>
      <c r="K3290" t="str">
        <f>HYPERLINK("http://geology.data.nt.gov.au/NVCLDataServices/mosaic.html?datasetid=9483fa49-08ce-42b8-824e-5fefd6134de","8601229_MCDD0005_Core Image")</f>
        <v>8601229_MCDD0005_Core Image</v>
      </c>
    </row>
    <row r="3291" spans="1:11" x14ac:dyDescent="0.25">
      <c r="A3291" t="str">
        <f>HYPERLINK("http://www.corstruth.com.au/NT/8601444_CPDH006_cs.png","8601444_CPDH006_A4")</f>
        <v>8601444_CPDH006_A4</v>
      </c>
      <c r="B3291" t="str">
        <f>HYPERLINK("http://www.corstruth.com.au/NT/PNG2/8601444_CPDH006_cs.png","8601444_CPDH006_0.25m Bins")</f>
        <v>8601444_CPDH006_0.25m Bins</v>
      </c>
      <c r="C3291" t="str">
        <f>HYPERLINK("http://www.corstruth.com.au/NT/CSV/8601444_CPDH006.csv","8601444_CPDH006_CSV File 1m Bins")</f>
        <v>8601444_CPDH006_CSV File 1m Bins</v>
      </c>
      <c r="D3291">
        <v>8601444</v>
      </c>
      <c r="E3291" t="s">
        <v>2165</v>
      </c>
      <c r="G3291" t="s">
        <v>2177</v>
      </c>
      <c r="I3291">
        <v>-16.317900000000002</v>
      </c>
      <c r="J3291">
        <v>136.07900000000001</v>
      </c>
      <c r="K3291" t="str">
        <f>HYPERLINK("http://geology.data.nt.gov.au/NVCLDataServices/mosaic.html?datasetid=9085e861-3afc-4076-aa24-8fedfab051a","8601444_CPDH006_Core Image")</f>
        <v>8601444_CPDH006_Core Image</v>
      </c>
    </row>
    <row r="3292" spans="1:11" x14ac:dyDescent="0.25">
      <c r="A3292" t="str">
        <f>HYPERLINK("http://www.corstruth.com.au/NT/8618165_P35_55_cs.png","8618165_P35_55_A4")</f>
        <v>8618165_P35_55_A4</v>
      </c>
      <c r="B3292" t="str">
        <f>HYPERLINK("http://www.corstruth.com.au/NT/PNG2/8618165_P35_55_cs.png","8618165_P35_55_0.25m Bins")</f>
        <v>8618165_P35_55_0.25m Bins</v>
      </c>
      <c r="C3292" t="str">
        <f>HYPERLINK("http://www.corstruth.com.au/NT/CSV/8618165_P35_55.csv","8618165_P35_55_CSV File 1m Bins")</f>
        <v>8618165_P35_55_CSV File 1m Bins</v>
      </c>
      <c r="D3292">
        <v>8618165</v>
      </c>
      <c r="E3292" t="s">
        <v>2165</v>
      </c>
      <c r="G3292" t="s">
        <v>2177</v>
      </c>
      <c r="I3292">
        <v>-16.421399999999998</v>
      </c>
      <c r="J3292">
        <v>136.108</v>
      </c>
    </row>
    <row r="3293" spans="1:11" x14ac:dyDescent="0.25">
      <c r="A3293" t="str">
        <f>HYPERLINK("http://www.corstruth.com.au/NT/8618166_R27_05_cs.png","8618166_R27_05_A4")</f>
        <v>8618166_R27_05_A4</v>
      </c>
      <c r="B3293" t="str">
        <f>HYPERLINK("http://www.corstruth.com.au/NT/PNG2/8618166_R27_05_cs.png","8618166_R27_05_0.25m Bins")</f>
        <v>8618166_R27_05_0.25m Bins</v>
      </c>
      <c r="C3293" t="str">
        <f>HYPERLINK("http://www.corstruth.com.au/NT/CSV/8618166_R27_05.csv","8618166_R27_05_CSV File 1m Bins")</f>
        <v>8618166_R27_05_CSV File 1m Bins</v>
      </c>
      <c r="D3293">
        <v>8618166</v>
      </c>
      <c r="E3293" t="s">
        <v>2165</v>
      </c>
      <c r="G3293" t="s">
        <v>2177</v>
      </c>
      <c r="I3293">
        <v>-16.428599999999999</v>
      </c>
      <c r="J3293">
        <v>136.11000000000001</v>
      </c>
    </row>
    <row r="3294" spans="1:11" x14ac:dyDescent="0.25">
      <c r="A3294" t="str">
        <f>HYPERLINK("http://www.corstruth.com.au/NT/8618167_Y21_00_P1_cs.png","8618167_Y21_00_P1_A4")</f>
        <v>8618167_Y21_00_P1_A4</v>
      </c>
      <c r="B3294" t="str">
        <f>HYPERLINK("http://www.corstruth.com.au/NT/PNG2/8618167_Y21_00_P1_cs.png","8618167_Y21_00_P1_0.25m Bins")</f>
        <v>8618167_Y21_00_P1_0.25m Bins</v>
      </c>
      <c r="C3294" t="str">
        <f>HYPERLINK("http://www.corstruth.com.au/NT/CSV/8618167_Y21_00_P1.csv","8618167_Y21_00_P1_CSV File 1m Bins")</f>
        <v>8618167_Y21_00_P1_CSV File 1m Bins</v>
      </c>
      <c r="D3294">
        <v>8618167</v>
      </c>
      <c r="E3294" t="s">
        <v>2165</v>
      </c>
      <c r="G3294" t="s">
        <v>2177</v>
      </c>
      <c r="I3294">
        <v>-16.4345</v>
      </c>
      <c r="J3294">
        <v>136.11600000000001</v>
      </c>
    </row>
    <row r="3295" spans="1:11" x14ac:dyDescent="0.25">
      <c r="A3295" t="str">
        <f>HYPERLINK("http://www.corstruth.com.au/NT/8723569_21STRAT_01_cs.png","8723569_21STRAT_01_A4")</f>
        <v>8723569_21STRAT_01_A4</v>
      </c>
      <c r="B3295" t="str">
        <f>HYPERLINK("http://www.corstruth.com.au/NT/PNG2/8723569_21STRAT_01_cs.png","8723569_21STRAT_01_0.25m Bins")</f>
        <v>8723569_21STRAT_01_0.25m Bins</v>
      </c>
      <c r="C3295" t="str">
        <f>HYPERLINK("http://www.corstruth.com.au/NT/CSV/8723569_21STRAT_01.csv","8723569_21STRAT_01_CSV File 1m Bins")</f>
        <v>8723569_21STRAT_01_CSV File 1m Bins</v>
      </c>
      <c r="D3295">
        <v>8723569</v>
      </c>
      <c r="E3295" t="s">
        <v>2165</v>
      </c>
      <c r="G3295" t="s">
        <v>2177</v>
      </c>
      <c r="I3295">
        <v>-17.174600000000002</v>
      </c>
      <c r="J3295">
        <v>137.76300000000001</v>
      </c>
    </row>
    <row r="3296" spans="1:11" x14ac:dyDescent="0.25">
      <c r="A3296" t="str">
        <f>HYPERLINK("http://www.corstruth.com.au/NT/902906_DDHCH1_cs.png","902906_DDHCH1_A4")</f>
        <v>902906_DDHCH1_A4</v>
      </c>
      <c r="B3296" t="str">
        <f>HYPERLINK("http://www.corstruth.com.au/NT/PNG2/902906_DDHCH1_cs.png","902906_DDHCH1_0.25m Bins")</f>
        <v>902906_DDHCH1_0.25m Bins</v>
      </c>
      <c r="C3296" t="str">
        <f>HYPERLINK("http://www.corstruth.com.au/NT/CSV/902906_DDHCH1.csv","902906_DDHCH1_CSV File 1m Bins")</f>
        <v>902906_DDHCH1_CSV File 1m Bins</v>
      </c>
      <c r="D3296">
        <v>902906</v>
      </c>
      <c r="E3296" t="s">
        <v>2165</v>
      </c>
      <c r="G3296" t="s">
        <v>2177</v>
      </c>
      <c r="I3296">
        <v>-17.206</v>
      </c>
      <c r="J3296">
        <v>137.35599999999999</v>
      </c>
    </row>
    <row r="3297" spans="1:11" x14ac:dyDescent="0.25">
      <c r="A3297" t="str">
        <f>HYPERLINK("http://www.corstruth.com.au/NT/903260_MANT79_3_cs.png","903260_MANT79_3_A4")</f>
        <v>903260_MANT79_3_A4</v>
      </c>
      <c r="B3297" t="str">
        <f>HYPERLINK("http://www.corstruth.com.au/NT/PNG2/903260_MANT79_3_cs.png","903260_MANT79_3_0.25m Bins")</f>
        <v>903260_MANT79_3_0.25m Bins</v>
      </c>
      <c r="C3297" t="str">
        <f>HYPERLINK("http://www.corstruth.com.au/NT/CSV/903260_MANT79_3.csv","903260_MANT79_3_CSV File 1m Bins")</f>
        <v>903260_MANT79_3_CSV File 1m Bins</v>
      </c>
      <c r="D3297">
        <v>903260</v>
      </c>
      <c r="E3297" t="s">
        <v>2165</v>
      </c>
      <c r="G3297" t="s">
        <v>2177</v>
      </c>
      <c r="I3297">
        <v>-16.288399999999999</v>
      </c>
      <c r="J3297">
        <v>136.072</v>
      </c>
    </row>
    <row r="3298" spans="1:11" x14ac:dyDescent="0.25">
      <c r="A3298" t="str">
        <f>HYPERLINK("http://www.corstruth.com.au/NT/906191_DD82CA1_cs.png","906191_DD82CA1_A4")</f>
        <v>906191_DD82CA1_A4</v>
      </c>
      <c r="B3298" t="str">
        <f>HYPERLINK("http://www.corstruth.com.au/NT/PNG2/906191_DD82CA1_cs.png","906191_DD82CA1_0.25m Bins")</f>
        <v>906191_DD82CA1_0.25m Bins</v>
      </c>
      <c r="C3298" t="str">
        <f>HYPERLINK("http://www.corstruth.com.au/NT/CSV/906191_DD82CA1.csv","906191_DD82CA1_CSV File 1m Bins")</f>
        <v>906191_DD82CA1_CSV File 1m Bins</v>
      </c>
      <c r="D3298">
        <v>906191</v>
      </c>
      <c r="E3298" t="s">
        <v>2165</v>
      </c>
      <c r="G3298" t="s">
        <v>2177</v>
      </c>
      <c r="I3298">
        <v>-16.289000000000001</v>
      </c>
      <c r="J3298">
        <v>136.07300000000001</v>
      </c>
      <c r="K3298" t="str">
        <f>HYPERLINK("http://geology.data.nt.gov.au/NVCLDataServices/mosaic.html?datasetid=9cef39aa-883d-4846-b03c-ae0fe6e7915","906191_DD82CA1_Core Image")</f>
        <v>906191_DD82CA1_Core Image</v>
      </c>
    </row>
    <row r="3299" spans="1:11" x14ac:dyDescent="0.25">
      <c r="A3299" t="str">
        <f>HYPERLINK("http://www.corstruth.com.au/NT/906203_DD84CA4_cs.png","906203_DD84CA4_A4")</f>
        <v>906203_DD84CA4_A4</v>
      </c>
      <c r="B3299" t="str">
        <f>HYPERLINK("http://www.corstruth.com.au/NT/PNG2/906203_DD84CA4_cs.png","906203_DD84CA4_0.25m Bins")</f>
        <v>906203_DD84CA4_0.25m Bins</v>
      </c>
      <c r="C3299" t="str">
        <f>HYPERLINK("http://www.corstruth.com.au/NT/CSV/906203_DD84CA4.csv","906203_DD84CA4_CSV File 1m Bins")</f>
        <v>906203_DD84CA4_CSV File 1m Bins</v>
      </c>
      <c r="D3299">
        <v>906203</v>
      </c>
      <c r="E3299" t="s">
        <v>2165</v>
      </c>
      <c r="G3299" t="s">
        <v>2177</v>
      </c>
      <c r="I3299">
        <v>-16.291499999999999</v>
      </c>
      <c r="J3299">
        <v>136.07300000000001</v>
      </c>
      <c r="K3299" t="str">
        <f>HYPERLINK("http://geology.data.nt.gov.au/NVCLDataServices/mosaic.html?datasetid=8de89e86-5bc4-4ac2-b96c-b6c8591419f","906203_DD84CA4_Core Image")</f>
        <v>906203_DD84CA4_Core Image</v>
      </c>
    </row>
    <row r="3300" spans="1:11" x14ac:dyDescent="0.25">
      <c r="A3300" t="str">
        <f>HYPERLINK("http://www.corstruth.com.au/NT/972230_MBD02_cs.png","972230_MBD02_A4")</f>
        <v>972230_MBD02_A4</v>
      </c>
      <c r="B3300" t="str">
        <f>HYPERLINK("http://www.corstruth.com.au/NT/PNG2/972230_MBD02_cs.png","972230_MBD02_0.25m Bins")</f>
        <v>972230_MBD02_0.25m Bins</v>
      </c>
      <c r="C3300" t="str">
        <f>HYPERLINK("http://www.corstruth.com.au/NT/CSV/972230_MBD02.csv","972230_MBD02_CSV File 1m Bins")</f>
        <v>972230_MBD02_CSV File 1m Bins</v>
      </c>
      <c r="D3300">
        <v>972230</v>
      </c>
      <c r="E3300" t="s">
        <v>2165</v>
      </c>
      <c r="G3300" t="s">
        <v>2177</v>
      </c>
      <c r="I3300">
        <v>-15.486599999999999</v>
      </c>
      <c r="J3300">
        <v>136.14400000000001</v>
      </c>
      <c r="K3300" t="str">
        <f>HYPERLINK("http://geology.data.nt.gov.au/NVCLDataServices/mosaic.html?datasetid=9063d873-404c-415d-8c09-1b27ed77017","972230_MBD02_Core Image")</f>
        <v>972230_MBD02_Core Image</v>
      </c>
    </row>
    <row r="3301" spans="1:11" x14ac:dyDescent="0.25">
      <c r="A3301" t="str">
        <f>HYPERLINK("http://www.corstruth.com.au/NT/972234_MBD03_cs.png","972234_MBD03_A4")</f>
        <v>972234_MBD03_A4</v>
      </c>
      <c r="B3301" t="str">
        <f>HYPERLINK("http://www.corstruth.com.au/NT/PNG2/972234_MBD03_cs.png","972234_MBD03_0.25m Bins")</f>
        <v>972234_MBD03_0.25m Bins</v>
      </c>
      <c r="C3301" t="str">
        <f>HYPERLINK("http://www.corstruth.com.au/NT/CSV/972234_MBD03.csv","972234_MBD03_CSV File 1m Bins")</f>
        <v>972234_MBD03_CSV File 1m Bins</v>
      </c>
      <c r="D3301">
        <v>972234</v>
      </c>
      <c r="E3301" t="s">
        <v>2165</v>
      </c>
      <c r="G3301" t="s">
        <v>2177</v>
      </c>
      <c r="I3301">
        <v>-15.4854</v>
      </c>
      <c r="J3301">
        <v>136.17099999999999</v>
      </c>
    </row>
    <row r="3302" spans="1:11" x14ac:dyDescent="0.25">
      <c r="A3302" t="str">
        <f>HYPERLINK("http://www.corstruth.com.au/NT/972238_MBD05_cs.png","972238_MBD05_A4")</f>
        <v>972238_MBD05_A4</v>
      </c>
      <c r="B3302" t="str">
        <f>HYPERLINK("http://www.corstruth.com.au/NT/PNG2/972238_MBD05_cs.png","972238_MBD05_0.25m Bins")</f>
        <v>972238_MBD05_0.25m Bins</v>
      </c>
      <c r="C3302" t="str">
        <f>HYPERLINK("http://www.corstruth.com.au/NT/CSV/972238_MBD05.csv","972238_MBD05_CSV File 1m Bins")</f>
        <v>972238_MBD05_CSV File 1m Bins</v>
      </c>
      <c r="D3302">
        <v>972238</v>
      </c>
      <c r="E3302" t="s">
        <v>2165</v>
      </c>
      <c r="G3302" t="s">
        <v>2177</v>
      </c>
      <c r="I3302">
        <v>-15.5534</v>
      </c>
      <c r="J3302">
        <v>136.14500000000001</v>
      </c>
    </row>
    <row r="3303" spans="1:11" x14ac:dyDescent="0.25">
      <c r="A3303" t="str">
        <f>HYPERLINK("http://www.corstruth.com.au/NT/986054_DD91CCK1_cs.png","986054_DD91CCK1_A4")</f>
        <v>986054_DD91CCK1_A4</v>
      </c>
      <c r="B3303" t="str">
        <f>HYPERLINK("http://www.corstruth.com.au/NT/PNG2/986054_DD91CCK1_cs.png","986054_DD91CCK1_0.25m Bins")</f>
        <v>986054_DD91CCK1_0.25m Bins</v>
      </c>
      <c r="C3303" t="str">
        <f>HYPERLINK("http://www.corstruth.com.au/NT/CSV/986054_DD91CCK1.csv","986054_DD91CCK1_CSV File 1m Bins")</f>
        <v>986054_DD91CCK1_CSV File 1m Bins</v>
      </c>
      <c r="D3303">
        <v>986054</v>
      </c>
      <c r="E3303" t="s">
        <v>2165</v>
      </c>
      <c r="G3303" t="s">
        <v>2177</v>
      </c>
      <c r="I3303">
        <v>-16.8367</v>
      </c>
      <c r="J3303">
        <v>137.86500000000001</v>
      </c>
      <c r="K3303" t="str">
        <f>HYPERLINK("http://geology.data.nt.gov.au/NVCLDataServices/mosaic.html?datasetid=697cf04f-e553-413c-b9f4-b78ac94d58e","986054_DD91CCK1_Core Image")</f>
        <v>986054_DD91CCK1_Core Image</v>
      </c>
    </row>
    <row r="3304" spans="1:11" x14ac:dyDescent="0.25">
      <c r="A3304" t="str">
        <f>HYPERLINK("http://www.corstruth.com.au/NT/7853525_MURD002_cs.png","7853525_MURD002_A4")</f>
        <v>7853525_MURD002_A4</v>
      </c>
      <c r="D3304">
        <v>7853525</v>
      </c>
      <c r="E3304" t="s">
        <v>2165</v>
      </c>
      <c r="G3304" t="s">
        <v>2178</v>
      </c>
      <c r="I3304">
        <v>-17.738600000000002</v>
      </c>
      <c r="J3304">
        <v>136.35300000000001</v>
      </c>
      <c r="K3304" t="str">
        <f>HYPERLINK("http://geology.data.nt.gov.au/NVCLDataServices/mosaic.html?datasetid=271c592b-d7de-44b3-a485-062e8a79194","7853525_MURD002_Core Image")</f>
        <v>7853525_MURD002_Core Image</v>
      </c>
    </row>
    <row r="3305" spans="1:11" x14ac:dyDescent="0.25">
      <c r="A3305" t="str">
        <f>HYPERLINK("http://www.corstruth.com.au/NT/7963224_MURD012_cs.png","7963224_MURD012_A4")</f>
        <v>7963224_MURD012_A4</v>
      </c>
      <c r="B3305" t="str">
        <f>HYPERLINK("http://www.corstruth.com.au/NT/PNG2/7963224_MURD012_cs.png","7963224_MURD012_0.25m Bins")</f>
        <v>7963224_MURD012_0.25m Bins</v>
      </c>
      <c r="C3305" t="str">
        <f>HYPERLINK("http://www.corstruth.com.au/NT/CSV/7963224_MURD012.csv","7963224_MURD012_CSV File 1m Bins")</f>
        <v>7963224_MURD012_CSV File 1m Bins</v>
      </c>
      <c r="D3305">
        <v>7963224</v>
      </c>
      <c r="E3305" t="s">
        <v>2165</v>
      </c>
      <c r="G3305" t="s">
        <v>2178</v>
      </c>
      <c r="I3305">
        <v>-17.980899999999998</v>
      </c>
      <c r="J3305">
        <v>136.16300000000001</v>
      </c>
      <c r="K3305" t="str">
        <f>HYPERLINK("http://geology.data.nt.gov.au/NVCLDataServices/mosaic.html?datasetid=4b8b82b2-d368-4646-89d1-5bf0b9e1fa8","7963224_MURD012_Core Image")</f>
        <v>7963224_MURD012_Core Image</v>
      </c>
    </row>
    <row r="3306" spans="1:11" x14ac:dyDescent="0.25">
      <c r="A3306" t="str">
        <f>HYPERLINK("http://www.corstruth.com.au/NT/7963228_MURD013_cs.png","7963228_MURD013_A4")</f>
        <v>7963228_MURD013_A4</v>
      </c>
      <c r="D3306">
        <v>7963228</v>
      </c>
      <c r="E3306" t="s">
        <v>2165</v>
      </c>
      <c r="G3306" t="s">
        <v>2178</v>
      </c>
      <c r="I3306">
        <v>-17.912600000000001</v>
      </c>
      <c r="J3306">
        <v>136.30500000000001</v>
      </c>
      <c r="K3306" t="str">
        <f>HYPERLINK("http://geology.data.nt.gov.au/NVCLDataServices/mosaic.html?datasetid=4171a4c0-7f32-40a1-b423-487eb10da44","7963228_MURD013_Core Image")</f>
        <v>7963228_MURD013_Core Image</v>
      </c>
    </row>
    <row r="3307" spans="1:11" x14ac:dyDescent="0.25">
      <c r="A3307" t="str">
        <f>HYPERLINK("http://www.corstruth.com.au/NT/7963233_MURD011_cs.png","7963233_MURD011_A4")</f>
        <v>7963233_MURD011_A4</v>
      </c>
      <c r="B3307" t="str">
        <f>HYPERLINK("http://www.corstruth.com.au/NT/PNG2/7963233_MURD011_cs.png","7963233_MURD011_0.25m Bins")</f>
        <v>7963233_MURD011_0.25m Bins</v>
      </c>
      <c r="C3307" t="str">
        <f>HYPERLINK("http://www.corstruth.com.au/NT/CSV/7963233_MURD011.csv","7963233_MURD011_CSV File 1m Bins")</f>
        <v>7963233_MURD011_CSV File 1m Bins</v>
      </c>
      <c r="D3307">
        <v>7963233</v>
      </c>
      <c r="E3307" t="s">
        <v>2165</v>
      </c>
      <c r="G3307" t="s">
        <v>2178</v>
      </c>
      <c r="I3307">
        <v>-18.075099999999999</v>
      </c>
      <c r="J3307">
        <v>135.99299999999999</v>
      </c>
      <c r="K3307" t="str">
        <f>HYPERLINK("http://geology.data.nt.gov.au/NVCLDataServices/mosaic.html?datasetid=a6f1ff93-f509-40be-9af7-74652608987","7963233_MURD011_Core Image")</f>
        <v>7963233_MURD011_Core Image</v>
      </c>
    </row>
    <row r="3308" spans="1:11" x14ac:dyDescent="0.25">
      <c r="A3308" t="str">
        <f>HYPERLINK("http://www.corstruth.com.au/NT/7963414_MURD001_cs.png","7963414_MURD001_A4")</f>
        <v>7963414_MURD001_A4</v>
      </c>
      <c r="D3308">
        <v>7963414</v>
      </c>
      <c r="E3308" t="s">
        <v>2165</v>
      </c>
      <c r="G3308" t="s">
        <v>2178</v>
      </c>
      <c r="I3308">
        <v>-17.740500000000001</v>
      </c>
      <c r="J3308">
        <v>136.352</v>
      </c>
    </row>
    <row r="3309" spans="1:11" x14ac:dyDescent="0.25">
      <c r="A3309" t="str">
        <f>HYPERLINK("http://www.corstruth.com.au/NT/7963418_MURD004_cs.png","7963418_MURD004_A4")</f>
        <v>7963418_MURD004_A4</v>
      </c>
      <c r="D3309">
        <v>7963418</v>
      </c>
      <c r="E3309" t="s">
        <v>2165</v>
      </c>
      <c r="G3309" t="s">
        <v>2178</v>
      </c>
      <c r="I3309">
        <v>-17.738199999999999</v>
      </c>
      <c r="J3309">
        <v>136.34800000000001</v>
      </c>
    </row>
    <row r="3310" spans="1:11" x14ac:dyDescent="0.25">
      <c r="A3310" t="str">
        <f>HYPERLINK("http://www.corstruth.com.au/NT/7963422_MURD014_cs.png","7963422_MURD014_A4")</f>
        <v>7963422_MURD014_A4</v>
      </c>
      <c r="D3310">
        <v>7963422</v>
      </c>
      <c r="E3310" t="s">
        <v>2165</v>
      </c>
      <c r="G3310" t="s">
        <v>2178</v>
      </c>
      <c r="I3310">
        <v>-17.728000000000002</v>
      </c>
      <c r="J3310">
        <v>136.102</v>
      </c>
    </row>
    <row r="3311" spans="1:11" x14ac:dyDescent="0.25">
      <c r="A3311" t="str">
        <f>HYPERLINK("http://www.corstruth.com.au/NT/7963426_MURD006_cs.png","7963426_MURD006_A4")</f>
        <v>7963426_MURD006_A4</v>
      </c>
      <c r="D3311">
        <v>7963426</v>
      </c>
      <c r="E3311" t="s">
        <v>2165</v>
      </c>
      <c r="G3311" t="s">
        <v>2178</v>
      </c>
      <c r="I3311">
        <v>-17.633099999999999</v>
      </c>
      <c r="J3311">
        <v>136.59100000000001</v>
      </c>
    </row>
    <row r="3312" spans="1:11" x14ac:dyDescent="0.25">
      <c r="A3312" t="str">
        <f>HYPERLINK("http://www.corstruth.com.au/NT/7963430_MURD007_cs.png","7963430_MURD007_A4")</f>
        <v>7963430_MURD007_A4</v>
      </c>
      <c r="D3312">
        <v>7963430</v>
      </c>
      <c r="E3312" t="s">
        <v>2165</v>
      </c>
      <c r="G3312" t="s">
        <v>2178</v>
      </c>
      <c r="I3312">
        <v>-17.633099999999999</v>
      </c>
      <c r="J3312">
        <v>136.59299999999999</v>
      </c>
    </row>
    <row r="3313" spans="1:11" x14ac:dyDescent="0.25">
      <c r="A3313" t="str">
        <f>HYPERLINK("http://www.corstruth.com.au/NT/8418377_GRNT-79-7_cs.png","8418377_GRNT-79-7_A4")</f>
        <v>8418377_GRNT-79-7_A4</v>
      </c>
      <c r="B3313" t="str">
        <f>HYPERLINK("http://www.corstruth.com.au/NT/PNG2/8418377_GRNT-79-7_cs.png","8418377_GRNT-79-7_0.25m Bins")</f>
        <v>8418377_GRNT-79-7_0.25m Bins</v>
      </c>
      <c r="C3313" t="str">
        <f>HYPERLINK("http://www.corstruth.com.au/NT/CSV/8418377_GRNT-79-7.csv","8418377_GRNT-79-7_CSV File 1m Bins")</f>
        <v>8418377_GRNT-79-7_CSV File 1m Bins</v>
      </c>
      <c r="D3313">
        <v>8418377</v>
      </c>
      <c r="E3313" t="s">
        <v>2165</v>
      </c>
      <c r="G3313" t="s">
        <v>2178</v>
      </c>
      <c r="I3313">
        <v>-16.902200000000001</v>
      </c>
      <c r="J3313">
        <v>136.30000000000001</v>
      </c>
      <c r="K3313" t="str">
        <f>HYPERLINK("http://geology.data.nt.gov.au/NVCLDataServices/mosaic.html?datasetid=250cb21a-ad8e-4f48-87ef-513c6ae90f5","8418377_GRNT-79-7_Core Image")</f>
        <v>8418377_GRNT-79-7_Core Image</v>
      </c>
    </row>
    <row r="3314" spans="1:11" x14ac:dyDescent="0.25">
      <c r="A3314" t="str">
        <f>HYPERLINK("http://www.corstruth.com.au/NT/8418381_BND1_cs.png","8418381_BND1_A4")</f>
        <v>8418381_BND1_A4</v>
      </c>
      <c r="D3314">
        <v>8418381</v>
      </c>
      <c r="E3314" t="s">
        <v>2165</v>
      </c>
      <c r="G3314" t="s">
        <v>2178</v>
      </c>
      <c r="I3314">
        <v>-17.5458</v>
      </c>
      <c r="J3314">
        <v>136.89400000000001</v>
      </c>
      <c r="K3314" t="str">
        <f>HYPERLINK("http://geology.data.nt.gov.au/NVCLDataServices/mosaic.html?datasetid=01aa488b-ed02-4c62-a4c5-12026dab767","8418381_BND1_Core Image")</f>
        <v>8418381_BND1_Core Image</v>
      </c>
    </row>
    <row r="3315" spans="1:11" x14ac:dyDescent="0.25">
      <c r="A3315" t="str">
        <f>HYPERLINK("http://www.corstruth.com.au/NT/8418381_BND1_TIR_cs.png","8418381_BND1_TIR_A4")</f>
        <v>8418381_BND1_TIR_A4</v>
      </c>
      <c r="B3315" t="str">
        <f>HYPERLINK("http://www.corstruth.com.au/NT/PNG2/8418381_BND1_TIR_cs.png","8418381_BND1_TIR_0.25m Bins")</f>
        <v>8418381_BND1_TIR_0.25m Bins</v>
      </c>
      <c r="C3315" t="str">
        <f>HYPERLINK("http://www.corstruth.com.au/NT/CSV/8418381_BND1_TIR.csv","8418381_BND1_TIR_CSV File 1m Bins")</f>
        <v>8418381_BND1_TIR_CSV File 1m Bins</v>
      </c>
      <c r="D3315">
        <v>8418381</v>
      </c>
      <c r="E3315" t="s">
        <v>2165</v>
      </c>
      <c r="G3315" t="s">
        <v>2178</v>
      </c>
      <c r="I3315">
        <v>-17.5457</v>
      </c>
      <c r="J3315">
        <v>136.89400000000001</v>
      </c>
      <c r="K3315" t="str">
        <f>HYPERLINK("http://geology.data.nt.gov.au/NVCLDataServices/mosaic.html?datasetid=01aa488b-ed02-4c62-a4c5-12026dab767","8418381_BND1_TIR_Core Image")</f>
        <v>8418381_BND1_TIR_Core Image</v>
      </c>
    </row>
    <row r="3316" spans="1:11" x14ac:dyDescent="0.25">
      <c r="A3316" t="str">
        <f>HYPERLINK("http://www.corstruth.com.au/NT/1113660_ECD10_cs.png","1113660_ECD10_A4")</f>
        <v>1113660_ECD10_A4</v>
      </c>
      <c r="B3316" t="str">
        <f>HYPERLINK("http://www.corstruth.com.au/NT/PNG2/1113660_ECD10_cs.png","1113660_ECD10_0.25m Bins")</f>
        <v>1113660_ECD10_0.25m Bins</v>
      </c>
      <c r="C3316" t="str">
        <f>HYPERLINK("http://www.corstruth.com.au/NT/CSV/1113660_ECD10.csv","1113660_ECD10_CSV File 1m Bins")</f>
        <v>1113660_ECD10_CSV File 1m Bins</v>
      </c>
      <c r="D3316">
        <v>1113660</v>
      </c>
      <c r="E3316" t="s">
        <v>2165</v>
      </c>
      <c r="G3316" t="s">
        <v>2179</v>
      </c>
      <c r="I3316">
        <v>-22.380400000000002</v>
      </c>
      <c r="J3316">
        <v>131.33500000000001</v>
      </c>
      <c r="K3316" t="str">
        <f>HYPERLINK("http://geology.data.nt.gov.au/NVCLDataServices/mosaic.html?datasetid=c5c83cbe-f8dc-40a5-aed5-5648c6dc06d","1113660_ECD10_Core Image")</f>
        <v>1113660_ECD10_Core Image</v>
      </c>
    </row>
    <row r="3317" spans="1:11" x14ac:dyDescent="0.25">
      <c r="A3317" t="str">
        <f>HYPERLINK("http://www.corstruth.com.au/NT/1113664_ECD11_cs.png","1113664_ECD11_A4")</f>
        <v>1113664_ECD11_A4</v>
      </c>
      <c r="B3317" t="str">
        <f>HYPERLINK("http://www.corstruth.com.au/NT/PNG2/1113664_ECD11_cs.png","1113664_ECD11_0.25m Bins")</f>
        <v>1113664_ECD11_0.25m Bins</v>
      </c>
      <c r="C3317" t="str">
        <f>HYPERLINK("http://www.corstruth.com.au/NT/CSV/1113664_ECD11.csv","1113664_ECD11_CSV File 1m Bins")</f>
        <v>1113664_ECD11_CSV File 1m Bins</v>
      </c>
      <c r="D3317">
        <v>1113664</v>
      </c>
      <c r="E3317" t="s">
        <v>2165</v>
      </c>
      <c r="G3317" t="s">
        <v>2179</v>
      </c>
      <c r="I3317">
        <v>-22.332799999999999</v>
      </c>
      <c r="J3317">
        <v>131.45400000000001</v>
      </c>
      <c r="K3317" t="str">
        <f>HYPERLINK("http://geology.data.nt.gov.au/NVCLDataServices/mosaic.html?datasetid=3a2f9027-e191-49d0-8ac8-d7b145a7968","1113664_ECD11_Core Image")</f>
        <v>1113664_ECD11_Core Image</v>
      </c>
    </row>
    <row r="3318" spans="1:11" x14ac:dyDescent="0.25">
      <c r="A3318" t="str">
        <f>HYPERLINK("http://www.corstruth.com.au/NT/1113668_ECD12_cs.png","1113668_ECD12_A4")</f>
        <v>1113668_ECD12_A4</v>
      </c>
      <c r="B3318" t="str">
        <f>HYPERLINK("http://www.corstruth.com.au/NT/PNG2/1113668_ECD12_cs.png","1113668_ECD12_0.25m Bins")</f>
        <v>1113668_ECD12_0.25m Bins</v>
      </c>
      <c r="C3318" t="str">
        <f>HYPERLINK("http://www.corstruth.com.au/NT/CSV/1113668_ECD12.csv","1113668_ECD12_CSV File 1m Bins")</f>
        <v>1113668_ECD12_CSV File 1m Bins</v>
      </c>
      <c r="D3318">
        <v>1113668</v>
      </c>
      <c r="E3318" t="s">
        <v>2165</v>
      </c>
      <c r="G3318" t="s">
        <v>2179</v>
      </c>
      <c r="I3318">
        <v>-22.379200000000001</v>
      </c>
      <c r="J3318">
        <v>131.33799999999999</v>
      </c>
      <c r="K3318" t="str">
        <f>HYPERLINK("http://geology.data.nt.gov.au/NVCLDataServices/mosaic.html?datasetid=55b51645-a7f0-4b1e-a310-f0038503c89","1113668_ECD12_Core Image")</f>
        <v>1113668_ECD12_Core Image</v>
      </c>
    </row>
    <row r="3319" spans="1:11" x14ac:dyDescent="0.25">
      <c r="A3319" t="str">
        <f>HYPERLINK("http://www.corstruth.com.au/NT/2952939_SR12RD_cs.png","2952939_SR12RD_A4")</f>
        <v>2952939_SR12RD_A4</v>
      </c>
      <c r="B3319" t="str">
        <f>HYPERLINK("http://www.corstruth.com.au/NT/PNG2/2952939_SR12RD_cs.png","2952939_SR12RD_0.25m Bins")</f>
        <v>2952939_SR12RD_0.25m Bins</v>
      </c>
      <c r="C3319" t="str">
        <f>HYPERLINK("http://www.corstruth.com.au/NT/CSV/2952939_SR12RD.csv","2952939_SR12RD_CSV File 1m Bins")</f>
        <v>2952939_SR12RD_CSV File 1m Bins</v>
      </c>
      <c r="D3319">
        <v>2952939</v>
      </c>
      <c r="E3319" t="s">
        <v>2165</v>
      </c>
      <c r="G3319" t="s">
        <v>2179</v>
      </c>
      <c r="I3319">
        <v>-22.487500000000001</v>
      </c>
      <c r="J3319">
        <v>131.84200000000001</v>
      </c>
      <c r="K3319" t="str">
        <f>HYPERLINK("http://geology.data.nt.gov.au/NVCLDataServices/mosaic.html?datasetid=33d9f08a-fda5-4a0e-8b2f-882123b71ee","2952939_SR12RD_Core Image")</f>
        <v>2952939_SR12RD_Core Image</v>
      </c>
    </row>
    <row r="3320" spans="1:11" x14ac:dyDescent="0.25">
      <c r="A3320" t="str">
        <f>HYPERLINK("http://www.corstruth.com.au/NT/2952943_SR13RD_cs.png","2952943_SR13RD_A4")</f>
        <v>2952943_SR13RD_A4</v>
      </c>
      <c r="B3320" t="str">
        <f>HYPERLINK("http://www.corstruth.com.au/NT/PNG2/2952943_SR13RD_cs.png","2952943_SR13RD_0.25m Bins")</f>
        <v>2952943_SR13RD_0.25m Bins</v>
      </c>
      <c r="C3320" t="str">
        <f>HYPERLINK("http://www.corstruth.com.au/NT/CSV/2952943_SR13RD.csv","2952943_SR13RD_CSV File 1m Bins")</f>
        <v>2952943_SR13RD_CSV File 1m Bins</v>
      </c>
      <c r="D3320">
        <v>2952943</v>
      </c>
      <c r="E3320" t="s">
        <v>2165</v>
      </c>
      <c r="G3320" t="s">
        <v>2179</v>
      </c>
      <c r="I3320">
        <v>-22.389299999999999</v>
      </c>
      <c r="J3320">
        <v>131.92500000000001</v>
      </c>
      <c r="K3320" t="str">
        <f>HYPERLINK("http://geology.data.nt.gov.au/NVCLDataServices/mosaic.html?datasetid=2796616c-62d9-4853-8c41-57fcc31ec09","2952943_SR13RD_Core Image")</f>
        <v>2952943_SR13RD_Core Image</v>
      </c>
    </row>
    <row r="3321" spans="1:11" x14ac:dyDescent="0.25">
      <c r="A3321" t="str">
        <f>HYPERLINK("http://www.corstruth.com.au/NT/3997374_Y200RD_cs.png","3997374_Y200RD_A4")</f>
        <v>3997374_Y200RD_A4</v>
      </c>
      <c r="B3321" t="str">
        <f>HYPERLINK("http://www.corstruth.com.au/NT/PNG2/3997374_Y200RD_cs.png","3997374_Y200RD_0.25m Bins")</f>
        <v>3997374_Y200RD_0.25m Bins</v>
      </c>
      <c r="C3321" t="str">
        <f>HYPERLINK("http://www.corstruth.com.au/NT/CSV/3997374_Y200RD.csv","3997374_Y200RD_CSV File 1m Bins")</f>
        <v>3997374_Y200RD_CSV File 1m Bins</v>
      </c>
      <c r="D3321">
        <v>3997374</v>
      </c>
      <c r="E3321" t="s">
        <v>2165</v>
      </c>
      <c r="G3321" t="s">
        <v>2179</v>
      </c>
      <c r="I3321">
        <v>-22.665800000000001</v>
      </c>
      <c r="J3321">
        <v>132.39599999999999</v>
      </c>
      <c r="K3321" t="str">
        <f>HYPERLINK("http://geology.data.nt.gov.au/NVCLDataServices/mosaic.html?datasetid=307e2517-c5b0-4c91-a21f-9132395313b","3997374_Y200RD_Core Image")</f>
        <v>3997374_Y200RD_Core Image</v>
      </c>
    </row>
    <row r="3322" spans="1:11" x14ac:dyDescent="0.25">
      <c r="A3322" t="str">
        <f>HYPERLINK("http://www.corstruth.com.au/NT/3997378_Y201RD_cs.png","3997378_Y201RD_A4")</f>
        <v>3997378_Y201RD_A4</v>
      </c>
      <c r="B3322" t="str">
        <f>HYPERLINK("http://www.corstruth.com.au/NT/PNG2/3997378_Y201RD_cs.png","3997378_Y201RD_0.25m Bins")</f>
        <v>3997378_Y201RD_0.25m Bins</v>
      </c>
      <c r="C3322" t="str">
        <f>HYPERLINK("http://www.corstruth.com.au/NT/CSV/3997378_Y201RD.csv","3997378_Y201RD_CSV File 1m Bins")</f>
        <v>3997378_Y201RD_CSV File 1m Bins</v>
      </c>
      <c r="D3322">
        <v>3997378</v>
      </c>
      <c r="E3322" t="s">
        <v>2165</v>
      </c>
      <c r="G3322" t="s">
        <v>2179</v>
      </c>
      <c r="I3322">
        <v>-22.6662</v>
      </c>
      <c r="J3322">
        <v>132.399</v>
      </c>
      <c r="K3322" t="str">
        <f>HYPERLINK("http://geology.data.nt.gov.au/NVCLDataServices/mosaic.html?datasetid=40e03aa1-74c3-4246-b7b0-7d99ce032ce","3997378_Y201RD_Core Image")</f>
        <v>3997378_Y201RD_Core Image</v>
      </c>
    </row>
    <row r="3323" spans="1:11" x14ac:dyDescent="0.25">
      <c r="A3323" t="str">
        <f>HYPERLINK("http://www.corstruth.com.au/NT/3997390_Y205RD_cs.png","3997390_Y205RD_A4")</f>
        <v>3997390_Y205RD_A4</v>
      </c>
      <c r="B3323" t="str">
        <f>HYPERLINK("http://www.corstruth.com.au/NT/PNG2/3997390_Y205RD_cs.png","3997390_Y205RD_0.25m Bins")</f>
        <v>3997390_Y205RD_0.25m Bins</v>
      </c>
      <c r="C3323" t="str">
        <f>HYPERLINK("http://www.corstruth.com.au/NT/CSV/3997390_Y205RD.csv","3997390_Y205RD_CSV File 1m Bins")</f>
        <v>3997390_Y205RD_CSV File 1m Bins</v>
      </c>
      <c r="D3323">
        <v>3997390</v>
      </c>
      <c r="E3323" t="s">
        <v>2165</v>
      </c>
      <c r="G3323" t="s">
        <v>2179</v>
      </c>
      <c r="I3323">
        <v>-22.608699999999999</v>
      </c>
      <c r="J3323">
        <v>132.011</v>
      </c>
      <c r="K3323" t="str">
        <f>HYPERLINK("http://geology.data.nt.gov.au/NVCLDataServices/mosaic.html?datasetid=f412486d-a891-48f9-b4b4-60d480edba2","3997390_Y205RD_Core Image")</f>
        <v>3997390_Y205RD_Core Image</v>
      </c>
    </row>
    <row r="3324" spans="1:11" x14ac:dyDescent="0.25">
      <c r="A3324" t="str">
        <f>HYPERLINK("http://www.corstruth.com.au/NT/4014195_YRD52_cs.png","4014195_YRD52_A4")</f>
        <v>4014195_YRD52_A4</v>
      </c>
      <c r="B3324" t="str">
        <f>HYPERLINK("http://www.corstruth.com.au/NT/PNG2/4014195_YRD52_cs.png","4014195_YRD52_0.25m Bins")</f>
        <v>4014195_YRD52_0.25m Bins</v>
      </c>
      <c r="C3324" t="str">
        <f>HYPERLINK("http://www.corstruth.com.au/NT/CSV/4014195_YRD52.csv","4014195_YRD52_CSV File 1m Bins")</f>
        <v>4014195_YRD52_CSV File 1m Bins</v>
      </c>
      <c r="D3324">
        <v>4014195</v>
      </c>
      <c r="E3324" t="s">
        <v>2165</v>
      </c>
      <c r="G3324" t="s">
        <v>2179</v>
      </c>
      <c r="I3324">
        <v>-22.711400000000001</v>
      </c>
      <c r="J3324">
        <v>131.92400000000001</v>
      </c>
      <c r="K3324" t="str">
        <f>HYPERLINK("http://geology.data.nt.gov.au/NVCLDataServices/mosaic.html?datasetid=c8c627ea-60de-4620-9cc3-9d55da13c3d","4014195_YRD52_Core Image")</f>
        <v>4014195_YRD52_Core Image</v>
      </c>
    </row>
    <row r="3325" spans="1:11" x14ac:dyDescent="0.25">
      <c r="A3325" t="str">
        <f>HYPERLINK("http://www.corstruth.com.au/NT/4036862_Y206RD_cs.png","4036862_Y206RD_A4")</f>
        <v>4036862_Y206RD_A4</v>
      </c>
      <c r="B3325" t="str">
        <f>HYPERLINK("http://www.corstruth.com.au/NT/PNG2/4036862_Y206RD_cs.png","4036862_Y206RD_0.25m Bins")</f>
        <v>4036862_Y206RD_0.25m Bins</v>
      </c>
      <c r="C3325" t="str">
        <f>HYPERLINK("http://www.corstruth.com.au/NT/CSV/4036862_Y206RD.csv","4036862_Y206RD_CSV File 1m Bins")</f>
        <v>4036862_Y206RD_CSV File 1m Bins</v>
      </c>
      <c r="D3325">
        <v>4036862</v>
      </c>
      <c r="E3325" t="s">
        <v>2165</v>
      </c>
      <c r="G3325" t="s">
        <v>2179</v>
      </c>
      <c r="I3325">
        <v>-22.605599999999999</v>
      </c>
      <c r="J3325">
        <v>131.97300000000001</v>
      </c>
      <c r="K3325" t="str">
        <f>HYPERLINK("http://geology.data.nt.gov.au/NVCLDataServices/mosaic.html?datasetid=36138c33-1851-41f4-b130-37318ab0fcf","4036862_Y206RD_Core Image")</f>
        <v>4036862_Y206RD_Core Image</v>
      </c>
    </row>
    <row r="3326" spans="1:11" x14ac:dyDescent="0.25">
      <c r="A3326" t="str">
        <f>HYPERLINK("http://www.corstruth.com.au/NT/4036866_Y207RD_cs.png","4036866_Y207RD_A4")</f>
        <v>4036866_Y207RD_A4</v>
      </c>
      <c r="B3326" t="str">
        <f>HYPERLINK("http://www.corstruth.com.au/NT/PNG2/4036866_Y207RD_cs.png","4036866_Y207RD_0.25m Bins")</f>
        <v>4036866_Y207RD_0.25m Bins</v>
      </c>
      <c r="C3326" t="str">
        <f>HYPERLINK("http://www.corstruth.com.au/NT/CSV/4036866_Y207RD.csv","4036866_Y207RD_CSV File 1m Bins")</f>
        <v>4036866_Y207RD_CSV File 1m Bins</v>
      </c>
      <c r="D3326">
        <v>4036866</v>
      </c>
      <c r="E3326" t="s">
        <v>2165</v>
      </c>
      <c r="G3326" t="s">
        <v>2179</v>
      </c>
      <c r="I3326">
        <v>-22.604600000000001</v>
      </c>
      <c r="J3326">
        <v>131.99600000000001</v>
      </c>
      <c r="K3326" t="str">
        <f>HYPERLINK("http://geology.data.nt.gov.au/NVCLDataServices/mosaic.html?datasetid=67b7915c-4582-4ac6-95fb-64d6ea40fe6","4036866_Y207RD_Core Image")</f>
        <v>4036866_Y207RD_Core Image</v>
      </c>
    </row>
    <row r="3327" spans="1:11" x14ac:dyDescent="0.25">
      <c r="A3327" t="str">
        <f>HYPERLINK("http://www.corstruth.com.au/NT/4076918_Y315RD_cs.png","4076918_Y315RD_A4")</f>
        <v>4076918_Y315RD_A4</v>
      </c>
      <c r="B3327" t="str">
        <f>HYPERLINK("http://www.corstruth.com.au/NT/PNG2/4076918_Y315RD_cs.png","4076918_Y315RD_0.25m Bins")</f>
        <v>4076918_Y315RD_0.25m Bins</v>
      </c>
      <c r="C3327" t="str">
        <f>HYPERLINK("http://www.corstruth.com.au/NT/CSV/4076918_Y315RD.csv","4076918_Y315RD_CSV File 1m Bins")</f>
        <v>4076918_Y315RD_CSV File 1m Bins</v>
      </c>
      <c r="D3327">
        <v>4076918</v>
      </c>
      <c r="E3327" t="s">
        <v>2165</v>
      </c>
      <c r="G3327" t="s">
        <v>2179</v>
      </c>
      <c r="I3327">
        <v>-22.667400000000001</v>
      </c>
      <c r="J3327">
        <v>132.40899999999999</v>
      </c>
      <c r="K3327" t="str">
        <f>HYPERLINK("http://geology.data.nt.gov.au/NVCLDataServices/mosaic.html?datasetid=a85bb214-db85-401a-9d46-8b79365a8f5","4076918_Y315RD_Core Image")</f>
        <v>4076918_Y315RD_Core Image</v>
      </c>
    </row>
    <row r="3328" spans="1:11" x14ac:dyDescent="0.25">
      <c r="A3328" t="str">
        <f>HYPERLINK("http://www.corstruth.com.au/NT/4311771_Y135RD_cs.png","4311771_Y135RD_A4")</f>
        <v>4311771_Y135RD_A4</v>
      </c>
      <c r="B3328" t="str">
        <f>HYPERLINK("http://www.corstruth.com.au/NT/PNG2/4311771_Y135RD_cs.png","4311771_Y135RD_0.25m Bins")</f>
        <v>4311771_Y135RD_0.25m Bins</v>
      </c>
      <c r="C3328" t="str">
        <f>HYPERLINK("http://www.corstruth.com.au/NT/CSV/4311771_Y135RD.csv","4311771_Y135RD_CSV File 1m Bins")</f>
        <v>4311771_Y135RD_CSV File 1m Bins</v>
      </c>
      <c r="D3328">
        <v>4311771</v>
      </c>
      <c r="E3328" t="s">
        <v>2165</v>
      </c>
      <c r="G3328" t="s">
        <v>2179</v>
      </c>
      <c r="I3328">
        <v>-22.665199999999999</v>
      </c>
      <c r="J3328">
        <v>132.4</v>
      </c>
      <c r="K3328" t="str">
        <f>HYPERLINK("http://geology.data.nt.gov.au/NVCLDataServices/mosaic.html?datasetid=cb73143f-dde3-453e-b1f7-51068d9a98e","4311771_Y135RD_Core Image")</f>
        <v>4311771_Y135RD_Core Image</v>
      </c>
    </row>
    <row r="3329" spans="1:11" x14ac:dyDescent="0.25">
      <c r="A3329" t="str">
        <f>HYPERLINK("http://www.corstruth.com.au/NT/4311779_Y139RD_cs.png","4311779_Y139RD_A4")</f>
        <v>4311779_Y139RD_A4</v>
      </c>
      <c r="B3329" t="str">
        <f>HYPERLINK("http://www.corstruth.com.au/NT/PNG2/4311779_Y139RD_cs.png","4311779_Y139RD_0.25m Bins")</f>
        <v>4311779_Y139RD_0.25m Bins</v>
      </c>
      <c r="C3329" t="str">
        <f>HYPERLINK("http://www.corstruth.com.au/NT/CSV/4311779_Y139RD.csv","4311779_Y139RD_CSV File 1m Bins")</f>
        <v>4311779_Y139RD_CSV File 1m Bins</v>
      </c>
      <c r="D3329">
        <v>4311779</v>
      </c>
      <c r="E3329" t="s">
        <v>2165</v>
      </c>
      <c r="G3329" t="s">
        <v>2179</v>
      </c>
      <c r="I3329">
        <v>-22.667300000000001</v>
      </c>
      <c r="J3329">
        <v>132.399</v>
      </c>
      <c r="K3329" t="str">
        <f>HYPERLINK("http://geology.data.nt.gov.au/NVCLDataServices/mosaic.html?datasetid=f827cf06-6354-4a00-b34e-75f8efc077e","4311779_Y139RD_Core Image")</f>
        <v>4311779_Y139RD_Core Image</v>
      </c>
    </row>
    <row r="3330" spans="1:11" x14ac:dyDescent="0.25">
      <c r="A3330" t="str">
        <f>HYPERLINK("http://www.corstruth.com.au/NT/4441841_Y175RD_cs.png","4441841_Y175RD_A4")</f>
        <v>4441841_Y175RD_A4</v>
      </c>
      <c r="B3330" t="str">
        <f>HYPERLINK("http://www.corstruth.com.au/NT/PNG2/4441841_Y175RD_cs.png","4441841_Y175RD_0.25m Bins")</f>
        <v>4441841_Y175RD_0.25m Bins</v>
      </c>
      <c r="C3330" t="str">
        <f>HYPERLINK("http://www.corstruth.com.au/NT/CSV/4441841_Y175RD.csv","4441841_Y175RD_CSV File 1m Bins")</f>
        <v>4441841_Y175RD_CSV File 1m Bins</v>
      </c>
      <c r="D3330">
        <v>4441841</v>
      </c>
      <c r="E3330" t="s">
        <v>2165</v>
      </c>
      <c r="G3330" t="s">
        <v>2179</v>
      </c>
      <c r="I3330">
        <v>-22.666599999999999</v>
      </c>
      <c r="J3330">
        <v>132.399</v>
      </c>
      <c r="K3330" t="str">
        <f>HYPERLINK("http://geology.data.nt.gov.au/NVCLDataServices/mosaic.html?datasetid=7186fbdb-f4f0-4492-902a-0857219026b","4441841_Y175RD_Core Image")</f>
        <v>4441841_Y175RD_Core Image</v>
      </c>
    </row>
    <row r="3331" spans="1:11" x14ac:dyDescent="0.25">
      <c r="A3331" t="str">
        <f>HYPERLINK("http://www.corstruth.com.au/NT/4441885_Y188RD_cs.png","4441885_Y188RD_A4")</f>
        <v>4441885_Y188RD_A4</v>
      </c>
      <c r="B3331" t="str">
        <f>HYPERLINK("http://www.corstruth.com.au/NT/PNG2/4441885_Y188RD_cs.png","4441885_Y188RD_0.25m Bins")</f>
        <v>4441885_Y188RD_0.25m Bins</v>
      </c>
      <c r="C3331" t="str">
        <f>HYPERLINK("http://www.corstruth.com.au/NT/CSV/4441885_Y188RD.csv","4441885_Y188RD_CSV File 1m Bins")</f>
        <v>4441885_Y188RD_CSV File 1m Bins</v>
      </c>
      <c r="D3331">
        <v>4441885</v>
      </c>
      <c r="E3331" t="s">
        <v>2165</v>
      </c>
      <c r="G3331" t="s">
        <v>2179</v>
      </c>
      <c r="I3331">
        <v>-22.666</v>
      </c>
      <c r="J3331">
        <v>132.39599999999999</v>
      </c>
      <c r="K3331" t="str">
        <f>HYPERLINK("http://geology.data.nt.gov.au/NVCLDataServices/mosaic.html?datasetid=d1a08276-f3b4-4fce-8bf5-2ce218f7713","4441885_Y188RD_Core Image")</f>
        <v>4441885_Y188RD_Core Image</v>
      </c>
    </row>
    <row r="3332" spans="1:11" x14ac:dyDescent="0.25">
      <c r="A3332" t="str">
        <f>HYPERLINK("http://www.corstruth.com.au/NT/7963305_DAV1_cs.png","7963305_DAV1_A4")</f>
        <v>7963305_DAV1_A4</v>
      </c>
      <c r="B3332" t="str">
        <f>HYPERLINK("http://www.corstruth.com.au/NT/PNG2/7963305_DAV1_cs.png","7963305_DAV1_0.25m Bins")</f>
        <v>7963305_DAV1_0.25m Bins</v>
      </c>
      <c r="C3332" t="str">
        <f>HYPERLINK("http://www.corstruth.com.au/NT/CSV/7963305_DAV1.csv","7963305_DAV1_CSV File 1m Bins")</f>
        <v>7963305_DAV1_CSV File 1m Bins</v>
      </c>
      <c r="D3332">
        <v>7963305</v>
      </c>
      <c r="E3332" t="s">
        <v>2165</v>
      </c>
      <c r="G3332" t="s">
        <v>2179</v>
      </c>
      <c r="I3332">
        <v>-22.253599999999999</v>
      </c>
      <c r="J3332">
        <v>131.089</v>
      </c>
      <c r="K3332" t="str">
        <f>HYPERLINK("http://geology.data.nt.gov.au/NVCLDataServices/mosaic.html?datasetid=ec545a9e-09b6-46b4-9909-2875b383761","7963305_DAV1_Core Image")</f>
        <v>7963305_DAV1_Core Image</v>
      </c>
    </row>
    <row r="3333" spans="1:11" x14ac:dyDescent="0.25">
      <c r="A3333" t="str">
        <f>HYPERLINK("http://www.corstruth.com.au/NT/837183_CFD32_cs.png","837183_CFD32_A4")</f>
        <v>837183_CFD32_A4</v>
      </c>
      <c r="B3333" t="str">
        <f>HYPERLINK("http://www.corstruth.com.au/NT/PNG2/837183_CFD32_cs.png","837183_CFD32_0.25m Bins")</f>
        <v>837183_CFD32_0.25m Bins</v>
      </c>
      <c r="C3333" t="str">
        <f>HYPERLINK("http://www.corstruth.com.au/NT/CSV/837183_CFD32.csv","837183_CFD32_CSV File 1m Bins")</f>
        <v>837183_CFD32_CSV File 1m Bins</v>
      </c>
      <c r="D3333">
        <v>837183</v>
      </c>
      <c r="E3333" t="s">
        <v>2165</v>
      </c>
      <c r="G3333" t="s">
        <v>2179</v>
      </c>
      <c r="I3333">
        <v>-22.382200000000001</v>
      </c>
      <c r="J3333">
        <v>131.268</v>
      </c>
      <c r="K3333" t="str">
        <f>HYPERLINK("http://geology.data.nt.gov.au/NVCLDataServices/mosaic.html?datasetid=21688e3a-e015-436f-813b-f420f6463ad","837183_CFD32_Core Image")</f>
        <v>837183_CFD32_Core Image</v>
      </c>
    </row>
    <row r="3334" spans="1:11" x14ac:dyDescent="0.25">
      <c r="A3334" t="str">
        <f>HYPERLINK("http://www.corstruth.com.au/NT/837191_CFD34_cs.png","837191_CFD34_A4")</f>
        <v>837191_CFD34_A4</v>
      </c>
      <c r="B3334" t="str">
        <f>HYPERLINK("http://www.corstruth.com.au/NT/PNG2/837191_CFD34_cs.png","837191_CFD34_0.25m Bins")</f>
        <v>837191_CFD34_0.25m Bins</v>
      </c>
      <c r="C3334" t="str">
        <f>HYPERLINK("http://www.corstruth.com.au/NT/CSV/837191_CFD34.csv","837191_CFD34_CSV File 1m Bins")</f>
        <v>837191_CFD34_CSV File 1m Bins</v>
      </c>
      <c r="D3334">
        <v>837191</v>
      </c>
      <c r="E3334" t="s">
        <v>2165</v>
      </c>
      <c r="G3334" t="s">
        <v>2179</v>
      </c>
      <c r="I3334">
        <v>-22.382200000000001</v>
      </c>
      <c r="J3334">
        <v>131.26900000000001</v>
      </c>
      <c r="K3334" t="str">
        <f>HYPERLINK("http://geology.data.nt.gov.au/NVCLDataServices/mosaic.html?datasetid=8c040173-6d35-4a1c-a0f1-93805a30154","837191_CFD34_Core Image")</f>
        <v>837191_CFD34_Core Image</v>
      </c>
    </row>
    <row r="3335" spans="1:11" x14ac:dyDescent="0.25">
      <c r="A3335" t="str">
        <f>HYPERLINK("http://www.corstruth.com.au/NT/8423073_YG23RD_cs.png","8423073_YG23RD_A4")</f>
        <v>8423073_YG23RD_A4</v>
      </c>
      <c r="D3335">
        <v>8423073</v>
      </c>
      <c r="E3335" t="s">
        <v>2165</v>
      </c>
      <c r="G3335" t="s">
        <v>2179</v>
      </c>
      <c r="I3335">
        <v>-22.614899999999999</v>
      </c>
      <c r="J3335">
        <v>131.96</v>
      </c>
      <c r="K3335" t="str">
        <f>HYPERLINK("http://geology.data.nt.gov.au/NVCLDataServices/mosaic.html?datasetid=17dd088f-31fa-40f9-b728-5345420e6b3","8423073_YG23RD_Core Image")</f>
        <v>8423073_YG23RD_Core Image</v>
      </c>
    </row>
    <row r="3336" spans="1:11" x14ac:dyDescent="0.25">
      <c r="A3336" t="str">
        <f>HYPERLINK("http://www.corstruth.com.au/NT/8423077_YG24RD_cs.png","8423077_YG24RD_A4")</f>
        <v>8423077_YG24RD_A4</v>
      </c>
      <c r="D3336">
        <v>8423077</v>
      </c>
      <c r="E3336" t="s">
        <v>2165</v>
      </c>
      <c r="G3336" t="s">
        <v>2179</v>
      </c>
      <c r="I3336">
        <v>-22.601199999999999</v>
      </c>
      <c r="J3336">
        <v>131.96</v>
      </c>
      <c r="K3336" t="str">
        <f>HYPERLINK("http://geology.data.nt.gov.au/NVCLDataServices/mosaic.html?datasetid=f8deb0f1-298c-4c0c-9f99-8168fe6a8d5","8423077_YG24RD_Core Image")</f>
        <v>8423077_YG24RD_Core Image</v>
      </c>
    </row>
    <row r="3337" spans="1:11" x14ac:dyDescent="0.25">
      <c r="A3337" t="str">
        <f>HYPERLINK("http://www.corstruth.com.au/NT/8423081_YG29RD_cs.png","8423081_YG29RD_A4")</f>
        <v>8423081_YG29RD_A4</v>
      </c>
      <c r="D3337">
        <v>8423081</v>
      </c>
      <c r="E3337" t="s">
        <v>2165</v>
      </c>
      <c r="G3337" t="s">
        <v>2179</v>
      </c>
      <c r="I3337">
        <v>-22.667899999999999</v>
      </c>
      <c r="J3337">
        <v>131.98599999999999</v>
      </c>
      <c r="K3337" t="str">
        <f>HYPERLINK("http://geology.data.nt.gov.au/NVCLDataServices/mosaic.html?datasetid=83793e66-1171-4a43-834c-dc5e01d9ce5","8423081_YG29RD_Core Image")</f>
        <v>8423081_YG29RD_Core Image</v>
      </c>
    </row>
    <row r="3338" spans="1:11" x14ac:dyDescent="0.25">
      <c r="A3338" t="str">
        <f>HYPERLINK("http://www.corstruth.com.au/NT/8423085_YG37RD_cs.png","8423085_YG37RD_A4")</f>
        <v>8423085_YG37RD_A4</v>
      </c>
      <c r="D3338">
        <v>8423085</v>
      </c>
      <c r="E3338" t="s">
        <v>2165</v>
      </c>
      <c r="G3338" t="s">
        <v>2179</v>
      </c>
      <c r="I3338">
        <v>-22.6922</v>
      </c>
      <c r="J3338">
        <v>131.97800000000001</v>
      </c>
      <c r="K3338" t="str">
        <f>HYPERLINK("http://geology.data.nt.gov.au/NVCLDataServices/mosaic.html?datasetid=b02e40f7-253a-4b64-b608-d4d85d5b2b9","8423085_YG37RD_Core Image")</f>
        <v>8423085_YG37RD_Core Image</v>
      </c>
    </row>
    <row r="3339" spans="1:11" x14ac:dyDescent="0.25">
      <c r="A3339" t="str">
        <f>HYPERLINK("http://www.corstruth.com.au/NT/8423089_YG43RD_cs.png","8423089_YG43RD_A4")</f>
        <v>8423089_YG43RD_A4</v>
      </c>
      <c r="D3339">
        <v>8423089</v>
      </c>
      <c r="E3339" t="s">
        <v>2165</v>
      </c>
      <c r="G3339" t="s">
        <v>2179</v>
      </c>
      <c r="I3339">
        <v>-22.623100000000001</v>
      </c>
      <c r="J3339">
        <v>131.96100000000001</v>
      </c>
      <c r="K3339" t="str">
        <f>HYPERLINK("http://geology.data.nt.gov.au/NVCLDataServices/mosaic.html?datasetid=f612942b-4e3f-4c48-b0e5-71e4f0bf581","8423089_YG43RD_Core Image")</f>
        <v>8423089_YG43RD_Core Image</v>
      </c>
    </row>
    <row r="3340" spans="1:11" x14ac:dyDescent="0.25">
      <c r="A3340" t="str">
        <f>HYPERLINK("http://www.corstruth.com.au/NT/8423094_YRD66_cs.png","8423094_YRD66_A4")</f>
        <v>8423094_YRD66_A4</v>
      </c>
      <c r="D3340">
        <v>8423094</v>
      </c>
      <c r="E3340" t="s">
        <v>2165</v>
      </c>
      <c r="G3340" t="s">
        <v>2179</v>
      </c>
      <c r="I3340">
        <v>-22.618099999999998</v>
      </c>
      <c r="J3340">
        <v>132.03899999999999</v>
      </c>
      <c r="K3340" t="str">
        <f>HYPERLINK("http://geology.data.nt.gov.au/NVCLDataServices/mosaic.html?datasetid=82e2f2fa-b256-47c2-bfb4-c299ec35f34","8423094_YRD66_Core Image")</f>
        <v>8423094_YRD66_Core Image</v>
      </c>
    </row>
    <row r="3341" spans="1:11" x14ac:dyDescent="0.25">
      <c r="A3341" t="str">
        <f>HYPERLINK("http://www.corstruth.com.au/NT/8423098_YRD112_cs.png","8423098_YRD112_A4")</f>
        <v>8423098_YRD112_A4</v>
      </c>
      <c r="B3341" t="str">
        <f>HYPERLINK("http://www.corstruth.com.au/NT/PNG2/8423098_YRD112_cs.png","8423098_YRD112_0.25m Bins")</f>
        <v>8423098_YRD112_0.25m Bins</v>
      </c>
      <c r="C3341" t="str">
        <f>HYPERLINK("http://www.corstruth.com.au/NT/CSV/8423098_YRD112.csv","8423098_YRD112_CSV File 1m Bins")</f>
        <v>8423098_YRD112_CSV File 1m Bins</v>
      </c>
      <c r="D3341">
        <v>8423098</v>
      </c>
      <c r="E3341" t="s">
        <v>2165</v>
      </c>
      <c r="G3341" t="s">
        <v>2179</v>
      </c>
      <c r="I3341">
        <v>-22.612400000000001</v>
      </c>
      <c r="J3341">
        <v>131.988</v>
      </c>
      <c r="K3341" t="str">
        <f>HYPERLINK("http://geology.data.nt.gov.au/NVCLDataServices/mosaic.html?datasetid=e2b1651a-bfcd-4e62-be3c-dddae154b7b","8423098_YRD112_Core Image")</f>
        <v>8423098_YRD112_Core Image</v>
      </c>
    </row>
    <row r="3342" spans="1:11" x14ac:dyDescent="0.25">
      <c r="A3342" t="str">
        <f>HYPERLINK("http://www.corstruth.com.au/NT/8423109_DIN9_cs.png","8423109_DIN9_A4")</f>
        <v>8423109_DIN9_A4</v>
      </c>
      <c r="B3342" t="str">
        <f>HYPERLINK("http://www.corstruth.com.au/NT/PNG2/8423109_DIN9_cs.png","8423109_DIN9_0.25m Bins")</f>
        <v>8423109_DIN9_0.25m Bins</v>
      </c>
      <c r="C3342" t="str">
        <f>HYPERLINK("http://www.corstruth.com.au/NT/CSV/8423109_DIN9.csv","8423109_DIN9_CSV File 1m Bins")</f>
        <v>8423109_DIN9_CSV File 1m Bins</v>
      </c>
      <c r="D3342">
        <v>8423109</v>
      </c>
      <c r="E3342" t="s">
        <v>2165</v>
      </c>
      <c r="G3342" t="s">
        <v>2179</v>
      </c>
      <c r="I3342">
        <v>-22.311299999999999</v>
      </c>
      <c r="J3342">
        <v>131.22499999999999</v>
      </c>
      <c r="K3342" t="str">
        <f>HYPERLINK("http://geology.data.nt.gov.au/NVCLDataServices/mosaic.html?datasetid=15d6a7b7-fce5-4921-8710-6782d682939","8423109_DIN9_Core Image")</f>
        <v>8423109_DIN9_Core Image</v>
      </c>
    </row>
    <row r="3343" spans="1:11" x14ac:dyDescent="0.25">
      <c r="A3343" t="str">
        <f>HYPERLINK("http://www.corstruth.com.au/NT/8423114_CF69PD_cs.png","8423114_CF69PD_A4")</f>
        <v>8423114_CF69PD_A4</v>
      </c>
      <c r="B3343" t="str">
        <f>HYPERLINK("http://www.corstruth.com.au/NT/PNG2/8423114_CF69PD_cs.png","8423114_CF69PD_0.25m Bins")</f>
        <v>8423114_CF69PD_0.25m Bins</v>
      </c>
      <c r="C3343" t="str">
        <f>HYPERLINK("http://www.corstruth.com.au/NT/CSV/8423114_CF69PD.csv","8423114_CF69PD_CSV File 1m Bins")</f>
        <v>8423114_CF69PD_CSV File 1m Bins</v>
      </c>
      <c r="D3343">
        <v>8423114</v>
      </c>
      <c r="E3343" t="s">
        <v>2165</v>
      </c>
      <c r="G3343" t="s">
        <v>2179</v>
      </c>
      <c r="I3343">
        <v>-22.3903</v>
      </c>
      <c r="J3343">
        <v>131.29599999999999</v>
      </c>
      <c r="K3343" t="str">
        <f>HYPERLINK("http://geology.data.nt.gov.au/NVCLDataServices/mosaic.html?datasetid=f122da90-93a3-43a8-a9a3-a9fdc223506","8423114_CF69PD_Core Image")</f>
        <v>8423114_CF69PD_Core Image</v>
      </c>
    </row>
    <row r="3344" spans="1:11" x14ac:dyDescent="0.25">
      <c r="A3344" t="str">
        <f>HYPERLINK("http://www.corstruth.com.au/NT/8423118_CF70PD_cs.png","8423118_CF70PD_A4")</f>
        <v>8423118_CF70PD_A4</v>
      </c>
      <c r="B3344" t="str">
        <f>HYPERLINK("http://www.corstruth.com.au/NT/PNG2/8423118_CF70PD_cs.png","8423118_CF70PD_0.25m Bins")</f>
        <v>8423118_CF70PD_0.25m Bins</v>
      </c>
      <c r="C3344" t="str">
        <f>HYPERLINK("http://www.corstruth.com.au/NT/CSV/8423118_CF70PD.csv","8423118_CF70PD_CSV File 1m Bins")</f>
        <v>8423118_CF70PD_CSV File 1m Bins</v>
      </c>
      <c r="D3344">
        <v>8423118</v>
      </c>
      <c r="E3344" t="s">
        <v>2165</v>
      </c>
      <c r="G3344" t="s">
        <v>2179</v>
      </c>
      <c r="I3344">
        <v>-22.3904</v>
      </c>
      <c r="J3344">
        <v>131.297</v>
      </c>
      <c r="K3344" t="str">
        <f>HYPERLINK("http://geology.data.nt.gov.au/NVCLDataServices/mosaic.html?datasetid=1727c43d-50e8-48cc-a8f9-ee8ed56fb03","8423118_CF70PD_Core Image")</f>
        <v>8423118_CF70PD_Core Image</v>
      </c>
    </row>
    <row r="3345" spans="1:11" x14ac:dyDescent="0.25">
      <c r="A3345" t="str">
        <f>HYPERLINK("http://www.corstruth.com.au/NT/8423122_ECD26_cs.png","8423122_ECD26_A4")</f>
        <v>8423122_ECD26_A4</v>
      </c>
      <c r="B3345" t="str">
        <f>HYPERLINK("http://www.corstruth.com.au/NT/PNG2/8423122_ECD26_cs.png","8423122_ECD26_0.25m Bins")</f>
        <v>8423122_ECD26_0.25m Bins</v>
      </c>
      <c r="C3345" t="str">
        <f>HYPERLINK("http://www.corstruth.com.au/NT/CSV/8423122_ECD26.csv","8423122_ECD26_CSV File 1m Bins")</f>
        <v>8423122_ECD26_CSV File 1m Bins</v>
      </c>
      <c r="D3345">
        <v>8423122</v>
      </c>
      <c r="E3345" t="s">
        <v>2165</v>
      </c>
      <c r="G3345" t="s">
        <v>2179</v>
      </c>
      <c r="I3345">
        <v>-22.376999999999999</v>
      </c>
      <c r="J3345">
        <v>131.34</v>
      </c>
      <c r="K3345" t="str">
        <f>HYPERLINK("http://geology.data.nt.gov.au/NVCLDataServices/mosaic.html?datasetid=c070866f-c84f-4de2-8ed7-ded592b697f","8423122_ECD26_Core Image")</f>
        <v>8423122_ECD26_Core Image</v>
      </c>
    </row>
    <row r="3346" spans="1:11" x14ac:dyDescent="0.25">
      <c r="A3346" t="str">
        <f>HYPERLINK("http://www.corstruth.com.au/NT/8423128_WPH_2_cs.png","8423128_WPH_2_A4")</f>
        <v>8423128_WPH_2_A4</v>
      </c>
      <c r="B3346" t="str">
        <f>HYPERLINK("http://www.corstruth.com.au/NT/PNG2/8423128_WPH_2_cs.png","8423128_WPH_2_0.25m Bins")</f>
        <v>8423128_WPH_2_0.25m Bins</v>
      </c>
      <c r="C3346" t="str">
        <f>HYPERLINK("http://www.corstruth.com.au/NT/CSV/8423128_WPH_2.csv","8423128_WPH_2_CSV File 1m Bins")</f>
        <v>8423128_WPH_2_CSV File 1m Bins</v>
      </c>
      <c r="D3346">
        <v>8423128</v>
      </c>
      <c r="E3346" t="s">
        <v>2165</v>
      </c>
      <c r="G3346" t="s">
        <v>2179</v>
      </c>
      <c r="I3346">
        <v>-22.313800000000001</v>
      </c>
      <c r="J3346">
        <v>131.58000000000001</v>
      </c>
      <c r="K3346" t="str">
        <f>HYPERLINK("http://geology.data.nt.gov.au/NVCLDataServices/mosaic.html?datasetid=8e826ee4-71e7-4d60-8fd7-2440e18434d","8423128_WPH_2_Core Image")</f>
        <v>8423128_WPH_2_Core Image</v>
      </c>
    </row>
    <row r="3347" spans="1:11" x14ac:dyDescent="0.25">
      <c r="A3347" t="str">
        <f>HYPERLINK("http://www.corstruth.com.au/NT/8423133_NGDD18_cs.png","8423133_NGDD18_A4")</f>
        <v>8423133_NGDD18_A4</v>
      </c>
      <c r="B3347" t="str">
        <f>HYPERLINK("http://www.corstruth.com.au/NT/PNG2/8423133_NGDD18_cs.png","8423133_NGDD18_0.25m Bins")</f>
        <v>8423133_NGDD18_0.25m Bins</v>
      </c>
      <c r="C3347" t="str">
        <f>HYPERLINK("http://www.corstruth.com.au/NT/CSV/8423133_NGDD18.csv","8423133_NGDD18_CSV File 1m Bins")</f>
        <v>8423133_NGDD18_CSV File 1m Bins</v>
      </c>
      <c r="D3347">
        <v>8423133</v>
      </c>
      <c r="E3347" t="s">
        <v>2165</v>
      </c>
      <c r="G3347" t="s">
        <v>2179</v>
      </c>
      <c r="I3347">
        <v>-22.311299999999999</v>
      </c>
      <c r="J3347">
        <v>131.58000000000001</v>
      </c>
      <c r="K3347" t="str">
        <f>HYPERLINK("http://geology.data.nt.gov.au/NVCLDataServices/mosaic.html?datasetid=7b961914-d496-4881-9788-7951a6e84b7","8423133_NGDD18_Core Image")</f>
        <v>8423133_NGDD18_Core Image</v>
      </c>
    </row>
    <row r="3348" spans="1:11" x14ac:dyDescent="0.25">
      <c r="A3348" t="str">
        <f>HYPERLINK("http://www.corstruth.com.au/NT/8423148_81NB1_cs.png","8423148_81NB1_A4")</f>
        <v>8423148_81NB1_A4</v>
      </c>
      <c r="B3348" t="str">
        <f>HYPERLINK("http://www.corstruth.com.au/NT/PNG2/8423148_81NB1_cs.png","8423148_81NB1_0.25m Bins")</f>
        <v>8423148_81NB1_0.25m Bins</v>
      </c>
      <c r="C3348" t="str">
        <f>HYPERLINK("http://www.corstruth.com.au/NT/CSV/8423148_81NB1.csv","8423148_81NB1_CSV File 1m Bins")</f>
        <v>8423148_81NB1_CSV File 1m Bins</v>
      </c>
      <c r="D3348">
        <v>8423148</v>
      </c>
      <c r="E3348" t="s">
        <v>2165</v>
      </c>
      <c r="G3348" t="s">
        <v>2179</v>
      </c>
      <c r="I3348">
        <v>-22.7485</v>
      </c>
      <c r="J3348">
        <v>131.934</v>
      </c>
      <c r="K3348" t="str">
        <f>HYPERLINK("http://geology.data.nt.gov.au/NVCLDataServices/mosaic.html?datasetid=4548a77e-4152-4287-8b1c-1a985c0db16","8423148_81NB1_Core Image")</f>
        <v>8423148_81NB1_Core Image</v>
      </c>
    </row>
    <row r="3349" spans="1:11" x14ac:dyDescent="0.25">
      <c r="A3349" t="str">
        <f>HYPERLINK("http://www.corstruth.com.au/NT/8434792_YG34RD_cs.png","8434792_YG34RD_A4")</f>
        <v>8434792_YG34RD_A4</v>
      </c>
      <c r="B3349" t="str">
        <f>HYPERLINK("http://www.corstruth.com.au/NT/PNG2/8434792_YG34RD_cs.png","8434792_YG34RD_0.25m Bins")</f>
        <v>8434792_YG34RD_0.25m Bins</v>
      </c>
      <c r="C3349" t="str">
        <f>HYPERLINK("http://www.corstruth.com.au/NT/CSV/8434792_YG34RD.csv","8434792_YG34RD_CSV File 1m Bins")</f>
        <v>8434792_YG34RD_CSV File 1m Bins</v>
      </c>
      <c r="D3349">
        <v>8434792</v>
      </c>
      <c r="E3349" t="s">
        <v>2165</v>
      </c>
      <c r="G3349" t="s">
        <v>2179</v>
      </c>
      <c r="I3349">
        <v>-22.642600000000002</v>
      </c>
      <c r="J3349">
        <v>131.934</v>
      </c>
      <c r="K3349" t="str">
        <f>HYPERLINK("http://geology.data.nt.gov.au/NVCLDataServices/mosaic.html?datasetid=c90c04b0-2c84-4e24-920a-c27c68d759a","8434792_YG34RD_Core Image")</f>
        <v>8434792_YG34RD_Core Image</v>
      </c>
    </row>
    <row r="3350" spans="1:11" x14ac:dyDescent="0.25">
      <c r="A3350" t="str">
        <f>HYPERLINK("http://www.corstruth.com.au/NT/8434796_YG35RD_cs.png","8434796_YG35RD_A4")</f>
        <v>8434796_YG35RD_A4</v>
      </c>
      <c r="B3350" t="str">
        <f>HYPERLINK("http://www.corstruth.com.au/NT/PNG2/8434796_YG35RD_cs.png","8434796_YG35RD_0.25m Bins")</f>
        <v>8434796_YG35RD_0.25m Bins</v>
      </c>
      <c r="C3350" t="str">
        <f>HYPERLINK("http://www.corstruth.com.au/NT/CSV/8434796_YG35RD.csv","8434796_YG35RD_CSV File 1m Bins")</f>
        <v>8434796_YG35RD_CSV File 1m Bins</v>
      </c>
      <c r="D3350">
        <v>8434796</v>
      </c>
      <c r="E3350" t="s">
        <v>2165</v>
      </c>
      <c r="G3350" t="s">
        <v>2179</v>
      </c>
      <c r="I3350">
        <v>-22.668299999999999</v>
      </c>
      <c r="J3350">
        <v>131.93700000000001</v>
      </c>
      <c r="K3350" t="str">
        <f>HYPERLINK("http://geology.data.nt.gov.au/NVCLDataServices/mosaic.html?datasetid=02102830-54a3-43de-826e-45aabb0985a","8434796_YG35RD_Core Image")</f>
        <v>8434796_YG35RD_Core Image</v>
      </c>
    </row>
    <row r="3351" spans="1:11" x14ac:dyDescent="0.25">
      <c r="A3351" t="str">
        <f>HYPERLINK("http://www.corstruth.com.au/NT/8434800_YG44RD_cs.png","8434800_YG44RD_A4")</f>
        <v>8434800_YG44RD_A4</v>
      </c>
      <c r="B3351" t="str">
        <f>HYPERLINK("http://www.corstruth.com.au/NT/PNG2/8434800_YG44RD_cs.png","8434800_YG44RD_0.25m Bins")</f>
        <v>8434800_YG44RD_0.25m Bins</v>
      </c>
      <c r="C3351" t="str">
        <f>HYPERLINK("http://www.corstruth.com.au/NT/CSV/8434800_YG44RD.csv","8434800_YG44RD_CSV File 1m Bins")</f>
        <v>8434800_YG44RD_CSV File 1m Bins</v>
      </c>
      <c r="D3351">
        <v>8434800</v>
      </c>
      <c r="E3351" t="s">
        <v>2165</v>
      </c>
      <c r="G3351" t="s">
        <v>2179</v>
      </c>
      <c r="I3351">
        <v>-22.669699999999999</v>
      </c>
      <c r="J3351">
        <v>131.922</v>
      </c>
      <c r="K3351" t="str">
        <f>HYPERLINK("http://geology.data.nt.gov.au/NVCLDataServices/mosaic.html?datasetid=e1156ea5-3991-416e-90dd-6055a217d97","8434800_YG44RD_Core Image")</f>
        <v>8434800_YG44RD_Core Image</v>
      </c>
    </row>
    <row r="3352" spans="1:11" x14ac:dyDescent="0.25">
      <c r="A3352" t="str">
        <f>HYPERLINK("http://www.corstruth.com.au/NT/8434804_YG16RD_cs.png","8434804_YG16RD_A4")</f>
        <v>8434804_YG16RD_A4</v>
      </c>
      <c r="B3352" t="str">
        <f>HYPERLINK("http://www.corstruth.com.au/NT/PNG2/8434804_YG16RD_cs.png","8434804_YG16RD_0.25m Bins")</f>
        <v>8434804_YG16RD_0.25m Bins</v>
      </c>
      <c r="C3352" t="str">
        <f>HYPERLINK("http://www.corstruth.com.au/NT/CSV/8434804_YG16RD.csv","8434804_YG16RD_CSV File 1m Bins")</f>
        <v>8434804_YG16RD_CSV File 1m Bins</v>
      </c>
      <c r="D3352">
        <v>8434804</v>
      </c>
      <c r="E3352" t="s">
        <v>2165</v>
      </c>
      <c r="G3352" t="s">
        <v>2179</v>
      </c>
      <c r="I3352">
        <v>-22.658200000000001</v>
      </c>
      <c r="J3352">
        <v>132.18299999999999</v>
      </c>
      <c r="K3352" t="str">
        <f>HYPERLINK("http://geology.data.nt.gov.au/NVCLDataServices/mosaic.html?datasetid=a56d9a01-e6ae-445c-ab9d-6aa7f78a431","8434804_YG16RD_Core Image")</f>
        <v>8434804_YG16RD_Core Image</v>
      </c>
    </row>
    <row r="3353" spans="1:11" x14ac:dyDescent="0.25">
      <c r="A3353" t="str">
        <f>HYPERLINK("http://www.corstruth.com.au/NT/8434808_YG17RD_cs.png","8434808_YG17RD_A4")</f>
        <v>8434808_YG17RD_A4</v>
      </c>
      <c r="B3353" t="str">
        <f>HYPERLINK("http://www.corstruth.com.au/NT/PNG2/8434808_YG17RD_cs.png","8434808_YG17RD_0.25m Bins")</f>
        <v>8434808_YG17RD_0.25m Bins</v>
      </c>
      <c r="C3353" t="str">
        <f>HYPERLINK("http://www.corstruth.com.au/NT/CSV/8434808_YG17RD.csv","8434808_YG17RD_CSV File 1m Bins")</f>
        <v>8434808_YG17RD_CSV File 1m Bins</v>
      </c>
      <c r="D3353">
        <v>8434808</v>
      </c>
      <c r="E3353" t="s">
        <v>2165</v>
      </c>
      <c r="G3353" t="s">
        <v>2179</v>
      </c>
      <c r="I3353">
        <v>-22.667200000000001</v>
      </c>
      <c r="J3353">
        <v>132.18299999999999</v>
      </c>
      <c r="K3353" t="str">
        <f>HYPERLINK("http://geology.data.nt.gov.au/NVCLDataServices/mosaic.html?datasetid=ab8a77d9-3a78-4473-ab6b-db93d5fc5be","8434808_YG17RD_Core Image")</f>
        <v>8434808_YG17RD_Core Image</v>
      </c>
    </row>
    <row r="3354" spans="1:11" x14ac:dyDescent="0.25">
      <c r="A3354" t="str">
        <f>HYPERLINK("http://www.corstruth.com.au/NT/8434812_YG41RD_cs.png","8434812_YG41RD_A4")</f>
        <v>8434812_YG41RD_A4</v>
      </c>
      <c r="B3354" t="str">
        <f>HYPERLINK("http://www.corstruth.com.au/NT/PNG2/8434812_YG41RD_cs.png","8434812_YG41RD_0.25m Bins")</f>
        <v>8434812_YG41RD_0.25m Bins</v>
      </c>
      <c r="C3354" t="str">
        <f>HYPERLINK("http://www.corstruth.com.au/NT/CSV/8434812_YG41RD.csv","8434812_YG41RD_CSV File 1m Bins")</f>
        <v>8434812_YG41RD_CSV File 1m Bins</v>
      </c>
      <c r="D3354">
        <v>8434812</v>
      </c>
      <c r="E3354" t="s">
        <v>2165</v>
      </c>
      <c r="G3354" t="s">
        <v>2179</v>
      </c>
      <c r="I3354">
        <v>-22.6767</v>
      </c>
      <c r="J3354">
        <v>132.184</v>
      </c>
      <c r="K3354" t="str">
        <f>HYPERLINK("http://geology.data.nt.gov.au/NVCLDataServices/mosaic.html?datasetid=21558855-8861-46fc-8ed0-21f37066a73","8434812_YG41RD_Core Image")</f>
        <v>8434812_YG41RD_Core Image</v>
      </c>
    </row>
    <row r="3355" spans="1:11" x14ac:dyDescent="0.25">
      <c r="A3355" t="str">
        <f>HYPERLINK("http://www.corstruth.com.au/NT/8434816_YG40RD_cs.png","8434816_YG40RD_A4")</f>
        <v>8434816_YG40RD_A4</v>
      </c>
      <c r="B3355" t="str">
        <f>HYPERLINK("http://www.corstruth.com.au/NT/PNG2/8434816_YG40RD_cs.png","8434816_YG40RD_0.25m Bins")</f>
        <v>8434816_YG40RD_0.25m Bins</v>
      </c>
      <c r="C3355" t="str">
        <f>HYPERLINK("http://www.corstruth.com.au/NT/CSV/8434816_YG40RD.csv","8434816_YG40RD_CSV File 1m Bins")</f>
        <v>8434816_YG40RD_CSV File 1m Bins</v>
      </c>
      <c r="D3355">
        <v>8434816</v>
      </c>
      <c r="E3355" t="s">
        <v>2165</v>
      </c>
      <c r="G3355" t="s">
        <v>2179</v>
      </c>
      <c r="I3355">
        <v>-22.689800000000002</v>
      </c>
      <c r="J3355">
        <v>132.184</v>
      </c>
      <c r="K3355" t="str">
        <f>HYPERLINK("http://geology.data.nt.gov.au/NVCLDataServices/mosaic.html?datasetid=ab3e892e-125a-4053-a91d-febef546d77","8434816_YG40RD_Core Image")</f>
        <v>8434816_YG40RD_Core Image</v>
      </c>
    </row>
    <row r="3356" spans="1:11" x14ac:dyDescent="0.25">
      <c r="A3356" t="str">
        <f>HYPERLINK("http://www.corstruth.com.au/NT/8434820_NGDD14_cs.png","8434820_NGDD14_A4")</f>
        <v>8434820_NGDD14_A4</v>
      </c>
      <c r="B3356" t="str">
        <f>HYPERLINK("http://www.corstruth.com.au/NT/PNG2/8434820_NGDD14_cs.png","8434820_NGDD14_0.25m Bins")</f>
        <v>8434820_NGDD14_0.25m Bins</v>
      </c>
      <c r="C3356" t="str">
        <f>HYPERLINK("http://www.corstruth.com.au/NT/CSV/8434820_NGDD14.csv","8434820_NGDD14_CSV File 1m Bins")</f>
        <v>8434820_NGDD14_CSV File 1m Bins</v>
      </c>
      <c r="D3356">
        <v>8434820</v>
      </c>
      <c r="E3356" t="s">
        <v>2165</v>
      </c>
      <c r="G3356" t="s">
        <v>2179</v>
      </c>
      <c r="I3356">
        <v>-22.306699999999999</v>
      </c>
      <c r="J3356">
        <v>131.584</v>
      </c>
      <c r="K3356" t="str">
        <f>HYPERLINK("http://geology.data.nt.gov.au/NVCLDataServices/mosaic.html?datasetid=549905e3-2744-4e15-aee8-1f85df8ba64","8434820_NGDD14_Core Image")</f>
        <v>8434820_NGDD14_Core Image</v>
      </c>
    </row>
    <row r="3357" spans="1:11" x14ac:dyDescent="0.25">
      <c r="A3357" t="str">
        <f>HYPERLINK("http://www.corstruth.com.au/NT/8434824_NGDD7_cs.png","8434824_NGDD7_A4")</f>
        <v>8434824_NGDD7_A4</v>
      </c>
      <c r="B3357" t="str">
        <f>HYPERLINK("http://www.corstruth.com.au/NT/PNG2/8434824_NGDD7_cs.png","8434824_NGDD7_0.25m Bins")</f>
        <v>8434824_NGDD7_0.25m Bins</v>
      </c>
      <c r="C3357" t="str">
        <f>HYPERLINK("http://www.corstruth.com.au/NT/CSV/8434824_NGDD7.csv","8434824_NGDD7_CSV File 1m Bins")</f>
        <v>8434824_NGDD7_CSV File 1m Bins</v>
      </c>
      <c r="D3357">
        <v>8434824</v>
      </c>
      <c r="E3357" t="s">
        <v>2165</v>
      </c>
      <c r="G3357" t="s">
        <v>2179</v>
      </c>
      <c r="I3357">
        <v>-22.303000000000001</v>
      </c>
      <c r="J3357">
        <v>131.57900000000001</v>
      </c>
      <c r="K3357" t="str">
        <f>HYPERLINK("http://geology.data.nt.gov.au/NVCLDataServices/mosaic.html?datasetid=590d669f-f2f5-4c9e-869f-66fb1153c3f","8434824_NGDD7_Core Image")</f>
        <v>8434824_NGDD7_Core Image</v>
      </c>
    </row>
    <row r="3358" spans="1:11" x14ac:dyDescent="0.25">
      <c r="A3358" t="str">
        <f>HYPERLINK("http://www.corstruth.com.au/NT/8434828_NGDD8_cs.png","8434828_NGDD8_A4")</f>
        <v>8434828_NGDD8_A4</v>
      </c>
      <c r="B3358" t="str">
        <f>HYPERLINK("http://www.corstruth.com.au/NT/PNG2/8434828_NGDD8_cs.png","8434828_NGDD8_0.25m Bins")</f>
        <v>8434828_NGDD8_0.25m Bins</v>
      </c>
      <c r="C3358" t="str">
        <f>HYPERLINK("http://www.corstruth.com.au/NT/CSV/8434828_NGDD8.csv","8434828_NGDD8_CSV File 1m Bins")</f>
        <v>8434828_NGDD8_CSV File 1m Bins</v>
      </c>
      <c r="D3358">
        <v>8434828</v>
      </c>
      <c r="E3358" t="s">
        <v>2165</v>
      </c>
      <c r="G3358" t="s">
        <v>2179</v>
      </c>
      <c r="I3358">
        <v>-22.303799999999999</v>
      </c>
      <c r="J3358">
        <v>131.57900000000001</v>
      </c>
      <c r="K3358" t="str">
        <f>HYPERLINK("http://geology.data.nt.gov.au/NVCLDataServices/mosaic.html?datasetid=edb85414-b24a-4aa5-9a53-2c5966be7ca","8434828_NGDD8_Core Image")</f>
        <v>8434828_NGDD8_Core Image</v>
      </c>
    </row>
    <row r="3359" spans="1:11" x14ac:dyDescent="0.25">
      <c r="A3359" t="str">
        <f>HYPERLINK("http://www.corstruth.com.au/NT/8434832_NGDD15_cs.png","8434832_NGDD15_A4")</f>
        <v>8434832_NGDD15_A4</v>
      </c>
      <c r="B3359" t="str">
        <f>HYPERLINK("http://www.corstruth.com.au/NT/PNG2/8434832_NGDD15_cs.png","8434832_NGDD15_0.25m Bins")</f>
        <v>8434832_NGDD15_0.25m Bins</v>
      </c>
      <c r="C3359" t="str">
        <f>HYPERLINK("http://www.corstruth.com.au/NT/CSV/8434832_NGDD15.csv","8434832_NGDD15_CSV File 1m Bins")</f>
        <v>8434832_NGDD15_CSV File 1m Bins</v>
      </c>
      <c r="D3359">
        <v>8434832</v>
      </c>
      <c r="E3359" t="s">
        <v>2165</v>
      </c>
      <c r="G3359" t="s">
        <v>2179</v>
      </c>
      <c r="I3359">
        <v>-22.303799999999999</v>
      </c>
      <c r="J3359">
        <v>131.57900000000001</v>
      </c>
      <c r="K3359" t="str">
        <f>HYPERLINK("http://geology.data.nt.gov.au/NVCLDataServices/mosaic.html?datasetid=b2a58841-9db8-405b-9f41-bc6a5670c9d","8434832_NGDD15_Core Image")</f>
        <v>8434832_NGDD15_Core Image</v>
      </c>
    </row>
    <row r="3360" spans="1:11" x14ac:dyDescent="0.25">
      <c r="A3360" t="str">
        <f>HYPERLINK("http://www.corstruth.com.au/NT/8434836_NGDD11_cs.png","8434836_NGDD11_A4")</f>
        <v>8434836_NGDD11_A4</v>
      </c>
      <c r="B3360" t="str">
        <f>HYPERLINK("http://www.corstruth.com.au/NT/PNG2/8434836_NGDD11_cs.png","8434836_NGDD11_0.25m Bins")</f>
        <v>8434836_NGDD11_0.25m Bins</v>
      </c>
      <c r="C3360" t="str">
        <f>HYPERLINK("http://www.corstruth.com.au/NT/CSV/8434836_NGDD11.csv","8434836_NGDD11_CSV File 1m Bins")</f>
        <v>8434836_NGDD11_CSV File 1m Bins</v>
      </c>
      <c r="D3360">
        <v>8434836</v>
      </c>
      <c r="E3360" t="s">
        <v>2165</v>
      </c>
      <c r="G3360" t="s">
        <v>2179</v>
      </c>
      <c r="I3360">
        <v>-22.305299999999999</v>
      </c>
      <c r="J3360">
        <v>131.577</v>
      </c>
      <c r="K3360" t="str">
        <f>HYPERLINK("http://geology.data.nt.gov.au/NVCLDataServices/mosaic.html?datasetid=fe84694c-4730-495e-b014-6f7b5a661c9","8434836_NGDD11_Core Image")</f>
        <v>8434836_NGDD11_Core Image</v>
      </c>
    </row>
    <row r="3361" spans="1:11" x14ac:dyDescent="0.25">
      <c r="A3361" t="str">
        <f>HYPERLINK("http://www.corstruth.com.au/NT/8434840_NGDD19_cs.png","8434840_NGDD19_A4")</f>
        <v>8434840_NGDD19_A4</v>
      </c>
      <c r="B3361" t="str">
        <f>HYPERLINK("http://www.corstruth.com.au/NT/PNG2/8434840_NGDD19_cs.png","8434840_NGDD19_0.25m Bins")</f>
        <v>8434840_NGDD19_0.25m Bins</v>
      </c>
      <c r="C3361" t="str">
        <f>HYPERLINK("http://www.corstruth.com.au/NT/CSV/8434840_NGDD19.csv","8434840_NGDD19_CSV File 1m Bins")</f>
        <v>8434840_NGDD19_CSV File 1m Bins</v>
      </c>
      <c r="D3361">
        <v>8434840</v>
      </c>
      <c r="E3361" t="s">
        <v>2165</v>
      </c>
      <c r="G3361" t="s">
        <v>2179</v>
      </c>
      <c r="I3361">
        <v>-22.304200000000002</v>
      </c>
      <c r="J3361">
        <v>131.57599999999999</v>
      </c>
      <c r="K3361" t="str">
        <f>HYPERLINK("http://geology.data.nt.gov.au/NVCLDataServices/mosaic.html?datasetid=6d8e2311-ac7f-472f-9d9e-19662222f13","8434840_NGDD19_Core Image")</f>
        <v>8434840_NGDD19_Core Image</v>
      </c>
    </row>
    <row r="3362" spans="1:11" x14ac:dyDescent="0.25">
      <c r="A3362" t="str">
        <f>HYPERLINK("http://www.corstruth.com.au/NT/8434844_NGDD12_cs.png","8434844_NGDD12_A4")</f>
        <v>8434844_NGDD12_A4</v>
      </c>
      <c r="B3362" t="str">
        <f>HYPERLINK("http://www.corstruth.com.au/NT/PNG2/8434844_NGDD12_cs.png","8434844_NGDD12_0.25m Bins")</f>
        <v>8434844_NGDD12_0.25m Bins</v>
      </c>
      <c r="C3362" t="str">
        <f>HYPERLINK("http://www.corstruth.com.au/NT/CSV/8434844_NGDD12.csv","8434844_NGDD12_CSV File 1m Bins")</f>
        <v>8434844_NGDD12_CSV File 1m Bins</v>
      </c>
      <c r="D3362">
        <v>8434844</v>
      </c>
      <c r="E3362" t="s">
        <v>2165</v>
      </c>
      <c r="G3362" t="s">
        <v>2179</v>
      </c>
      <c r="I3362">
        <v>-22.306699999999999</v>
      </c>
      <c r="J3362">
        <v>131.57499999999999</v>
      </c>
      <c r="K3362" t="str">
        <f>HYPERLINK("http://geology.data.nt.gov.au/NVCLDataServices/mosaic.html?datasetid=58fe5837-d61c-478f-8cf4-7a413f68f4b","8434844_NGDD12_Core Image")</f>
        <v>8434844_NGDD12_Core Image</v>
      </c>
    </row>
    <row r="3363" spans="1:11" x14ac:dyDescent="0.25">
      <c r="A3363" t="str">
        <f>HYPERLINK("http://www.corstruth.com.au/NT/8434848_NGDD13_cs.png","8434848_NGDD13_A4")</f>
        <v>8434848_NGDD13_A4</v>
      </c>
      <c r="B3363" t="str">
        <f>HYPERLINK("http://www.corstruth.com.au/NT/PNG2/8434848_NGDD13_cs.png","8434848_NGDD13_0.25m Bins")</f>
        <v>8434848_NGDD13_0.25m Bins</v>
      </c>
      <c r="C3363" t="str">
        <f>HYPERLINK("http://www.corstruth.com.au/NT/CSV/8434848_NGDD13.csv","8434848_NGDD13_CSV File 1m Bins")</f>
        <v>8434848_NGDD13_CSV File 1m Bins</v>
      </c>
      <c r="D3363">
        <v>8434848</v>
      </c>
      <c r="E3363" t="s">
        <v>2165</v>
      </c>
      <c r="G3363" t="s">
        <v>2179</v>
      </c>
      <c r="I3363">
        <v>-22.308299999999999</v>
      </c>
      <c r="J3363">
        <v>131.578</v>
      </c>
      <c r="K3363" t="str">
        <f>HYPERLINK("http://geology.data.nt.gov.au/NVCLDataServices/mosaic.html?datasetid=3bc379e5-6891-476d-9039-a120dfe5f59","8434848_NGDD13_Core Image")</f>
        <v>8434848_NGDD13_Core Image</v>
      </c>
    </row>
    <row r="3364" spans="1:11" x14ac:dyDescent="0.25">
      <c r="A3364" t="str">
        <f>HYPERLINK("http://www.corstruth.com.au/NT/8434853_WhitePoint2_cs.png","8434853_WhitePoint2_A4")</f>
        <v>8434853_WhitePoint2_A4</v>
      </c>
      <c r="B3364" t="str">
        <f>HYPERLINK("http://www.corstruth.com.au/NT/PNG2/8434853_WhitePoint2_cs.png","8434853_WhitePoint2_0.25m Bins")</f>
        <v>8434853_WhitePoint2_0.25m Bins</v>
      </c>
      <c r="C3364" t="str">
        <f>HYPERLINK("http://www.corstruth.com.au/NT/CSV/8434853_WhitePoint2.csv","8434853_WhitePoint2_CSV File 1m Bins")</f>
        <v>8434853_WhitePoint2_CSV File 1m Bins</v>
      </c>
      <c r="D3364">
        <v>8434853</v>
      </c>
      <c r="E3364" t="s">
        <v>2165</v>
      </c>
      <c r="G3364" t="s">
        <v>2179</v>
      </c>
      <c r="I3364">
        <v>-22.291499999999999</v>
      </c>
      <c r="J3364">
        <v>131.74600000000001</v>
      </c>
      <c r="K3364" t="str">
        <f>HYPERLINK("http://geology.data.nt.gov.au/NVCLDataServices/mosaic.html?datasetid=652d3465-c82a-4d84-96fa-0c28c0cfa54","8434853_WhitePoint2_Core Image")</f>
        <v>8434853_WhitePoint2_Core Image</v>
      </c>
    </row>
    <row r="3365" spans="1:11" x14ac:dyDescent="0.25">
      <c r="A3365" t="str">
        <f>HYPERLINK("http://www.corstruth.com.au/NT/8440760_NGDDH001_cs.png","8440760_NGDDH001_A4")</f>
        <v>8440760_NGDDH001_A4</v>
      </c>
      <c r="B3365" t="str">
        <f>HYPERLINK("http://www.corstruth.com.au/NT/PNG2/8440760_NGDDH001_cs.png","8440760_NGDDH001_0.25m Bins")</f>
        <v>8440760_NGDDH001_0.25m Bins</v>
      </c>
      <c r="C3365" t="str">
        <f>HYPERLINK("http://www.corstruth.com.au/NT/CSV/8440760_NGDDH001.csv","8440760_NGDDH001_CSV File 1m Bins")</f>
        <v>8440760_NGDDH001_CSV File 1m Bins</v>
      </c>
      <c r="D3365">
        <v>8440760</v>
      </c>
      <c r="E3365" t="s">
        <v>2165</v>
      </c>
      <c r="G3365" t="s">
        <v>2179</v>
      </c>
      <c r="I3365">
        <v>-22.432400000000001</v>
      </c>
      <c r="J3365">
        <v>130.68299999999999</v>
      </c>
      <c r="K3365" t="str">
        <f>HYPERLINK("http://geology.data.nt.gov.au/NVCLDataServices/mosaic.html?datasetid=572d1bfa-550d-4381-9e0f-71bb2b0aae4","8440760_NGDDH001_Core Image")</f>
        <v>8440760_NGDDH001_Core Image</v>
      </c>
    </row>
    <row r="3366" spans="1:11" x14ac:dyDescent="0.25">
      <c r="A3366" t="str">
        <f>HYPERLINK("http://www.corstruth.com.au/NT/8447053_MARD001_cs.png","8447053_MARD001_A4")</f>
        <v>8447053_MARD001_A4</v>
      </c>
      <c r="B3366" t="str">
        <f>HYPERLINK("http://www.corstruth.com.au/NT/PNG2/8447053_MARD001_cs.png","8447053_MARD001_0.25m Bins")</f>
        <v>8447053_MARD001_0.25m Bins</v>
      </c>
      <c r="C3366" t="str">
        <f>HYPERLINK("http://www.corstruth.com.au/NT/CSV/8447053_MARD001.csv","8447053_MARD001_CSV File 1m Bins")</f>
        <v>8447053_MARD001_CSV File 1m Bins</v>
      </c>
      <c r="D3366">
        <v>8447053</v>
      </c>
      <c r="E3366" t="s">
        <v>2165</v>
      </c>
      <c r="G3366" t="s">
        <v>2179</v>
      </c>
      <c r="I3366">
        <v>-22.633099999999999</v>
      </c>
      <c r="J3366">
        <v>132.38800000000001</v>
      </c>
      <c r="K3366" t="str">
        <f>HYPERLINK("http://geology.data.nt.gov.au/NVCLDataServices/mosaic.html?datasetid=2222ea6b-b81a-4e3d-8960-a346c93c4ca","8447053_MARD001_Core Image")</f>
        <v>8447053_MARD001_Core Image</v>
      </c>
    </row>
    <row r="3367" spans="1:11" x14ac:dyDescent="0.25">
      <c r="A3367" t="str">
        <f>HYPERLINK("http://www.corstruth.com.au/NT/8447054_MARD002_cs.png","8447054_MARD002_A4")</f>
        <v>8447054_MARD002_A4</v>
      </c>
      <c r="B3367" t="str">
        <f>HYPERLINK("http://www.corstruth.com.au/NT/PNG2/8447054_MARD002_cs.png","8447054_MARD002_0.25m Bins")</f>
        <v>8447054_MARD002_0.25m Bins</v>
      </c>
      <c r="C3367" t="str">
        <f>HYPERLINK("http://www.corstruth.com.au/NT/CSV/8447054_MARD002.csv","8447054_MARD002_CSV File 1m Bins")</f>
        <v>8447054_MARD002_CSV File 1m Bins</v>
      </c>
      <c r="D3367">
        <v>8447054</v>
      </c>
      <c r="E3367" t="s">
        <v>2165</v>
      </c>
      <c r="G3367" t="s">
        <v>2179</v>
      </c>
      <c r="I3367">
        <v>-22.664400000000001</v>
      </c>
      <c r="J3367">
        <v>132.387</v>
      </c>
      <c r="K3367" t="str">
        <f>HYPERLINK("http://geology.data.nt.gov.au/NVCLDataServices/mosaic.html?datasetid=97ed37ac-2afa-405d-a62e-4ea7ef81bba","8447054_MARD002_Core Image")</f>
        <v>8447054_MARD002_Core Image</v>
      </c>
    </row>
    <row r="3368" spans="1:11" x14ac:dyDescent="0.25">
      <c r="A3368" t="str">
        <f>HYPERLINK("http://www.corstruth.com.au/NT/8447055_MARD003_cs.png","8447055_MARD003_A4")</f>
        <v>8447055_MARD003_A4</v>
      </c>
      <c r="B3368" t="str">
        <f>HYPERLINK("http://www.corstruth.com.au/NT/PNG2/8447055_MARD003_cs.png","8447055_MARD003_0.25m Bins")</f>
        <v>8447055_MARD003_0.25m Bins</v>
      </c>
      <c r="C3368" t="str">
        <f>HYPERLINK("http://www.corstruth.com.au/NT/CSV/8447055_MARD003.csv","8447055_MARD003_CSV File 1m Bins")</f>
        <v>8447055_MARD003_CSV File 1m Bins</v>
      </c>
      <c r="D3368">
        <v>8447055</v>
      </c>
      <c r="E3368" t="s">
        <v>2165</v>
      </c>
      <c r="G3368" t="s">
        <v>2179</v>
      </c>
      <c r="I3368">
        <v>-22.6812</v>
      </c>
      <c r="J3368">
        <v>132.46100000000001</v>
      </c>
      <c r="K3368" t="str">
        <f>HYPERLINK("http://geology.data.nt.gov.au/NVCLDataServices/mosaic.html?datasetid=5cdd88db-cfb2-495b-8f3c-4ac7a23b96e","8447055_MARD003_Core Image")</f>
        <v>8447055_MARD003_Core Image</v>
      </c>
    </row>
    <row r="3369" spans="1:11" x14ac:dyDescent="0.25">
      <c r="A3369" t="str">
        <f>HYPERLINK("http://www.corstruth.com.au/NT/8447876_B07120_cs.png","8447876_B07120_A4")</f>
        <v>8447876_B07120_A4</v>
      </c>
      <c r="B3369" t="str">
        <f>HYPERLINK("http://www.corstruth.com.au/NT/PNG2/8447876_B07120_cs.png","8447876_B07120_0.25m Bins")</f>
        <v>8447876_B07120_0.25m Bins</v>
      </c>
      <c r="C3369" t="str">
        <f>HYPERLINK("http://www.corstruth.com.au/NT/CSV/8447876_B07120.csv","8447876_B07120_CSV File 1m Bins")</f>
        <v>8447876_B07120_CSV File 1m Bins</v>
      </c>
      <c r="D3369">
        <v>8447876</v>
      </c>
      <c r="E3369" t="s">
        <v>2165</v>
      </c>
      <c r="G3369" t="s">
        <v>2179</v>
      </c>
      <c r="I3369">
        <v>-22.2179</v>
      </c>
      <c r="J3369">
        <v>131.04499999999999</v>
      </c>
    </row>
    <row r="3370" spans="1:11" x14ac:dyDescent="0.25">
      <c r="A3370" t="str">
        <f>HYPERLINK("http://www.corstruth.com.au/NT/868922_CB29RD_cs.png","868922_CB29RD_A4")</f>
        <v>868922_CB29RD_A4</v>
      </c>
      <c r="D3370">
        <v>868922</v>
      </c>
      <c r="E3370" t="s">
        <v>2165</v>
      </c>
      <c r="G3370" t="s">
        <v>2179</v>
      </c>
      <c r="I3370">
        <v>-22.545400000000001</v>
      </c>
      <c r="J3370">
        <v>131.95099999999999</v>
      </c>
      <c r="K3370" t="str">
        <f>HYPERLINK("http://geology.data.nt.gov.au/NVCLDataServices/mosaic.html?datasetid=2cbe8106-92a8-45eb-bfda-2bfe7911f8b","868922_CB29RD_Core Image")</f>
        <v>868922_CB29RD_Core Image</v>
      </c>
    </row>
    <row r="3371" spans="1:11" x14ac:dyDescent="0.25">
      <c r="A3371" t="str">
        <f>HYPERLINK("http://www.corstruth.com.au/NT/8713207_CBM93_2_cs.png","8713207_CBM93_2_A4")</f>
        <v>8713207_CBM93_2_A4</v>
      </c>
      <c r="B3371" t="str">
        <f>HYPERLINK("http://www.corstruth.com.au/NT/PNG2/8713207_CBM93_2_cs.png","8713207_CBM93_2_0.25m Bins")</f>
        <v>8713207_CBM93_2_0.25m Bins</v>
      </c>
      <c r="C3371" t="str">
        <f>HYPERLINK("http://www.corstruth.com.au/NT/CSV/8713207_CBM93_2.csv","8713207_CBM93_2_CSV File 1m Bins")</f>
        <v>8713207_CBM93_2_CSV File 1m Bins</v>
      </c>
      <c r="D3371">
        <v>8713207</v>
      </c>
      <c r="E3371" t="s">
        <v>2165</v>
      </c>
      <c r="G3371" t="s">
        <v>2180</v>
      </c>
      <c r="I3371">
        <v>-25.628</v>
      </c>
      <c r="J3371">
        <v>135.38</v>
      </c>
    </row>
    <row r="3372" spans="1:11" x14ac:dyDescent="0.25">
      <c r="A3372" t="str">
        <f>HYPERLINK("http://www.corstruth.com.au/NT/8713208_CBM93_3_cs.png","8713208_CBM93_3_A4")</f>
        <v>8713208_CBM93_3_A4</v>
      </c>
      <c r="B3372" t="str">
        <f>HYPERLINK("http://www.corstruth.com.au/NT/PNG2/8713208_CBM93_3_cs.png","8713208_CBM93_3_0.25m Bins")</f>
        <v>8713208_CBM93_3_0.25m Bins</v>
      </c>
      <c r="C3372" t="str">
        <f>HYPERLINK("http://www.corstruth.com.au/NT/CSV/8713208_CBM93_3.csv","8713208_CBM93_3_CSV File 1m Bins")</f>
        <v>8713208_CBM93_3_CSV File 1m Bins</v>
      </c>
      <c r="D3372">
        <v>8713208</v>
      </c>
      <c r="E3372" t="s">
        <v>2165</v>
      </c>
      <c r="G3372" t="s">
        <v>2180</v>
      </c>
      <c r="I3372">
        <v>-25.0166</v>
      </c>
      <c r="J3372">
        <v>136.30699999999999</v>
      </c>
    </row>
    <row r="3373" spans="1:11" x14ac:dyDescent="0.25">
      <c r="A3373" t="str">
        <f>HYPERLINK("http://www.corstruth.com.au/NT/8713209_CBM93_4_cs.png","8713209_CBM93_4_A4")</f>
        <v>8713209_CBM93_4_A4</v>
      </c>
      <c r="B3373" t="str">
        <f>HYPERLINK("http://www.corstruth.com.au/NT/PNG2/8713209_CBM93_4_cs.png","8713209_CBM93_4_0.25m Bins")</f>
        <v>8713209_CBM93_4_0.25m Bins</v>
      </c>
      <c r="C3373" t="str">
        <f>HYPERLINK("http://www.corstruth.com.au/NT/CSV/8713209_CBM93_4.csv","8713209_CBM93_4_CSV File 1m Bins")</f>
        <v>8713209_CBM93_4_CSV File 1m Bins</v>
      </c>
      <c r="D3373">
        <v>8713209</v>
      </c>
      <c r="E3373" t="s">
        <v>2165</v>
      </c>
      <c r="G3373" t="s">
        <v>2180</v>
      </c>
      <c r="I3373">
        <v>-24.869700000000002</v>
      </c>
      <c r="J3373">
        <v>135.85</v>
      </c>
    </row>
    <row r="3374" spans="1:11" x14ac:dyDescent="0.25">
      <c r="A3374" t="str">
        <f>HYPERLINK("http://www.corstruth.com.au/NT/8713210_CBM107_1_cs.png","8713210_CBM107_1_A4")</f>
        <v>8713210_CBM107_1_A4</v>
      </c>
      <c r="B3374" t="str">
        <f>HYPERLINK("http://www.corstruth.com.au/NT/PNG2/8713210_CBM107_1_cs.png","8713210_CBM107_1_0.25m Bins")</f>
        <v>8713210_CBM107_1_0.25m Bins</v>
      </c>
      <c r="C3374" t="str">
        <f>HYPERLINK("http://www.corstruth.com.au/NT/CSV/8713210_CBM107_1.csv","8713210_CBM107_1_CSV File 1m Bins")</f>
        <v>8713210_CBM107_1_CSV File 1m Bins</v>
      </c>
      <c r="D3374">
        <v>8713210</v>
      </c>
      <c r="E3374" t="s">
        <v>2165</v>
      </c>
      <c r="G3374" t="s">
        <v>2180</v>
      </c>
      <c r="I3374">
        <v>-25.2059</v>
      </c>
      <c r="J3374">
        <v>135.69300000000001</v>
      </c>
    </row>
    <row r="3375" spans="1:11" x14ac:dyDescent="0.25">
      <c r="A3375" t="str">
        <f>HYPERLINK("http://www.corstruth.com.au/NT/8713211_CBM107_2_cs.png","8713211_CBM107_2_A4")</f>
        <v>8713211_CBM107_2_A4</v>
      </c>
      <c r="B3375" t="str">
        <f>HYPERLINK("http://www.corstruth.com.au/NT/PNG2/8713211_CBM107_2_cs.png","8713211_CBM107_2_0.25m Bins")</f>
        <v>8713211_CBM107_2_0.25m Bins</v>
      </c>
      <c r="C3375" t="str">
        <f>HYPERLINK("http://www.corstruth.com.au/NT/CSV/8713211_CBM107_2.csv","8713211_CBM107_2_CSV File 1m Bins")</f>
        <v>8713211_CBM107_2_CSV File 1m Bins</v>
      </c>
      <c r="D3375">
        <v>8713211</v>
      </c>
      <c r="E3375" t="s">
        <v>2165</v>
      </c>
      <c r="G3375" t="s">
        <v>2180</v>
      </c>
      <c r="I3375">
        <v>-24.975999999999999</v>
      </c>
      <c r="J3375">
        <v>135.48699999999999</v>
      </c>
    </row>
    <row r="3376" spans="1:11" x14ac:dyDescent="0.25">
      <c r="A3376" t="str">
        <f>HYPERLINK("http://www.corstruth.com.au/NT/1908662_DD94MG02_cs.png","1908662_DD94MG02_A4")</f>
        <v>1908662_DD94MG02_A4</v>
      </c>
      <c r="B3376" t="str">
        <f>HYPERLINK("http://www.corstruth.com.au/NT/PNG2/1908662_DD94MG02_cs.png","1908662_DD94MG02_0.25m Bins")</f>
        <v>1908662_DD94MG02_0.25m Bins</v>
      </c>
      <c r="C3376" t="str">
        <f>HYPERLINK("http://www.corstruth.com.au/NT/CSV/1908662_DD94MG02.csv","1908662_DD94MG02_CSV File 1m Bins")</f>
        <v>1908662_DD94MG02_CSV File 1m Bins</v>
      </c>
      <c r="D3376">
        <v>1908662</v>
      </c>
      <c r="E3376" t="s">
        <v>2165</v>
      </c>
      <c r="G3376" t="s">
        <v>2181</v>
      </c>
      <c r="I3376">
        <v>-21.943100000000001</v>
      </c>
      <c r="J3376">
        <v>134.00200000000001</v>
      </c>
    </row>
    <row r="3377" spans="1:11" x14ac:dyDescent="0.25">
      <c r="A3377" t="str">
        <f>HYPERLINK("http://www.corstruth.com.au/NT/2027313_DDH6_cs.png","2027313_DDH6_A4")</f>
        <v>2027313_DDH6_A4</v>
      </c>
      <c r="B3377" t="str">
        <f>HYPERLINK("http://www.corstruth.com.au/NT/PNG2/2027313_DDH6_cs.png","2027313_DDH6_0.25m Bins")</f>
        <v>2027313_DDH6_0.25m Bins</v>
      </c>
      <c r="C3377" t="str">
        <f>HYPERLINK("http://www.corstruth.com.au/NT/CSV/2027313_DDH6.csv","2027313_DDH6_CSV File 1m Bins")</f>
        <v>2027313_DDH6_CSV File 1m Bins</v>
      </c>
      <c r="D3377">
        <v>2027313</v>
      </c>
      <c r="E3377" t="s">
        <v>2165</v>
      </c>
      <c r="G3377" t="s">
        <v>2181</v>
      </c>
      <c r="I3377">
        <v>-13.647600000000001</v>
      </c>
      <c r="J3377">
        <v>132.119</v>
      </c>
      <c r="K3377" t="str">
        <f>HYPERLINK("http://geology.data.nt.gov.au/NVCLDataServices/mosaic.html?datasetid=260f0903-f508-4d98-b44f-17680affebd","2027313_DDH6_Core Image")</f>
        <v>2027313_DDH6_Core Image</v>
      </c>
    </row>
    <row r="3378" spans="1:11" x14ac:dyDescent="0.25">
      <c r="A3378" t="str">
        <f>HYPERLINK("http://www.corstruth.com.au/NT/2033508_JD34_cs.png","2033508_JD34_A4")</f>
        <v>2033508_JD34_A4</v>
      </c>
      <c r="B3378" t="str">
        <f>HYPERLINK("http://www.corstruth.com.au/NT/PNG2/2033508_JD34_cs.png","2033508_JD34_0.25m Bins")</f>
        <v>2033508_JD34_0.25m Bins</v>
      </c>
      <c r="C3378" t="str">
        <f>HYPERLINK("http://www.corstruth.com.au/NT/CSV/2033508_JD34.csv","2033508_JD34_CSV File 1m Bins")</f>
        <v>2033508_JD34_CSV File 1m Bins</v>
      </c>
      <c r="D3378">
        <v>2033508</v>
      </c>
      <c r="E3378" t="s">
        <v>2165</v>
      </c>
      <c r="G3378" t="s">
        <v>2181</v>
      </c>
      <c r="I3378">
        <v>-13.251799999999999</v>
      </c>
      <c r="J3378">
        <v>132.58500000000001</v>
      </c>
    </row>
    <row r="3379" spans="1:11" x14ac:dyDescent="0.25">
      <c r="A3379" t="str">
        <f>HYPERLINK("http://www.corstruth.com.au/NT/2033512_JD35_cs.png","2033512_JD35_A4")</f>
        <v>2033512_JD35_A4</v>
      </c>
      <c r="B3379" t="str">
        <f>HYPERLINK("http://www.corstruth.com.au/NT/PNG2/2033512_JD35_cs.png","2033512_JD35_0.25m Bins")</f>
        <v>2033512_JD35_0.25m Bins</v>
      </c>
      <c r="C3379" t="str">
        <f>HYPERLINK("http://www.corstruth.com.au/NT/CSV/2033512_JD35.csv","2033512_JD35_CSV File 1m Bins")</f>
        <v>2033512_JD35_CSV File 1m Bins</v>
      </c>
      <c r="D3379">
        <v>2033512</v>
      </c>
      <c r="E3379" t="s">
        <v>2165</v>
      </c>
      <c r="G3379" t="s">
        <v>2181</v>
      </c>
      <c r="I3379">
        <v>-13.2532</v>
      </c>
      <c r="J3379">
        <v>132.59</v>
      </c>
      <c r="K3379" t="str">
        <f>HYPERLINK("http://geology.data.nt.gov.au/NVCLDataServices/mosaic.html?datasetid=183b26f8-2abd-47cd-a174-9a3fe8983f4","2033512_JD35_Core Image")</f>
        <v>2033512_JD35_Core Image</v>
      </c>
    </row>
    <row r="3380" spans="1:11" x14ac:dyDescent="0.25">
      <c r="A3380" t="str">
        <f>HYPERLINK("http://www.corstruth.com.au/NT/4143995_LKN20_cs.png","4143995_LKN20_A4")</f>
        <v>4143995_LKN20_A4</v>
      </c>
      <c r="B3380" t="str">
        <f>HYPERLINK("http://www.corstruth.com.au/NT/PNG2/4143995_LKN20_cs.png","4143995_LKN20_0.25m Bins")</f>
        <v>4143995_LKN20_0.25m Bins</v>
      </c>
      <c r="C3380" t="str">
        <f>HYPERLINK("http://www.corstruth.com.au/NT/CSV/4143995_LKN20.csv","4143995_LKN20_CSV File 1m Bins")</f>
        <v>4143995_LKN20_CSV File 1m Bins</v>
      </c>
      <c r="D3380">
        <v>4143995</v>
      </c>
      <c r="E3380" t="s">
        <v>2165</v>
      </c>
      <c r="G3380" t="s">
        <v>2181</v>
      </c>
      <c r="I3380">
        <v>-12.820600000000001</v>
      </c>
      <c r="J3380">
        <v>130.52699999999999</v>
      </c>
    </row>
    <row r="3381" spans="1:11" x14ac:dyDescent="0.25">
      <c r="A3381" t="str">
        <f>HYPERLINK("http://www.corstruth.com.au/NT/4143999_POP12_cs.png","4143999_POP12_A4")</f>
        <v>4143999_POP12_A4</v>
      </c>
      <c r="B3381" t="str">
        <f>HYPERLINK("http://www.corstruth.com.au/NT/PNG2/4143999_POP12_cs.png","4143999_POP12_0.25m Bins")</f>
        <v>4143999_POP12_0.25m Bins</v>
      </c>
      <c r="C3381" t="str">
        <f>HYPERLINK("http://www.corstruth.com.au/NT/CSV/4143999_POP12.csv","4143999_POP12_CSV File 1m Bins")</f>
        <v>4143999_POP12_CSV File 1m Bins</v>
      </c>
      <c r="D3381">
        <v>4143999</v>
      </c>
      <c r="E3381" t="s">
        <v>2165</v>
      </c>
      <c r="G3381" t="s">
        <v>2181</v>
      </c>
      <c r="I3381">
        <v>-12.827500000000001</v>
      </c>
      <c r="J3381">
        <v>130.489</v>
      </c>
    </row>
    <row r="3382" spans="1:11" x14ac:dyDescent="0.25">
      <c r="A3382" t="str">
        <f>HYPERLINK("http://www.corstruth.com.au/NT/7963293_CHDDH102_cs.png","7963293_CHDDH102_A4")</f>
        <v>7963293_CHDDH102_A4</v>
      </c>
      <c r="D3382">
        <v>7963293</v>
      </c>
      <c r="E3382" t="s">
        <v>2165</v>
      </c>
      <c r="G3382" t="s">
        <v>2181</v>
      </c>
      <c r="I3382">
        <v>-13.585900000000001</v>
      </c>
      <c r="J3382">
        <v>132.61000000000001</v>
      </c>
      <c r="K3382" t="str">
        <f>HYPERLINK("http://geology.data.nt.gov.au/NVCLDataServices/mosaic.html?datasetid=59c8fb7a-6ce6-46c3-9cd1-d7a22382f5b","7963293_CHDDH102_Core Image")</f>
        <v>7963293_CHDDH102_Core Image</v>
      </c>
    </row>
    <row r="3383" spans="1:11" x14ac:dyDescent="0.25">
      <c r="A3383" t="str">
        <f>HYPERLINK("http://www.corstruth.com.au/NT/7963434_09CPD003A_cs.png","7963434_09CPD003A_A4")</f>
        <v>7963434_09CPD003A_A4</v>
      </c>
      <c r="D3383">
        <v>7963434</v>
      </c>
      <c r="E3383" t="s">
        <v>2165</v>
      </c>
      <c r="G3383" t="s">
        <v>2181</v>
      </c>
      <c r="I3383">
        <v>-23.7714</v>
      </c>
      <c r="J3383">
        <v>136.852</v>
      </c>
    </row>
    <row r="3384" spans="1:11" x14ac:dyDescent="0.25">
      <c r="A3384" t="str">
        <f>HYPERLINK("http://www.corstruth.com.au/NT/7963454_CHDDH100_cs.png","7963454_CHDDH100_A4")</f>
        <v>7963454_CHDDH100_A4</v>
      </c>
      <c r="D3384">
        <v>7963454</v>
      </c>
      <c r="E3384" t="s">
        <v>2165</v>
      </c>
      <c r="G3384" t="s">
        <v>2181</v>
      </c>
      <c r="I3384">
        <v>-13.586600000000001</v>
      </c>
      <c r="J3384">
        <v>132.61099999999999</v>
      </c>
    </row>
    <row r="3385" spans="1:11" x14ac:dyDescent="0.25">
      <c r="A3385" t="str">
        <f>HYPERLINK("http://www.corstruth.com.au/NT/7963458_CHDDH56_cs.png","7963458_CHDDH56_A4")</f>
        <v>7963458_CHDDH56_A4</v>
      </c>
      <c r="D3385">
        <v>7963458</v>
      </c>
      <c r="E3385" t="s">
        <v>2165</v>
      </c>
      <c r="G3385" t="s">
        <v>2181</v>
      </c>
      <c r="I3385">
        <v>-13.585900000000001</v>
      </c>
      <c r="J3385">
        <v>132.608</v>
      </c>
    </row>
    <row r="3386" spans="1:11" x14ac:dyDescent="0.25">
      <c r="A3386" t="str">
        <f>HYPERLINK("http://www.corstruth.com.au/NT/7967803_CHDDH77_cs.png","7967803_CHDDH77_A4")</f>
        <v>7967803_CHDDH77_A4</v>
      </c>
      <c r="D3386">
        <v>7967803</v>
      </c>
      <c r="E3386" t="s">
        <v>2165</v>
      </c>
      <c r="G3386" t="s">
        <v>2181</v>
      </c>
      <c r="I3386">
        <v>-13.5869</v>
      </c>
      <c r="J3386">
        <v>132.60900000000001</v>
      </c>
    </row>
    <row r="3387" spans="1:11" x14ac:dyDescent="0.25">
      <c r="A3387" t="str">
        <f>HYPERLINK("http://www.corstruth.com.au/NT/8418299_6-7DDH16_cs.png","8418299_6-7DDH16_A4")</f>
        <v>8418299_6-7DDH16_A4</v>
      </c>
      <c r="D3387">
        <v>8418299</v>
      </c>
      <c r="E3387" t="s">
        <v>2165</v>
      </c>
      <c r="G3387" t="s">
        <v>2181</v>
      </c>
      <c r="I3387">
        <v>-13.6028</v>
      </c>
      <c r="J3387">
        <v>131.858</v>
      </c>
    </row>
    <row r="3388" spans="1:11" x14ac:dyDescent="0.25">
      <c r="A3388" t="str">
        <f>HYPERLINK("http://www.corstruth.com.au/NT/8418310_PLD001_cs.png","8418310_PLD001_A4")</f>
        <v>8418310_PLD001_A4</v>
      </c>
      <c r="D3388">
        <v>8418310</v>
      </c>
      <c r="E3388" t="s">
        <v>2165</v>
      </c>
      <c r="G3388" t="s">
        <v>2181</v>
      </c>
      <c r="I3388">
        <v>-12.735099999999999</v>
      </c>
      <c r="J3388">
        <v>133.483</v>
      </c>
    </row>
    <row r="3389" spans="1:11" x14ac:dyDescent="0.25">
      <c r="A3389" t="str">
        <f>HYPERLINK("http://www.corstruth.com.au/NT/8418358_Y22_cs.png","8418358_Y22_A4")</f>
        <v>8418358_Y22_A4</v>
      </c>
      <c r="D3389">
        <v>8418358</v>
      </c>
      <c r="E3389" t="s">
        <v>2165</v>
      </c>
      <c r="G3389" t="s">
        <v>2181</v>
      </c>
      <c r="I3389">
        <v>-12.3941</v>
      </c>
      <c r="J3389">
        <v>131.249</v>
      </c>
    </row>
    <row r="3390" spans="1:11" x14ac:dyDescent="0.25">
      <c r="A3390" t="str">
        <f>HYPERLINK("http://www.corstruth.com.au/NT/8418362_Y19_cs.png","8418362_Y19_A4")</f>
        <v>8418362_Y19_A4</v>
      </c>
      <c r="D3390">
        <v>8418362</v>
      </c>
      <c r="E3390" t="s">
        <v>2165</v>
      </c>
      <c r="G3390" t="s">
        <v>2181</v>
      </c>
      <c r="I3390">
        <v>-12.4414</v>
      </c>
      <c r="J3390">
        <v>131.09399999999999</v>
      </c>
    </row>
    <row r="3391" spans="1:11" x14ac:dyDescent="0.25">
      <c r="A3391" t="str">
        <f>HYPERLINK("http://www.corstruth.com.au/NT/8418520_DDH7_cs.png","8418520_DDH7_A4")</f>
        <v>8418520_DDH7_A4</v>
      </c>
      <c r="B3391" t="str">
        <f>HYPERLINK("http://www.corstruth.com.au/NT/PNG2/8418520_DDH7_cs.png","8418520_DDH7_0.25m Bins")</f>
        <v>8418520_DDH7_0.25m Bins</v>
      </c>
      <c r="C3391" t="str">
        <f>HYPERLINK("http://www.corstruth.com.au/NT/CSV/8418520_DDH7.csv","8418520_DDH7_CSV File 1m Bins")</f>
        <v>8418520_DDH7_CSV File 1m Bins</v>
      </c>
      <c r="D3391">
        <v>8418520</v>
      </c>
      <c r="E3391" t="s">
        <v>2165</v>
      </c>
      <c r="G3391" t="s">
        <v>2181</v>
      </c>
      <c r="I3391">
        <v>-13.9664</v>
      </c>
      <c r="J3391">
        <v>130.286</v>
      </c>
    </row>
    <row r="3392" spans="1:11" x14ac:dyDescent="0.25">
      <c r="A3392" t="str">
        <f>HYPERLINK("http://www.corstruth.com.au/NT/8418589_HED001_cs.png","8418589_HED001_A4")</f>
        <v>8418589_HED001_A4</v>
      </c>
      <c r="B3392" t="str">
        <f>HYPERLINK("http://www.corstruth.com.au/NT/PNG2/8418589_HED001_cs.png","8418589_HED001_0.25m Bins")</f>
        <v>8418589_HED001_0.25m Bins</v>
      </c>
      <c r="C3392" t="str">
        <f>HYPERLINK("http://www.corstruth.com.au/NT/CSV/8418589_HED001.csv","8418589_HED001_CSV File 1m Bins")</f>
        <v>8418589_HED001_CSV File 1m Bins</v>
      </c>
      <c r="D3392">
        <v>8418589</v>
      </c>
      <c r="E3392" t="s">
        <v>2165</v>
      </c>
      <c r="G3392" t="s">
        <v>2181</v>
      </c>
      <c r="I3392">
        <v>-12.8497</v>
      </c>
      <c r="J3392">
        <v>133.44999999999999</v>
      </c>
      <c r="K3392" t="str">
        <f>HYPERLINK("http://geology.data.nt.gov.au/NVCLDataServices/mosaic.html?datasetid=219f4d1c-55b4-4ad7-ba9f-8a45b909473","8418589_HED001_Core Image")</f>
        <v>8418589_HED001_Core Image</v>
      </c>
    </row>
    <row r="3393" spans="1:11" x14ac:dyDescent="0.25">
      <c r="A3393" t="str">
        <f>HYPERLINK("http://www.corstruth.com.au/NT/8418593_HED002_cs.png","8418593_HED002_A4")</f>
        <v>8418593_HED002_A4</v>
      </c>
      <c r="D3393">
        <v>8418593</v>
      </c>
      <c r="E3393" t="s">
        <v>2165</v>
      </c>
      <c r="G3393" t="s">
        <v>2181</v>
      </c>
      <c r="I3393">
        <v>-12.841900000000001</v>
      </c>
      <c r="J3393">
        <v>133.44300000000001</v>
      </c>
    </row>
    <row r="3394" spans="1:11" x14ac:dyDescent="0.25">
      <c r="A3394" t="str">
        <f>HYPERLINK("http://www.corstruth.com.au/NT/8418597_HED003_cs.png","8418597_HED003_A4")</f>
        <v>8418597_HED003_A4</v>
      </c>
      <c r="B3394" t="str">
        <f>HYPERLINK("http://www.corstruth.com.au/NT/PNG2/8418597_HED003_cs.png","8418597_HED003_0.25m Bins")</f>
        <v>8418597_HED003_0.25m Bins</v>
      </c>
      <c r="C3394" t="str">
        <f>HYPERLINK("http://www.corstruth.com.au/NT/CSV/8418597_HED003.csv","8418597_HED003_CSV File 1m Bins")</f>
        <v>8418597_HED003_CSV File 1m Bins</v>
      </c>
      <c r="D3394">
        <v>8418597</v>
      </c>
      <c r="E3394" t="s">
        <v>2165</v>
      </c>
      <c r="G3394" t="s">
        <v>2181</v>
      </c>
      <c r="I3394">
        <v>-12.841200000000001</v>
      </c>
      <c r="J3394">
        <v>133.45099999999999</v>
      </c>
      <c r="K3394" t="str">
        <f>HYPERLINK("http://geology.data.nt.gov.au/NVCLDataServices/mosaic.html?datasetid=51e45ac5-d765-4637-b2f4-a3b217102d2","8418597_HED003_Core Image")</f>
        <v>8418597_HED003_Core Image</v>
      </c>
    </row>
    <row r="3395" spans="1:11" x14ac:dyDescent="0.25">
      <c r="A3395" t="str">
        <f>HYPERLINK("http://www.corstruth.com.au/NT/8423174_NDD4_cs.png","8423174_NDD4_A4")</f>
        <v>8423174_NDD4_A4</v>
      </c>
      <c r="D3395">
        <v>8423174</v>
      </c>
      <c r="E3395" t="s">
        <v>2165</v>
      </c>
      <c r="G3395" t="s">
        <v>2181</v>
      </c>
      <c r="I3395">
        <v>-13.5816</v>
      </c>
      <c r="J3395">
        <v>130.751</v>
      </c>
    </row>
    <row r="3396" spans="1:11" x14ac:dyDescent="0.25">
      <c r="A3396" t="str">
        <f>HYPERLINK("http://www.corstruth.com.au/NT/8423187_BKRCD340_cs.png","8423187_BKRCD340_A4")</f>
        <v>8423187_BKRCD340_A4</v>
      </c>
      <c r="D3396">
        <v>8423187</v>
      </c>
      <c r="E3396" t="s">
        <v>2165</v>
      </c>
      <c r="G3396" t="s">
        <v>2181</v>
      </c>
      <c r="I3396">
        <v>-13.474500000000001</v>
      </c>
      <c r="J3396">
        <v>131.42500000000001</v>
      </c>
    </row>
    <row r="3397" spans="1:11" x14ac:dyDescent="0.25">
      <c r="A3397" t="str">
        <f>HYPERLINK("http://www.corstruth.com.au/NT/8423191_BKRCD125_cs.png","8423191_BKRCD125_A4")</f>
        <v>8423191_BKRCD125_A4</v>
      </c>
      <c r="D3397">
        <v>8423191</v>
      </c>
      <c r="E3397" t="s">
        <v>2165</v>
      </c>
      <c r="G3397" t="s">
        <v>2181</v>
      </c>
      <c r="I3397">
        <v>-13.474299999999999</v>
      </c>
      <c r="J3397">
        <v>131.42500000000001</v>
      </c>
    </row>
    <row r="3398" spans="1:11" x14ac:dyDescent="0.25">
      <c r="A3398" t="str">
        <f>HYPERLINK("http://www.corstruth.com.au/NT/8423197_IDD19_cs.png","8423197_IDD19_A4")</f>
        <v>8423197_IDD19_A4</v>
      </c>
      <c r="B3398" t="str">
        <f>HYPERLINK("http://www.corstruth.com.au/NT/PNG2/8423197_IDD19_cs.png","8423197_IDD19_0.25m Bins")</f>
        <v>8423197_IDD19_0.25m Bins</v>
      </c>
      <c r="C3398" t="str">
        <f>HYPERLINK("http://www.corstruth.com.au/NT/CSV/8423197_IDD19.csv","8423197_IDD19_CSV File 1m Bins")</f>
        <v>8423197_IDD19_CSV File 1m Bins</v>
      </c>
      <c r="D3398">
        <v>8423197</v>
      </c>
      <c r="E3398" t="s">
        <v>2165</v>
      </c>
      <c r="G3398" t="s">
        <v>2181</v>
      </c>
      <c r="I3398">
        <v>-13.813499999999999</v>
      </c>
      <c r="J3398">
        <v>131.821</v>
      </c>
    </row>
    <row r="3399" spans="1:11" x14ac:dyDescent="0.25">
      <c r="A3399" t="str">
        <f>HYPERLINK("http://www.corstruth.com.au/NT/8423209_MRB1_cs.png","8423209_MRB1_A4")</f>
        <v>8423209_MRB1_A4</v>
      </c>
      <c r="B3399" t="str">
        <f>HYPERLINK("http://www.corstruth.com.au/NT/PNG2/8423209_MRB1_cs.png","8423209_MRB1_0.25m Bins")</f>
        <v>8423209_MRB1_0.25m Bins</v>
      </c>
      <c r="C3399" t="str">
        <f>HYPERLINK("http://www.corstruth.com.au/NT/CSV/8423209_MRB1.csv","8423209_MRB1_CSV File 1m Bins")</f>
        <v>8423209_MRB1_CSV File 1m Bins</v>
      </c>
      <c r="D3399">
        <v>8423209</v>
      </c>
      <c r="E3399" t="s">
        <v>2165</v>
      </c>
      <c r="G3399" t="s">
        <v>2181</v>
      </c>
      <c r="I3399">
        <v>-12.9057</v>
      </c>
      <c r="J3399">
        <v>131.63800000000001</v>
      </c>
      <c r="K3399" t="str">
        <f>HYPERLINK("http://geology.data.nt.gov.au/NVCLDataServices/mosaic.html?datasetid=327ead09-0b40-4ea5-9812-2ba28dc211b","8423209_MRB1_Core Image")</f>
        <v>8423209_MRB1_Core Image</v>
      </c>
    </row>
    <row r="3400" spans="1:11" x14ac:dyDescent="0.25">
      <c r="A3400" t="str">
        <f>HYPERLINK("http://www.corstruth.com.au/NT/8423214_SAH1_cs.png","8423214_SAH1_A4")</f>
        <v>8423214_SAH1_A4</v>
      </c>
      <c r="B3400" t="str">
        <f>HYPERLINK("http://www.corstruth.com.au/NT/PNG2/8423214_SAH1_cs.png","8423214_SAH1_0.25m Bins")</f>
        <v>8423214_SAH1_0.25m Bins</v>
      </c>
      <c r="C3400" t="str">
        <f>HYPERLINK("http://www.corstruth.com.au/NT/CSV/8423214_SAH1.csv","8423214_SAH1_CSV File 1m Bins")</f>
        <v>8423214_SAH1_CSV File 1m Bins</v>
      </c>
      <c r="D3400">
        <v>8423214</v>
      </c>
      <c r="E3400" t="s">
        <v>2165</v>
      </c>
      <c r="G3400" t="s">
        <v>2181</v>
      </c>
      <c r="I3400">
        <v>-12.6332</v>
      </c>
      <c r="J3400">
        <v>132.60300000000001</v>
      </c>
      <c r="K3400" t="str">
        <f>HYPERLINK("http://geology.data.nt.gov.au/NVCLDataServices/mosaic.html?datasetid=33abf0ae-9931-4424-93a9-470013772c1","8423214_SAH1_Core Image")</f>
        <v>8423214_SAH1_Core Image</v>
      </c>
    </row>
    <row r="3401" spans="1:11" x14ac:dyDescent="0.25">
      <c r="A3401" t="str">
        <f>HYPERLINK("http://www.corstruth.com.au/NT/8423274_FEND14_cs.png","8423274_FEND14_A4")</f>
        <v>8423274_FEND14_A4</v>
      </c>
      <c r="B3401" t="str">
        <f>HYPERLINK("http://www.corstruth.com.au/NT/PNG2/8423274_FEND14_cs.png","8423274_FEND14_0.25m Bins")</f>
        <v>8423274_FEND14_0.25m Bins</v>
      </c>
      <c r="C3401" t="str">
        <f>HYPERLINK("http://www.corstruth.com.au/NT/CSV/8423274_FEND14.csv","8423274_FEND14_CSV File 1m Bins")</f>
        <v>8423274_FEND14_CSV File 1m Bins</v>
      </c>
      <c r="D3401">
        <v>8423274</v>
      </c>
      <c r="E3401" t="s">
        <v>2165</v>
      </c>
      <c r="G3401" t="s">
        <v>2181</v>
      </c>
      <c r="I3401">
        <v>-13.8024</v>
      </c>
      <c r="J3401">
        <v>131.285</v>
      </c>
    </row>
    <row r="3402" spans="1:11" x14ac:dyDescent="0.25">
      <c r="A3402" t="str">
        <f>HYPERLINK("http://www.corstruth.com.au/NT/8423278_FEND18_cs.png","8423278_FEND18_A4")</f>
        <v>8423278_FEND18_A4</v>
      </c>
      <c r="B3402" t="str">
        <f>HYPERLINK("http://www.corstruth.com.au/NT/PNG2/8423278_FEND18_cs.png","8423278_FEND18_0.25m Bins")</f>
        <v>8423278_FEND18_0.25m Bins</v>
      </c>
      <c r="C3402" t="str">
        <f>HYPERLINK("http://www.corstruth.com.au/NT/CSV/8423278_FEND18.csv","8423278_FEND18_CSV File 1m Bins")</f>
        <v>8423278_FEND18_CSV File 1m Bins</v>
      </c>
      <c r="D3402">
        <v>8423278</v>
      </c>
      <c r="E3402" t="s">
        <v>2165</v>
      </c>
      <c r="G3402" t="s">
        <v>2181</v>
      </c>
      <c r="I3402">
        <v>-13.813700000000001</v>
      </c>
      <c r="J3402">
        <v>131.28700000000001</v>
      </c>
    </row>
    <row r="3403" spans="1:11" x14ac:dyDescent="0.25">
      <c r="A3403" t="str">
        <f>HYPERLINK("http://www.corstruth.com.au/NT/8434913_TCD3001_cs.png","8434913_TCD3001_A4")</f>
        <v>8434913_TCD3001_A4</v>
      </c>
      <c r="B3403" t="str">
        <f>HYPERLINK("http://www.corstruth.com.au/NT/PNG2/8434913_TCD3001_cs.png","8434913_TCD3001_0.25m Bins")</f>
        <v>8434913_TCD3001_0.25m Bins</v>
      </c>
      <c r="C3403" t="str">
        <f>HYPERLINK("http://www.corstruth.com.au/NT/CSV/8434913_TCD3001.csv","8434913_TCD3001_CSV File 1m Bins")</f>
        <v>8434913_TCD3001_CSV File 1m Bins</v>
      </c>
      <c r="D3403">
        <v>8434913</v>
      </c>
      <c r="E3403" t="s">
        <v>2165</v>
      </c>
      <c r="G3403" t="s">
        <v>2181</v>
      </c>
      <c r="I3403">
        <v>-12.5587</v>
      </c>
      <c r="J3403">
        <v>133.07599999999999</v>
      </c>
      <c r="K3403" t="str">
        <f>HYPERLINK("http://geology.data.nt.gov.au/NVCLDataServices/mosaic.html?datasetid=56c3324a-756f-456e-b6ea-6ad054432d4","8434913_TCD3001_Core Image")</f>
        <v>8434913_TCD3001_Core Image</v>
      </c>
    </row>
    <row r="3404" spans="1:11" x14ac:dyDescent="0.25">
      <c r="A3404" t="str">
        <f>HYPERLINK("http://www.corstruth.com.au/NT/8434917_TCD3002_cs.png","8434917_TCD3002_A4")</f>
        <v>8434917_TCD3002_A4</v>
      </c>
      <c r="B3404" t="str">
        <f>HYPERLINK("http://www.corstruth.com.au/NT/PNG2/8434917_TCD3002_cs.png","8434917_TCD3002_0.25m Bins")</f>
        <v>8434917_TCD3002_0.25m Bins</v>
      </c>
      <c r="C3404" t="str">
        <f>HYPERLINK("http://www.corstruth.com.au/NT/CSV/8434917_TCD3002.csv","8434917_TCD3002_CSV File 1m Bins")</f>
        <v>8434917_TCD3002_CSV File 1m Bins</v>
      </c>
      <c r="D3404">
        <v>8434917</v>
      </c>
      <c r="E3404" t="s">
        <v>2165</v>
      </c>
      <c r="G3404" t="s">
        <v>2181</v>
      </c>
      <c r="I3404">
        <v>-12.581799999999999</v>
      </c>
      <c r="J3404">
        <v>133.07900000000001</v>
      </c>
      <c r="K3404" t="str">
        <f>HYPERLINK("http://geology.data.nt.gov.au/NVCLDataServices/mosaic.html?datasetid=7a88901e-ce85-466a-bff9-b63057d7e18","8434917_TCD3002_Core Image")</f>
        <v>8434917_TCD3002_Core Image</v>
      </c>
    </row>
    <row r="3405" spans="1:11" x14ac:dyDescent="0.25">
      <c r="A3405" t="str">
        <f>HYPERLINK("http://www.corstruth.com.au/NT/8434932_CDD0003_cs.png","8434932_CDD0003_A4")</f>
        <v>8434932_CDD0003_A4</v>
      </c>
      <c r="B3405" t="str">
        <f>HYPERLINK("http://www.corstruth.com.au/NT/PNG2/8434932_CDD0003_cs.png","8434932_CDD0003_0.25m Bins")</f>
        <v>8434932_CDD0003_0.25m Bins</v>
      </c>
      <c r="C3405" t="str">
        <f>HYPERLINK("http://www.corstruth.com.au/NT/CSV/8434932_CDD0003.csv","8434932_CDD0003_CSV File 1m Bins")</f>
        <v>8434932_CDD0003_CSV File 1m Bins</v>
      </c>
      <c r="D3405">
        <v>8434932</v>
      </c>
      <c r="E3405" t="s">
        <v>2165</v>
      </c>
      <c r="G3405" t="s">
        <v>2181</v>
      </c>
      <c r="I3405">
        <v>-12.339499999999999</v>
      </c>
      <c r="J3405">
        <v>133.52600000000001</v>
      </c>
    </row>
    <row r="3406" spans="1:11" x14ac:dyDescent="0.25">
      <c r="A3406" t="str">
        <f>HYPERLINK("http://www.corstruth.com.au/NT/8440693_03-BD-03_cs.png","8440693_03-BD-03_A4")</f>
        <v>8440693_03-BD-03_A4</v>
      </c>
      <c r="B3406" t="str">
        <f>HYPERLINK("http://www.corstruth.com.au/NT/PNG2/8440693_03-BD-03_cs.png","8440693_03-BD-03_0.25m Bins")</f>
        <v>8440693_03-BD-03_0.25m Bins</v>
      </c>
      <c r="C3406" t="str">
        <f>HYPERLINK("http://www.corstruth.com.au/NT/CSV/8440693_03-BD-03.csv","8440693_03-BD-03_CSV File 1m Bins")</f>
        <v>8440693_03-BD-03_CSV File 1m Bins</v>
      </c>
      <c r="D3406">
        <v>8440693</v>
      </c>
      <c r="E3406" t="s">
        <v>2165</v>
      </c>
      <c r="G3406" t="s">
        <v>2181</v>
      </c>
      <c r="I3406">
        <v>-12.9977</v>
      </c>
      <c r="J3406">
        <v>130.99600000000001</v>
      </c>
    </row>
    <row r="3407" spans="1:11" x14ac:dyDescent="0.25">
      <c r="A3407" t="str">
        <f>HYPERLINK("http://www.corstruth.com.au/NT/8440693_03-BD-03B_cs.png","8440693_03-BD-03B_A4")</f>
        <v>8440693_03-BD-03B_A4</v>
      </c>
      <c r="B3407" t="str">
        <f>HYPERLINK("http://www.corstruth.com.au/NT/PNG2/8440693_03-BD-03B_cs.png","8440693_03-BD-03B_0.25m Bins")</f>
        <v>8440693_03-BD-03B_0.25m Bins</v>
      </c>
      <c r="C3407" t="str">
        <f>HYPERLINK("http://www.corstruth.com.au/NT/CSV/8440693_03-BD-03B.csv","8440693_03-BD-03B_CSV File 1m Bins")</f>
        <v>8440693_03-BD-03B_CSV File 1m Bins</v>
      </c>
      <c r="D3407">
        <v>8440693</v>
      </c>
      <c r="E3407" t="s">
        <v>2165</v>
      </c>
      <c r="G3407" t="s">
        <v>2181</v>
      </c>
      <c r="I3407">
        <v>-12.9977</v>
      </c>
      <c r="J3407">
        <v>130.99600000000001</v>
      </c>
    </row>
    <row r="3408" spans="1:11" x14ac:dyDescent="0.25">
      <c r="A3408" t="str">
        <f>HYPERLINK("http://www.corstruth.com.au/NT/8440693_03-BD-03C_cs.png","8440693_03-BD-03C_A4")</f>
        <v>8440693_03-BD-03C_A4</v>
      </c>
      <c r="B3408" t="str">
        <f>HYPERLINK("http://www.corstruth.com.au/NT/PNG2/8440693_03-BD-03C_cs.png","8440693_03-BD-03C_0.25m Bins")</f>
        <v>8440693_03-BD-03C_0.25m Bins</v>
      </c>
      <c r="C3408" t="str">
        <f>HYPERLINK("http://www.corstruth.com.au/NT/CSV/8440693_03-BD-03C.csv","8440693_03-BD-03C_CSV File 1m Bins")</f>
        <v>8440693_03-BD-03C_CSV File 1m Bins</v>
      </c>
      <c r="D3408">
        <v>8440693</v>
      </c>
      <c r="E3408" t="s">
        <v>2165</v>
      </c>
      <c r="G3408" t="s">
        <v>2181</v>
      </c>
      <c r="I3408">
        <v>-12.9977</v>
      </c>
      <c r="J3408">
        <v>130.99600000000001</v>
      </c>
    </row>
    <row r="3409" spans="1:11" x14ac:dyDescent="0.25">
      <c r="A3409" t="str">
        <f>HYPERLINK("http://www.corstruth.com.au/NT/8440741_D003_cs.png","8440741_D003_A4")</f>
        <v>8440741_D003_A4</v>
      </c>
      <c r="B3409" t="str">
        <f>HYPERLINK("http://www.corstruth.com.au/NT/PNG2/8440741_D003_cs.png","8440741_D003_0.25m Bins")</f>
        <v>8440741_D003_0.25m Bins</v>
      </c>
      <c r="C3409" t="str">
        <f>HYPERLINK("http://www.corstruth.com.au/NT/CSV/8440741_D003.csv","8440741_D003_CSV File 1m Bins")</f>
        <v>8440741_D003_CSV File 1m Bins</v>
      </c>
      <c r="D3409">
        <v>8440741</v>
      </c>
      <c r="E3409" t="s">
        <v>2165</v>
      </c>
      <c r="G3409" t="s">
        <v>2181</v>
      </c>
      <c r="I3409">
        <v>-14.333500000000001</v>
      </c>
      <c r="J3409">
        <v>130.887</v>
      </c>
      <c r="K3409" t="str">
        <f>HYPERLINK("http://geology.data.nt.gov.au/NVCLDataServices/mosaic.html?datasetid=7bcfc30c-78e6-4af0-a524-83b1053f24e","8440741_D003_Core Image")</f>
        <v>8440741_D003_Core Image</v>
      </c>
    </row>
    <row r="3410" spans="1:11" x14ac:dyDescent="0.25">
      <c r="A3410" t="str">
        <f>HYPERLINK("http://www.corstruth.com.au/NT/8440745_D006_cs.png","8440745_D006_A4")</f>
        <v>8440745_D006_A4</v>
      </c>
      <c r="B3410" t="str">
        <f>HYPERLINK("http://www.corstruth.com.au/NT/PNG2/8440745_D006_cs.png","8440745_D006_0.25m Bins")</f>
        <v>8440745_D006_0.25m Bins</v>
      </c>
      <c r="C3410" t="str">
        <f>HYPERLINK("http://www.corstruth.com.au/NT/CSV/8440745_D006.csv","8440745_D006_CSV File 1m Bins")</f>
        <v>8440745_D006_CSV File 1m Bins</v>
      </c>
      <c r="D3410">
        <v>8440745</v>
      </c>
      <c r="E3410" t="s">
        <v>2165</v>
      </c>
      <c r="G3410" t="s">
        <v>2181</v>
      </c>
      <c r="I3410">
        <v>-14.333399999999999</v>
      </c>
      <c r="J3410">
        <v>130.893</v>
      </c>
      <c r="K3410" t="str">
        <f>HYPERLINK("http://geology.data.nt.gov.au/NVCLDataServices/mosaic.html?datasetid=4a271314-4ce8-4b90-bbbd-98616f4e72c","8440745_D006_Core Image")</f>
        <v>8440745_D006_Core Image</v>
      </c>
    </row>
    <row r="3411" spans="1:11" x14ac:dyDescent="0.25">
      <c r="A3411" t="str">
        <f>HYPERLINK("http://www.corstruth.com.au/NT/8440749_D007_cs.png","8440749_D007_A4")</f>
        <v>8440749_D007_A4</v>
      </c>
      <c r="B3411" t="str">
        <f>HYPERLINK("http://www.corstruth.com.au/NT/PNG2/8440749_D007_cs.png","8440749_D007_0.25m Bins")</f>
        <v>8440749_D007_0.25m Bins</v>
      </c>
      <c r="C3411" t="str">
        <f>HYPERLINK("http://www.corstruth.com.au/NT/CSV/8440749_D007.csv","8440749_D007_CSV File 1m Bins")</f>
        <v>8440749_D007_CSV File 1m Bins</v>
      </c>
      <c r="D3411">
        <v>8440749</v>
      </c>
      <c r="E3411" t="s">
        <v>2165</v>
      </c>
      <c r="G3411" t="s">
        <v>2181</v>
      </c>
      <c r="I3411">
        <v>-14.311199999999999</v>
      </c>
      <c r="J3411">
        <v>130.88300000000001</v>
      </c>
      <c r="K3411" t="str">
        <f>HYPERLINK("http://geology.data.nt.gov.au/NVCLDataServices/mosaic.html?datasetid=b76d9b50-573a-4fc1-8352-eee33111db6","8440749_D007_Core Image")</f>
        <v>8440749_D007_Core Image</v>
      </c>
    </row>
    <row r="3412" spans="1:11" x14ac:dyDescent="0.25">
      <c r="A3412" t="str">
        <f>HYPERLINK("http://www.corstruth.com.au/NT/8440753_D009_cs.png","8440753_D009_A4")</f>
        <v>8440753_D009_A4</v>
      </c>
      <c r="B3412" t="str">
        <f>HYPERLINK("http://www.corstruth.com.au/NT/PNG2/8440753_D009_cs.png","8440753_D009_0.25m Bins")</f>
        <v>8440753_D009_0.25m Bins</v>
      </c>
      <c r="C3412" t="str">
        <f>HYPERLINK("http://www.corstruth.com.au/NT/CSV/8440753_D009.csv","8440753_D009_CSV File 1m Bins")</f>
        <v>8440753_D009_CSV File 1m Bins</v>
      </c>
      <c r="D3412">
        <v>8440753</v>
      </c>
      <c r="E3412" t="s">
        <v>2165</v>
      </c>
      <c r="G3412" t="s">
        <v>2181</v>
      </c>
      <c r="I3412">
        <v>-14.2746</v>
      </c>
      <c r="J3412">
        <v>130.87100000000001</v>
      </c>
      <c r="K3412" t="str">
        <f>HYPERLINK("http://geology.data.nt.gov.au/NVCLDataServices/mosaic.html?datasetid=4d5a119d-4c5a-485c-8254-99bc84c7221","8440753_D009_Core Image")</f>
        <v>8440753_D009_Core Image</v>
      </c>
    </row>
    <row r="3413" spans="1:11" x14ac:dyDescent="0.25">
      <c r="A3413" t="str">
        <f>HYPERLINK("http://www.corstruth.com.au/NT/8440830_FEND10_cs.png","8440830_FEND10_A4")</f>
        <v>8440830_FEND10_A4</v>
      </c>
      <c r="B3413" t="str">
        <f>HYPERLINK("http://www.corstruth.com.au/NT/PNG2/8440830_FEND10_cs.png","8440830_FEND10_0.25m Bins")</f>
        <v>8440830_FEND10_0.25m Bins</v>
      </c>
      <c r="C3413" t="str">
        <f>HYPERLINK("http://www.corstruth.com.au/NT/CSV/8440830_FEND10.csv","8440830_FEND10_CSV File 1m Bins")</f>
        <v>8440830_FEND10_CSV File 1m Bins</v>
      </c>
      <c r="D3413">
        <v>8440830</v>
      </c>
      <c r="E3413" t="s">
        <v>2165</v>
      </c>
      <c r="G3413" t="s">
        <v>2181</v>
      </c>
      <c r="I3413">
        <v>-13.766</v>
      </c>
      <c r="J3413">
        <v>131.26300000000001</v>
      </c>
      <c r="K3413" t="str">
        <f>HYPERLINK("http://geology.data.nt.gov.au/NVCLDataServices/mosaic.html?datasetid=74e9e1dc-7511-4998-ba78-1030a324229","8440830_FEND10_Core Image")</f>
        <v>8440830_FEND10_Core Image</v>
      </c>
    </row>
    <row r="3414" spans="1:11" x14ac:dyDescent="0.25">
      <c r="A3414" t="str">
        <f>HYPERLINK("http://www.corstruth.com.au/NT/8440912_57W_cs.png","8440912_57W_A4")</f>
        <v>8440912_57W_A4</v>
      </c>
      <c r="B3414" t="str">
        <f>HYPERLINK("http://www.corstruth.com.au/NT/PNG2/8440912_57W_cs.png","8440912_57W_0.25m Bins")</f>
        <v>8440912_57W_0.25m Bins</v>
      </c>
      <c r="C3414" t="str">
        <f>HYPERLINK("http://www.corstruth.com.au/NT/CSV/8440912_57W.csv","8440912_57W_CSV File 1m Bins")</f>
        <v>8440912_57W_CSV File 1m Bins</v>
      </c>
      <c r="D3414">
        <v>8440912</v>
      </c>
      <c r="E3414" t="s">
        <v>2165</v>
      </c>
      <c r="G3414" t="s">
        <v>2181</v>
      </c>
      <c r="I3414">
        <v>-13.1724</v>
      </c>
      <c r="J3414">
        <v>130.60400000000001</v>
      </c>
    </row>
    <row r="3415" spans="1:11" x14ac:dyDescent="0.25">
      <c r="A3415" t="str">
        <f>HYPERLINK("http://www.corstruth.com.au/NT/8440917_58W_cs.png","8440917_58W_A4")</f>
        <v>8440917_58W_A4</v>
      </c>
      <c r="B3415" t="str">
        <f>HYPERLINK("http://www.corstruth.com.au/NT/PNG2/8440917_58W_cs.png","8440917_58W_0.25m Bins")</f>
        <v>8440917_58W_0.25m Bins</v>
      </c>
      <c r="C3415" t="str">
        <f>HYPERLINK("http://www.corstruth.com.au/NT/CSV/8440917_58W.csv","8440917_58W_CSV File 1m Bins")</f>
        <v>8440917_58W_CSV File 1m Bins</v>
      </c>
      <c r="D3415">
        <v>8440917</v>
      </c>
      <c r="E3415" t="s">
        <v>2165</v>
      </c>
      <c r="G3415" t="s">
        <v>2181</v>
      </c>
      <c r="I3415">
        <v>-13.189</v>
      </c>
      <c r="J3415">
        <v>130.59399999999999</v>
      </c>
    </row>
    <row r="3416" spans="1:11" x14ac:dyDescent="0.25">
      <c r="A3416" t="str">
        <f>HYPERLINK("http://www.corstruth.com.au/NT/8440921_67A_cs.png","8440921_67A_A4")</f>
        <v>8440921_67A_A4</v>
      </c>
      <c r="B3416" t="str">
        <f>HYPERLINK("http://www.corstruth.com.au/NT/PNG2/8440921_67A_cs.png","8440921_67A_0.25m Bins")</f>
        <v>8440921_67A_0.25m Bins</v>
      </c>
      <c r="C3416" t="str">
        <f>HYPERLINK("http://www.corstruth.com.au/NT/CSV/8440921_67A.csv","8440921_67A_CSV File 1m Bins")</f>
        <v>8440921_67A_CSV File 1m Bins</v>
      </c>
      <c r="D3416">
        <v>8440921</v>
      </c>
      <c r="E3416" t="s">
        <v>2165</v>
      </c>
      <c r="G3416" t="s">
        <v>2181</v>
      </c>
      <c r="I3416">
        <v>-13.2005</v>
      </c>
      <c r="J3416">
        <v>130.559</v>
      </c>
    </row>
    <row r="3417" spans="1:11" x14ac:dyDescent="0.25">
      <c r="A3417" t="str">
        <f>HYPERLINK("http://www.corstruth.com.au/NT/8445522_MDD003_cs.png","8445522_MDD003_A4")</f>
        <v>8445522_MDD003_A4</v>
      </c>
      <c r="B3417" t="str">
        <f>HYPERLINK("http://www.corstruth.com.au/NT/PNG2/8445522_MDD003_cs.png","8445522_MDD003_0.25m Bins")</f>
        <v>8445522_MDD003_0.25m Bins</v>
      </c>
      <c r="C3417" t="str">
        <f>HYPERLINK("http://www.corstruth.com.au/NT/CSV/8445522_MDD003.csv","8445522_MDD003_CSV File 1m Bins")</f>
        <v>8445522_MDD003_CSV File 1m Bins</v>
      </c>
      <c r="D3417">
        <v>8445522</v>
      </c>
      <c r="E3417" t="s">
        <v>2165</v>
      </c>
      <c r="G3417" t="s">
        <v>2181</v>
      </c>
      <c r="I3417">
        <v>-13.557499999999999</v>
      </c>
      <c r="J3417">
        <v>130.78100000000001</v>
      </c>
      <c r="K3417" t="str">
        <f>HYPERLINK("http://geology.data.nt.gov.au/NVCLDataServices/mosaic.html?datasetid=741ea0f6-fa8f-4d14-9272-61743d9e1c7","8445522_MDD003_Core Image")</f>
        <v>8445522_MDD003_Core Image</v>
      </c>
    </row>
    <row r="3418" spans="1:11" x14ac:dyDescent="0.25">
      <c r="A3418" t="str">
        <f>HYPERLINK("http://www.corstruth.com.au/NT/8446467_NA26_cs.png","8446467_NA26_A4")</f>
        <v>8446467_NA26_A4</v>
      </c>
      <c r="B3418" t="str">
        <f>HYPERLINK("http://www.corstruth.com.au/NT/PNG2/8446467_NA26_cs.png","8446467_NA26_0.25m Bins")</f>
        <v>8446467_NA26_0.25m Bins</v>
      </c>
      <c r="C3418" t="str">
        <f>HYPERLINK("http://www.corstruth.com.au/NT/CSV/8446467_NA26.csv","8446467_NA26_CSV File 1m Bins")</f>
        <v>8446467_NA26_CSV File 1m Bins</v>
      </c>
      <c r="D3418">
        <v>8446467</v>
      </c>
      <c r="E3418" t="s">
        <v>2165</v>
      </c>
      <c r="G3418" t="s">
        <v>2181</v>
      </c>
      <c r="I3418">
        <v>-12.309799999999999</v>
      </c>
      <c r="J3418">
        <v>133.322</v>
      </c>
    </row>
    <row r="3419" spans="1:11" x14ac:dyDescent="0.25">
      <c r="A3419" t="str">
        <f>HYPERLINK("http://www.corstruth.com.au/NT/8446471_NA35_cs.png","8446471_NA35_A4")</f>
        <v>8446471_NA35_A4</v>
      </c>
      <c r="B3419" t="str">
        <f>HYPERLINK("http://www.corstruth.com.au/NT/PNG2/8446471_NA35_cs.png","8446471_NA35_0.25m Bins")</f>
        <v>8446471_NA35_0.25m Bins</v>
      </c>
      <c r="C3419" t="str">
        <f>HYPERLINK("http://www.corstruth.com.au/NT/CSV/8446471_NA35.csv","8446471_NA35_CSV File 1m Bins")</f>
        <v>8446471_NA35_CSV File 1m Bins</v>
      </c>
      <c r="D3419">
        <v>8446471</v>
      </c>
      <c r="E3419" t="s">
        <v>2165</v>
      </c>
      <c r="G3419" t="s">
        <v>2181</v>
      </c>
      <c r="I3419">
        <v>-12.3103</v>
      </c>
      <c r="J3419">
        <v>133.322</v>
      </c>
      <c r="K3419" t="str">
        <f>HYPERLINK("http://geology.data.nt.gov.au/NVCLDataServices/mosaic.html?datasetid=a6610eff-d99f-4278-bf48-7c22f003483","8446471_NA35_Core Image")</f>
        <v>8446471_NA35_Core Image</v>
      </c>
    </row>
    <row r="3420" spans="1:11" x14ac:dyDescent="0.25">
      <c r="A3420" t="str">
        <f>HYPERLINK("http://www.corstruth.com.au/NT/8446475_NA83_cs.png","8446475_NA83_A4")</f>
        <v>8446475_NA83_A4</v>
      </c>
      <c r="B3420" t="str">
        <f>HYPERLINK("http://www.corstruth.com.au/NT/PNG2/8446475_NA83_cs.png","8446475_NA83_0.25m Bins")</f>
        <v>8446475_NA83_0.25m Bins</v>
      </c>
      <c r="C3420" t="str">
        <f>HYPERLINK("http://www.corstruth.com.au/NT/CSV/8446475_NA83.csv","8446475_NA83_CSV File 1m Bins")</f>
        <v>8446475_NA83_CSV File 1m Bins</v>
      </c>
      <c r="D3420">
        <v>8446475</v>
      </c>
      <c r="E3420" t="s">
        <v>2165</v>
      </c>
      <c r="G3420" t="s">
        <v>2181</v>
      </c>
      <c r="I3420">
        <v>-12.3093</v>
      </c>
      <c r="J3420">
        <v>133.32300000000001</v>
      </c>
      <c r="K3420" t="str">
        <f>HYPERLINK("http://geology.data.nt.gov.au/NVCLDataServices/mosaic.html?datasetid=94fb36a5-988e-423a-a6c0-d0e1cc1ab6b","8446475_NA83_Core Image")</f>
        <v>8446475_NA83_Core Image</v>
      </c>
    </row>
    <row r="3421" spans="1:11" x14ac:dyDescent="0.25">
      <c r="A3421" t="str">
        <f>HYPERLINK("http://www.corstruth.com.au/NT/8446479_NA88_cs.png","8446479_NA88_A4")</f>
        <v>8446479_NA88_A4</v>
      </c>
      <c r="B3421" t="str">
        <f>HYPERLINK("http://www.corstruth.com.au/NT/PNG2/8446479_NA88_cs.png","8446479_NA88_0.25m Bins")</f>
        <v>8446479_NA88_0.25m Bins</v>
      </c>
      <c r="C3421" t="str">
        <f>HYPERLINK("http://www.corstruth.com.au/NT/CSV/8446479_NA88.csv","8446479_NA88_CSV File 1m Bins")</f>
        <v>8446479_NA88_CSV File 1m Bins</v>
      </c>
      <c r="D3421">
        <v>8446479</v>
      </c>
      <c r="E3421" t="s">
        <v>2165</v>
      </c>
      <c r="G3421" t="s">
        <v>2181</v>
      </c>
      <c r="I3421">
        <v>-12.3102</v>
      </c>
      <c r="J3421">
        <v>133.322</v>
      </c>
      <c r="K3421" t="str">
        <f>HYPERLINK("http://geology.data.nt.gov.au/NVCLDataServices/mosaic.html?datasetid=f78d2316-1b4a-479b-bc11-184aabc875f","8446479_NA88_Core Image")</f>
        <v>8446479_NA88_Core Image</v>
      </c>
    </row>
    <row r="3422" spans="1:11" x14ac:dyDescent="0.25">
      <c r="A3422" t="str">
        <f>HYPERLINK("http://www.corstruth.com.au/NT/8446483_NA168_cs.png","8446483_NA168_A4")</f>
        <v>8446483_NA168_A4</v>
      </c>
      <c r="B3422" t="str">
        <f>HYPERLINK("http://www.corstruth.com.au/NT/PNG2/8446483_NA168_cs.png","8446483_NA168_0.25m Bins")</f>
        <v>8446483_NA168_0.25m Bins</v>
      </c>
      <c r="C3422" t="str">
        <f>HYPERLINK("http://www.corstruth.com.au/NT/CSV/8446483_NA168.csv","8446483_NA168_CSV File 1m Bins")</f>
        <v>8446483_NA168_CSV File 1m Bins</v>
      </c>
      <c r="D3422">
        <v>8446483</v>
      </c>
      <c r="E3422" t="s">
        <v>2165</v>
      </c>
      <c r="G3422" t="s">
        <v>2181</v>
      </c>
      <c r="I3422">
        <v>-12.310700000000001</v>
      </c>
      <c r="J3422">
        <v>133.32300000000001</v>
      </c>
      <c r="K3422" t="str">
        <f>HYPERLINK("http://geology.data.nt.gov.au/NVCLDataServices/mosaic.html?datasetid=e0be0aa0-0a73-4946-a487-73b23d58761","8446483_NA168_Core Image")</f>
        <v>8446483_NA168_Core Image</v>
      </c>
    </row>
    <row r="3423" spans="1:11" x14ac:dyDescent="0.25">
      <c r="A3423" t="str">
        <f>HYPERLINK("http://www.corstruth.com.au/NT/8446487_NA177_cs.png","8446487_NA177_A4")</f>
        <v>8446487_NA177_A4</v>
      </c>
      <c r="B3423" t="str">
        <f>HYPERLINK("http://www.corstruth.com.au/NT/PNG2/8446487_NA177_cs.png","8446487_NA177_0.25m Bins")</f>
        <v>8446487_NA177_0.25m Bins</v>
      </c>
      <c r="C3423" t="str">
        <f>HYPERLINK("http://www.corstruth.com.au/NT/CSV/8446487_NA177.csv","8446487_NA177_CSV File 1m Bins")</f>
        <v>8446487_NA177_CSV File 1m Bins</v>
      </c>
      <c r="D3423">
        <v>8446487</v>
      </c>
      <c r="E3423" t="s">
        <v>2165</v>
      </c>
      <c r="G3423" t="s">
        <v>2181</v>
      </c>
      <c r="I3423">
        <v>-12.309200000000001</v>
      </c>
      <c r="J3423">
        <v>133.321</v>
      </c>
      <c r="K3423" t="str">
        <f>HYPERLINK("http://geology.data.nt.gov.au/NVCLDataServices/mosaic.html?datasetid=7d8b5deb-bacb-4f74-a57c-c9f0c35997b","8446487_NA177_Core Image")</f>
        <v>8446487_NA177_Core Image</v>
      </c>
    </row>
    <row r="3424" spans="1:11" x14ac:dyDescent="0.25">
      <c r="A3424" t="str">
        <f>HYPERLINK("http://www.corstruth.com.au/NT/8446622_OBRD14_125_cs.png","8446622_OBRD14_125_A4")</f>
        <v>8446622_OBRD14_125_A4</v>
      </c>
      <c r="B3424" t="str">
        <f>HYPERLINK("http://www.corstruth.com.au/NT/PNG2/8446622_OBRD14_125_cs.png","8446622_OBRD14_125_0.25m Bins")</f>
        <v>8446622_OBRD14_125_0.25m Bins</v>
      </c>
      <c r="C3424" t="str">
        <f>HYPERLINK("http://www.corstruth.com.au/NT/CSV/8446622_OBRD14_125.csv","8446622_OBRD14_125_CSV File 1m Bins")</f>
        <v>8446622_OBRD14_125_CSV File 1m Bins</v>
      </c>
      <c r="D3424">
        <v>8446622</v>
      </c>
      <c r="E3424" t="s">
        <v>2165</v>
      </c>
      <c r="G3424" t="s">
        <v>2181</v>
      </c>
      <c r="I3424">
        <v>-12.5593</v>
      </c>
      <c r="J3424">
        <v>133.34399999999999</v>
      </c>
      <c r="K3424" t="str">
        <f>HYPERLINK("http://geology.data.nt.gov.au/NVCLDataServices/mosaic.html?datasetid=0f4a25d6-44a9-4464-a496-3363a600ea8","8446622_OBRD14_125_Core Image")</f>
        <v>8446622_OBRD14_125_Core Image</v>
      </c>
    </row>
    <row r="3425" spans="1:11" x14ac:dyDescent="0.25">
      <c r="A3425" t="str">
        <f>HYPERLINK("http://www.corstruth.com.au/NT/8446626_OBRD14_126_cs.png","8446626_OBRD14_126_A4")</f>
        <v>8446626_OBRD14_126_A4</v>
      </c>
      <c r="B3425" t="str">
        <f>HYPERLINK("http://www.corstruth.com.au/NT/PNG2/8446626_OBRD14_126_cs.png","8446626_OBRD14_126_0.25m Bins")</f>
        <v>8446626_OBRD14_126_0.25m Bins</v>
      </c>
      <c r="C3425" t="str">
        <f>HYPERLINK("http://www.corstruth.com.au/NT/CSV/8446626_OBRD14_126.csv","8446626_OBRD14_126_CSV File 1m Bins")</f>
        <v>8446626_OBRD14_126_CSV File 1m Bins</v>
      </c>
      <c r="D3425">
        <v>8446626</v>
      </c>
      <c r="E3425" t="s">
        <v>2165</v>
      </c>
      <c r="G3425" t="s">
        <v>2181</v>
      </c>
      <c r="I3425">
        <v>-12.557499999999999</v>
      </c>
      <c r="J3425">
        <v>133.34299999999999</v>
      </c>
      <c r="K3425" t="str">
        <f>HYPERLINK("http://geology.data.nt.gov.au/NVCLDataServices/mosaic.html?datasetid=911dfe81-bf9b-41d1-833f-4ea095b869f","8446626_OBRD14_126_Core Image")</f>
        <v>8446626_OBRD14_126_Core Image</v>
      </c>
    </row>
    <row r="3426" spans="1:11" x14ac:dyDescent="0.25">
      <c r="A3426" t="str">
        <f>HYPERLINK("http://www.corstruth.com.au/NT/8446630_OBRD14_127_cs.png","8446630_OBRD14_127_A4")</f>
        <v>8446630_OBRD14_127_A4</v>
      </c>
      <c r="B3426" t="str">
        <f>HYPERLINK("http://www.corstruth.com.au/NT/PNG2/8446630_OBRD14_127_cs.png","8446630_OBRD14_127_0.25m Bins")</f>
        <v>8446630_OBRD14_127_0.25m Bins</v>
      </c>
      <c r="C3426" t="str">
        <f>HYPERLINK("http://www.corstruth.com.au/NT/CSV/8446630_OBRD14_127.csv","8446630_OBRD14_127_CSV File 1m Bins")</f>
        <v>8446630_OBRD14_127_CSV File 1m Bins</v>
      </c>
      <c r="D3426">
        <v>8446630</v>
      </c>
      <c r="E3426" t="s">
        <v>2165</v>
      </c>
      <c r="G3426" t="s">
        <v>2181</v>
      </c>
      <c r="I3426">
        <v>-12.535399999999999</v>
      </c>
      <c r="J3426">
        <v>133.36699999999999</v>
      </c>
      <c r="K3426" t="str">
        <f>HYPERLINK("http://geology.data.nt.gov.au/NVCLDataServices/mosaic.html?datasetid=5e5de922-d799-43b0-99a5-4172e9f86aa","8446630_OBRD14_127_Core Image")</f>
        <v>8446630_OBRD14_127_Core Image</v>
      </c>
    </row>
    <row r="3427" spans="1:11" x14ac:dyDescent="0.25">
      <c r="A3427" t="str">
        <f>HYPERLINK("http://www.corstruth.com.au/NT/8446634_OBRD14_128_cs.png","8446634_OBRD14_128_A4")</f>
        <v>8446634_OBRD14_128_A4</v>
      </c>
      <c r="B3427" t="str">
        <f>HYPERLINK("http://www.corstruth.com.au/NT/PNG2/8446634_OBRD14_128_cs.png","8446634_OBRD14_128_0.25m Bins")</f>
        <v>8446634_OBRD14_128_0.25m Bins</v>
      </c>
      <c r="C3427" t="str">
        <f>HYPERLINK("http://www.corstruth.com.au/NT/CSV/8446634_OBRD14_128.csv","8446634_OBRD14_128_CSV File 1m Bins")</f>
        <v>8446634_OBRD14_128_CSV File 1m Bins</v>
      </c>
      <c r="D3427">
        <v>8446634</v>
      </c>
      <c r="E3427" t="s">
        <v>2165</v>
      </c>
      <c r="G3427" t="s">
        <v>2181</v>
      </c>
      <c r="I3427">
        <v>-12.5379</v>
      </c>
      <c r="J3427">
        <v>133.364</v>
      </c>
      <c r="K3427" t="str">
        <f>HYPERLINK("http://geology.data.nt.gov.au/NVCLDataServices/mosaic.html?datasetid=be7c349d-601a-4a05-9d39-9ee02822fb0","8446634_OBRD14_128_Core Image")</f>
        <v>8446634_OBRD14_128_Core Image</v>
      </c>
    </row>
    <row r="3428" spans="1:11" x14ac:dyDescent="0.25">
      <c r="A3428" t="str">
        <f>HYPERLINK("http://www.corstruth.com.au/NT/8446834_WRDD0127_cs.png","8446834_WRDD0127_A4")</f>
        <v>8446834_WRDD0127_A4</v>
      </c>
      <c r="B3428" t="str">
        <f>HYPERLINK("http://www.corstruth.com.au/NT/PNG2/8446834_WRDD0127_cs.png","8446834_WRDD0127_0.25m Bins")</f>
        <v>8446834_WRDD0127_0.25m Bins</v>
      </c>
      <c r="C3428" t="str">
        <f>HYPERLINK("http://www.corstruth.com.au/NT/CSV/8446834_WRDD0127.csv","8446834_WRDD0127_CSV File 1m Bins")</f>
        <v>8446834_WRDD0127_CSV File 1m Bins</v>
      </c>
      <c r="D3428">
        <v>8446834</v>
      </c>
      <c r="E3428" t="s">
        <v>2165</v>
      </c>
      <c r="G3428" t="s">
        <v>2181</v>
      </c>
      <c r="I3428">
        <v>-11.994199999999999</v>
      </c>
      <c r="J3428">
        <v>133.07599999999999</v>
      </c>
      <c r="K3428" t="str">
        <f>HYPERLINK("http://geology.data.nt.gov.au/NVCLDataServices/mosaic.html?datasetid=2fda8d67-d9a1-4778-9809-63137790926","8446834_WRDD0127_Core Image")</f>
        <v>8446834_WRDD0127_Core Image</v>
      </c>
    </row>
    <row r="3429" spans="1:11" x14ac:dyDescent="0.25">
      <c r="A3429" t="str">
        <f>HYPERLINK("http://www.corstruth.com.au/NT/8446842_WRDD0129_cs.png","8446842_WRDD0129_A4")</f>
        <v>8446842_WRDD0129_A4</v>
      </c>
      <c r="B3429" t="str">
        <f>HYPERLINK("http://www.corstruth.com.au/NT/PNG2/8446842_WRDD0129_cs.png","8446842_WRDD0129_0.25m Bins")</f>
        <v>8446842_WRDD0129_0.25m Bins</v>
      </c>
      <c r="C3429" t="str">
        <f>HYPERLINK("http://www.corstruth.com.au/NT/CSV/8446842_WRDD0129.csv","8446842_WRDD0129_CSV File 1m Bins")</f>
        <v>8446842_WRDD0129_CSV File 1m Bins</v>
      </c>
      <c r="D3429">
        <v>8446842</v>
      </c>
      <c r="E3429" t="s">
        <v>2165</v>
      </c>
      <c r="G3429" t="s">
        <v>2181</v>
      </c>
      <c r="I3429">
        <v>-11.548400000000001</v>
      </c>
      <c r="J3429">
        <v>133.024</v>
      </c>
      <c r="K3429" t="str">
        <f>HYPERLINK("http://geology.data.nt.gov.au/NVCLDataServices/mosaic.html?datasetid=9167be91-0ff6-4c5b-9834-591812e838d","8446842_WRDD0129_Core Image")</f>
        <v>8446842_WRDD0129_Core Image</v>
      </c>
    </row>
    <row r="3430" spans="1:11" x14ac:dyDescent="0.25">
      <c r="A3430" t="str">
        <f>HYPERLINK("http://www.corstruth.com.au/NT/8446850_WRDD0131_cs.png","8446850_WRDD0131_A4")</f>
        <v>8446850_WRDD0131_A4</v>
      </c>
      <c r="B3430" t="str">
        <f>HYPERLINK("http://www.corstruth.com.au/NT/PNG2/8446850_WRDD0131_cs.png","8446850_WRDD0131_0.25m Bins")</f>
        <v>8446850_WRDD0131_0.25m Bins</v>
      </c>
      <c r="C3430" t="str">
        <f>HYPERLINK("http://www.corstruth.com.au/NT/CSV/8446850_WRDD0131.csv","8446850_WRDD0131_CSV File 1m Bins")</f>
        <v>8446850_WRDD0131_CSV File 1m Bins</v>
      </c>
      <c r="D3430">
        <v>8446850</v>
      </c>
      <c r="E3430" t="s">
        <v>2165</v>
      </c>
      <c r="G3430" t="s">
        <v>2181</v>
      </c>
      <c r="I3430">
        <v>-11.605399999999999</v>
      </c>
      <c r="J3430">
        <v>133.018</v>
      </c>
      <c r="K3430" t="str">
        <f>HYPERLINK("http://geology.data.nt.gov.au/NVCLDataServices/mosaic.html?datasetid=0b21bc3e-f5b7-4037-b32b-a670224a482","8446850_WRDD0131_Core Image")</f>
        <v>8446850_WRDD0131_Core Image</v>
      </c>
    </row>
    <row r="3431" spans="1:11" x14ac:dyDescent="0.25">
      <c r="A3431" t="str">
        <f>HYPERLINK("http://www.corstruth.com.au/NT/8446858_WRDD0132_cs.png","8446858_WRDD0132_A4")</f>
        <v>8446858_WRDD0132_A4</v>
      </c>
      <c r="B3431" t="str">
        <f>HYPERLINK("http://www.corstruth.com.au/NT/PNG2/8446858_WRDD0132_cs.png","8446858_WRDD0132_0.25m Bins")</f>
        <v>8446858_WRDD0132_0.25m Bins</v>
      </c>
      <c r="C3431" t="str">
        <f>HYPERLINK("http://www.corstruth.com.au/NT/CSV/8446858_WRDD0132.csv","8446858_WRDD0132_CSV File 1m Bins")</f>
        <v>8446858_WRDD0132_CSV File 1m Bins</v>
      </c>
      <c r="D3431">
        <v>8446858</v>
      </c>
      <c r="E3431" t="s">
        <v>2165</v>
      </c>
      <c r="G3431" t="s">
        <v>2181</v>
      </c>
      <c r="I3431">
        <v>-11.696999999999999</v>
      </c>
      <c r="J3431">
        <v>133.09899999999999</v>
      </c>
      <c r="K3431" t="str">
        <f>HYPERLINK("http://geology.data.nt.gov.au/NVCLDataServices/mosaic.html?datasetid=55674b6c-496e-4466-bac1-ce6b7846fd4","8446858_WRDD0132_Core Image")</f>
        <v>8446858_WRDD0132_Core Image</v>
      </c>
    </row>
    <row r="3432" spans="1:11" x14ac:dyDescent="0.25">
      <c r="A3432" t="str">
        <f>HYPERLINK("http://www.corstruth.com.au/NT/8447006_DDFD1_cs.png","8447006_DDFD1_A4")</f>
        <v>8447006_DDFD1_A4</v>
      </c>
      <c r="B3432" t="str">
        <f>HYPERLINK("http://www.corstruth.com.au/NT/PNG2/8447006_DDFD1_cs.png","8447006_DDFD1_0.25m Bins")</f>
        <v>8447006_DDFD1_0.25m Bins</v>
      </c>
      <c r="C3432" t="str">
        <f>HYPERLINK("http://www.corstruth.com.au/NT/CSV/8447006_DDFD1.csv","8447006_DDFD1_CSV File 1m Bins")</f>
        <v>8447006_DDFD1_CSV File 1m Bins</v>
      </c>
      <c r="D3432">
        <v>8447006</v>
      </c>
      <c r="E3432" t="s">
        <v>2165</v>
      </c>
      <c r="G3432" t="s">
        <v>2181</v>
      </c>
      <c r="I3432">
        <v>-12.525</v>
      </c>
      <c r="J3432">
        <v>131.357</v>
      </c>
    </row>
    <row r="3433" spans="1:11" x14ac:dyDescent="0.25">
      <c r="A3433" t="str">
        <f>HYPERLINK("http://www.corstruth.com.au/NT/8447013_WP1_S1_cs.png","8447013_WP1_S1_A4")</f>
        <v>8447013_WP1_S1_A4</v>
      </c>
      <c r="B3433" t="str">
        <f>HYPERLINK("http://www.corstruth.com.au/NT/PNG2/8447013_WP1_S1_cs.png","8447013_WP1_S1_0.25m Bins")</f>
        <v>8447013_WP1_S1_0.25m Bins</v>
      </c>
      <c r="C3433" t="str">
        <f>HYPERLINK("http://www.corstruth.com.au/NT/CSV/8447013_WP1_S1.csv","8447013_WP1_S1_CSV File 1m Bins")</f>
        <v>8447013_WP1_S1_CSV File 1m Bins</v>
      </c>
      <c r="D3433">
        <v>8447013</v>
      </c>
      <c r="E3433" t="s">
        <v>2165</v>
      </c>
      <c r="G3433" t="s">
        <v>2181</v>
      </c>
      <c r="I3433">
        <v>-12.3443</v>
      </c>
      <c r="J3433">
        <v>131.399</v>
      </c>
    </row>
    <row r="3434" spans="1:11" x14ac:dyDescent="0.25">
      <c r="A3434" t="str">
        <f>HYPERLINK("http://www.corstruth.com.au/NT/8447024_DAW0006_cs.png","8447024_DAW0006_A4")</f>
        <v>8447024_DAW0006_A4</v>
      </c>
      <c r="B3434" t="str">
        <f>HYPERLINK("http://www.corstruth.com.au/NT/PNG2/8447024_DAW0006_cs.png","8447024_DAW0006_0.25m Bins")</f>
        <v>8447024_DAW0006_0.25m Bins</v>
      </c>
      <c r="C3434" t="str">
        <f>HYPERLINK("http://www.corstruth.com.au/NT/CSV/8447024_DAW0006.csv","8447024_DAW0006_CSV File 1m Bins")</f>
        <v>8447024_DAW0006_CSV File 1m Bins</v>
      </c>
      <c r="D3434">
        <v>8447024</v>
      </c>
      <c r="E3434" t="s">
        <v>2165</v>
      </c>
      <c r="G3434" t="s">
        <v>2181</v>
      </c>
      <c r="I3434">
        <v>-13.547599999999999</v>
      </c>
      <c r="J3434">
        <v>133.376</v>
      </c>
    </row>
    <row r="3435" spans="1:11" x14ac:dyDescent="0.25">
      <c r="A3435" t="str">
        <f>HYPERLINK("http://www.corstruth.com.au/NT/8447036_WRDD0134_cs.png","8447036_WRDD0134_A4")</f>
        <v>8447036_WRDD0134_A4</v>
      </c>
      <c r="B3435" t="str">
        <f>HYPERLINK("http://www.corstruth.com.au/NT/PNG2/8447036_WRDD0134_cs.png","8447036_WRDD0134_0.25m Bins")</f>
        <v>8447036_WRDD0134_0.25m Bins</v>
      </c>
      <c r="C3435" t="str">
        <f>HYPERLINK("http://www.corstruth.com.au/NT/CSV/8447036_WRDD0134.csv","8447036_WRDD0134_CSV File 1m Bins")</f>
        <v>8447036_WRDD0134_CSV File 1m Bins</v>
      </c>
      <c r="D3435">
        <v>8447036</v>
      </c>
      <c r="E3435" t="s">
        <v>2165</v>
      </c>
      <c r="G3435" t="s">
        <v>2181</v>
      </c>
      <c r="I3435">
        <v>-11.738799999999999</v>
      </c>
      <c r="J3435">
        <v>133.16399999999999</v>
      </c>
      <c r="K3435" t="str">
        <f>HYPERLINK("http://geology.data.nt.gov.au/NVCLDataServices/mosaic.html?datasetid=f35adf1a-2eb0-46e2-a33b-a621266d029","8447036_WRDD0134_Core Image")</f>
        <v>8447036_WRDD0134_Core Image</v>
      </c>
    </row>
    <row r="3436" spans="1:11" x14ac:dyDescent="0.25">
      <c r="A3436" t="str">
        <f>HYPERLINK("http://www.corstruth.com.au/NT/8447037_WRDD0136_cs.png","8447037_WRDD0136_A4")</f>
        <v>8447037_WRDD0136_A4</v>
      </c>
      <c r="B3436" t="str">
        <f>HYPERLINK("http://www.corstruth.com.au/NT/PNG2/8447037_WRDD0136_cs.png","8447037_WRDD0136_0.25m Bins")</f>
        <v>8447037_WRDD0136_0.25m Bins</v>
      </c>
      <c r="C3436" t="str">
        <f>HYPERLINK("http://www.corstruth.com.au/NT/CSV/8447037_WRDD0136.csv","8447037_WRDD0136_CSV File 1m Bins")</f>
        <v>8447037_WRDD0136_CSV File 1m Bins</v>
      </c>
      <c r="D3436">
        <v>8447037</v>
      </c>
      <c r="E3436" t="s">
        <v>2165</v>
      </c>
      <c r="G3436" t="s">
        <v>2181</v>
      </c>
      <c r="I3436">
        <v>-11.8277</v>
      </c>
      <c r="J3436">
        <v>133.095</v>
      </c>
      <c r="K3436" t="str">
        <f>HYPERLINK("http://geology.data.nt.gov.au/NVCLDataServices/mosaic.html?datasetid=d3812aab-d89f-4c99-afa4-a7129a76b7e","8447037_WRDD0136_Core Image")</f>
        <v>8447037_WRDD0136_Core Image</v>
      </c>
    </row>
    <row r="3437" spans="1:11" x14ac:dyDescent="0.25">
      <c r="A3437" t="str">
        <f>HYPERLINK("http://www.corstruth.com.au/NT/8447038_WRDD0138_cs.png","8447038_WRDD0138_A4")</f>
        <v>8447038_WRDD0138_A4</v>
      </c>
      <c r="B3437" t="str">
        <f>HYPERLINK("http://www.corstruth.com.au/NT/PNG2/8447038_WRDD0138_cs.png","8447038_WRDD0138_0.25m Bins")</f>
        <v>8447038_WRDD0138_0.25m Bins</v>
      </c>
      <c r="C3437" t="str">
        <f>HYPERLINK("http://www.corstruth.com.au/NT/CSV/8447038_WRDD0138.csv","8447038_WRDD0138_CSV File 1m Bins")</f>
        <v>8447038_WRDD0138_CSV File 1m Bins</v>
      </c>
      <c r="D3437">
        <v>8447038</v>
      </c>
      <c r="E3437" t="s">
        <v>2165</v>
      </c>
      <c r="G3437" t="s">
        <v>2181</v>
      </c>
      <c r="I3437">
        <v>-11.5908</v>
      </c>
      <c r="J3437">
        <v>133.024</v>
      </c>
      <c r="K3437" t="str">
        <f>HYPERLINK("http://geology.data.nt.gov.au/NVCLDataServices/mosaic.html?datasetid=dbea4d25-0324-402f-99cc-d5ce1d2cf39","8447038_WRDD0138_Core Image")</f>
        <v>8447038_WRDD0138_Core Image</v>
      </c>
    </row>
    <row r="3438" spans="1:11" x14ac:dyDescent="0.25">
      <c r="A3438" t="str">
        <f>HYPERLINK("http://www.corstruth.com.au/NT/8458271_STDH03_cs.png","8458271_STDH03_A4")</f>
        <v>8458271_STDH03_A4</v>
      </c>
      <c r="B3438" t="str">
        <f>HYPERLINK("http://www.corstruth.com.au/NT/PNG2/8458271_STDH03_cs.png","8458271_STDH03_0.25m Bins")</f>
        <v>8458271_STDH03_0.25m Bins</v>
      </c>
      <c r="C3438" t="str">
        <f>HYPERLINK("http://www.corstruth.com.au/NT/CSV/8458271_STDH03.csv","8458271_STDH03_CSV File 1m Bins")</f>
        <v>8458271_STDH03_CSV File 1m Bins</v>
      </c>
      <c r="D3438">
        <v>8458271</v>
      </c>
      <c r="E3438" t="s">
        <v>2165</v>
      </c>
      <c r="G3438" t="s">
        <v>2181</v>
      </c>
      <c r="I3438">
        <v>-14.341100000000001</v>
      </c>
      <c r="J3438">
        <v>131.03700000000001</v>
      </c>
      <c r="K3438" t="str">
        <f>HYPERLINK("http://geology.data.nt.gov.au/NVCLDataServices/mosaic.html?datasetid=caded581-ea96-403a-8a5c-a1b51b95621","8458271_STDH03_Core Image")</f>
        <v>8458271_STDH03_Core Image</v>
      </c>
    </row>
    <row r="3439" spans="1:11" x14ac:dyDescent="0.25">
      <c r="A3439" t="str">
        <f>HYPERLINK("http://www.corstruth.com.au/NT/8470633_TCDD001_cs.png","8470633_TCDD001_A4")</f>
        <v>8470633_TCDD001_A4</v>
      </c>
      <c r="B3439" t="str">
        <f>HYPERLINK("http://www.corstruth.com.au/NT/PNG2/8470633_TCDD001_cs.png","8470633_TCDD001_0.25m Bins")</f>
        <v>8470633_TCDD001_0.25m Bins</v>
      </c>
      <c r="C3439" t="str">
        <f>HYPERLINK("http://www.corstruth.com.au/NT/CSV/8470633_TCDD001.csv","8470633_TCDD001_CSV File 1m Bins")</f>
        <v>8470633_TCDD001_CSV File 1m Bins</v>
      </c>
      <c r="D3439">
        <v>8470633</v>
      </c>
      <c r="E3439" t="s">
        <v>2165</v>
      </c>
      <c r="G3439" t="s">
        <v>2181</v>
      </c>
      <c r="I3439">
        <v>-14.4681</v>
      </c>
      <c r="J3439">
        <v>132.453</v>
      </c>
      <c r="K3439" t="str">
        <f>HYPERLINK("http://geology.data.nt.gov.au/NVCLDataServices/mosaic.html?datasetid=697b5cae-bcf3-4dc7-b6d2-de7c78f560c","8470633_TCDD001_Core Image")</f>
        <v>8470633_TCDD001_Core Image</v>
      </c>
    </row>
    <row r="3440" spans="1:11" x14ac:dyDescent="0.25">
      <c r="A3440" t="str">
        <f>HYPERLINK("http://www.corstruth.com.au/NT/8470634_TCDD002_cs.png","8470634_TCDD002_A4")</f>
        <v>8470634_TCDD002_A4</v>
      </c>
      <c r="B3440" t="str">
        <f>HYPERLINK("http://www.corstruth.com.au/NT/PNG2/8470634_TCDD002_cs.png","8470634_TCDD002_0.25m Bins")</f>
        <v>8470634_TCDD002_0.25m Bins</v>
      </c>
      <c r="C3440" t="str">
        <f>HYPERLINK("http://www.corstruth.com.au/NT/CSV/8470634_TCDD002.csv","8470634_TCDD002_CSV File 1m Bins")</f>
        <v>8470634_TCDD002_CSV File 1m Bins</v>
      </c>
      <c r="D3440">
        <v>8470634</v>
      </c>
      <c r="E3440" t="s">
        <v>2165</v>
      </c>
      <c r="G3440" t="s">
        <v>2181</v>
      </c>
      <c r="I3440">
        <v>-14.474500000000001</v>
      </c>
      <c r="J3440">
        <v>132.43899999999999</v>
      </c>
      <c r="K3440" t="str">
        <f>HYPERLINK("http://geology.data.nt.gov.au/NVCLDataServices/mosaic.html?datasetid=baad56ca-d861-4d76-a52f-f9d078fdcd2","8470634_TCDD002_Core Image")</f>
        <v>8470634_TCDD002_Core Image</v>
      </c>
    </row>
    <row r="3441" spans="1:11" x14ac:dyDescent="0.25">
      <c r="A3441" t="str">
        <f>HYPERLINK("http://www.corstruth.com.au/NT/8470635_BADD001_cs.png","8470635_BADD001_A4")</f>
        <v>8470635_BADD001_A4</v>
      </c>
      <c r="B3441" t="str">
        <f>HYPERLINK("http://www.corstruth.com.au/NT/PNG2/8470635_BADD001_cs.png","8470635_BADD001_0.25m Bins")</f>
        <v>8470635_BADD001_0.25m Bins</v>
      </c>
      <c r="C3441" t="str">
        <f>HYPERLINK("http://www.corstruth.com.au/NT/CSV/8470635_BADD001.csv","8470635_BADD001_CSV File 1m Bins")</f>
        <v>8470635_BADD001_CSV File 1m Bins</v>
      </c>
      <c r="D3441">
        <v>8470635</v>
      </c>
      <c r="E3441" t="s">
        <v>2165</v>
      </c>
      <c r="G3441" t="s">
        <v>2181</v>
      </c>
      <c r="I3441">
        <v>-13.326700000000001</v>
      </c>
      <c r="J3441">
        <v>131.36600000000001</v>
      </c>
      <c r="K3441" t="str">
        <f>HYPERLINK("http://geology.data.nt.gov.au/NVCLDataServices/mosaic.html?datasetid=0ede1ff0-88e3-4763-92be-a3a75f60f08","8470635_BADD001_Core Image")</f>
        <v>8470635_BADD001_Core Image</v>
      </c>
    </row>
    <row r="3442" spans="1:11" x14ac:dyDescent="0.25">
      <c r="A3442" t="str">
        <f>HYPERLINK("http://www.corstruth.com.au/NT/8470636_BADD002_cs.png","8470636_BADD002_A4")</f>
        <v>8470636_BADD002_A4</v>
      </c>
      <c r="B3442" t="str">
        <f>HYPERLINK("http://www.corstruth.com.au/NT/PNG2/8470636_BADD002_cs.png","8470636_BADD002_0.25m Bins")</f>
        <v>8470636_BADD002_0.25m Bins</v>
      </c>
      <c r="C3442" t="str">
        <f>HYPERLINK("http://www.corstruth.com.au/NT/CSV/8470636_BADD002.csv","8470636_BADD002_CSV File 1m Bins")</f>
        <v>8470636_BADD002_CSV File 1m Bins</v>
      </c>
      <c r="D3442">
        <v>8470636</v>
      </c>
      <c r="E3442" t="s">
        <v>2165</v>
      </c>
      <c r="G3442" t="s">
        <v>2181</v>
      </c>
      <c r="I3442">
        <v>-13.3195</v>
      </c>
      <c r="J3442">
        <v>131.36600000000001</v>
      </c>
      <c r="K3442" t="str">
        <f>HYPERLINK("http://geology.data.nt.gov.au/NVCLDataServices/mosaic.html?datasetid=340fc306-2a50-462f-84ee-7357f349b73","8470636_BADD002_Core Image")</f>
        <v>8470636_BADD002_Core Image</v>
      </c>
    </row>
    <row r="3443" spans="1:11" x14ac:dyDescent="0.25">
      <c r="A3443" t="str">
        <f>HYPERLINK("http://www.corstruth.com.au/NT/8471139_NA4_cs.png","8471139_NA4_A4")</f>
        <v>8471139_NA4_A4</v>
      </c>
      <c r="B3443" t="str">
        <f>HYPERLINK("http://www.corstruth.com.au/NT/PNG2/8471139_NA4_cs.png","8471139_NA4_0.25m Bins")</f>
        <v>8471139_NA4_0.25m Bins</v>
      </c>
      <c r="C3443" t="str">
        <f>HYPERLINK("http://www.corstruth.com.au/NT/CSV/8471139_NA4.csv","8471139_NA4_CSV File 1m Bins")</f>
        <v>8471139_NA4_CSV File 1m Bins</v>
      </c>
      <c r="D3443">
        <v>8471139</v>
      </c>
      <c r="E3443" t="s">
        <v>2165</v>
      </c>
      <c r="G3443" t="s">
        <v>2181</v>
      </c>
      <c r="I3443">
        <v>-12.309699999999999</v>
      </c>
      <c r="J3443">
        <v>133.322</v>
      </c>
    </row>
    <row r="3444" spans="1:11" x14ac:dyDescent="0.25">
      <c r="A3444" t="str">
        <f>HYPERLINK("http://www.corstruth.com.au/NT/8487932_PCDD001_cs.png","8487932_PCDD001_A4")</f>
        <v>8487932_PCDD001_A4</v>
      </c>
      <c r="B3444" t="str">
        <f>HYPERLINK("http://www.corstruth.com.au/NT/PNG2/8487932_PCDD001_cs.png","8487932_PCDD001_0.25m Bins")</f>
        <v>8487932_PCDD001_0.25m Bins</v>
      </c>
      <c r="C3444" t="str">
        <f>HYPERLINK("http://www.corstruth.com.au/NT/CSV/8487932_PCDD001.csv","8487932_PCDD001_CSV File 1m Bins")</f>
        <v>8487932_PCDD001_CSV File 1m Bins</v>
      </c>
      <c r="D3444">
        <v>8487932</v>
      </c>
      <c r="E3444" t="s">
        <v>2165</v>
      </c>
      <c r="G3444" t="s">
        <v>2181</v>
      </c>
      <c r="I3444">
        <v>-13.813700000000001</v>
      </c>
      <c r="J3444">
        <v>131.28800000000001</v>
      </c>
    </row>
    <row r="3445" spans="1:11" x14ac:dyDescent="0.25">
      <c r="A3445" t="str">
        <f>HYPERLINK("http://www.corstruth.com.au/NT/8573742_TPCRD065B_cs.png","8573742_TPCRD065B_A4")</f>
        <v>8573742_TPCRD065B_A4</v>
      </c>
      <c r="D3445">
        <v>8573742</v>
      </c>
      <c r="E3445" t="s">
        <v>2165</v>
      </c>
      <c r="G3445" t="s">
        <v>2181</v>
      </c>
      <c r="I3445">
        <v>-13.5427</v>
      </c>
      <c r="J3445">
        <v>131.52000000000001</v>
      </c>
    </row>
    <row r="3446" spans="1:11" x14ac:dyDescent="0.25">
      <c r="A3446" t="str">
        <f>HYPERLINK("http://www.corstruth.com.au/NT/8573743_TPCRD069_cs.png","8573743_TPCRD069_A4")</f>
        <v>8573743_TPCRD069_A4</v>
      </c>
      <c r="D3446">
        <v>8573743</v>
      </c>
      <c r="E3446" t="s">
        <v>2165</v>
      </c>
      <c r="G3446" t="s">
        <v>2181</v>
      </c>
      <c r="I3446">
        <v>-13.5421</v>
      </c>
      <c r="J3446">
        <v>131.52000000000001</v>
      </c>
    </row>
    <row r="3447" spans="1:11" x14ac:dyDescent="0.25">
      <c r="A3447" t="str">
        <f>HYPERLINK("http://www.corstruth.com.au/NT/8573966_URD024_cs.png","8573966_URD024_A4")</f>
        <v>8573966_URD024_A4</v>
      </c>
      <c r="B3447" t="str">
        <f>HYPERLINK("http://www.corstruth.com.au/NT/PNG2/8573966_URD024_cs.png","8573966_URD024_0.25m Bins")</f>
        <v>8573966_URD024_0.25m Bins</v>
      </c>
      <c r="C3447" t="str">
        <f>HYPERLINK("http://www.corstruth.com.au/NT/CSV/8573966_URD024.csv","8573966_URD024_CSV File 1m Bins")</f>
        <v>8573966_URD024_CSV File 1m Bins</v>
      </c>
      <c r="D3447">
        <v>8573966</v>
      </c>
      <c r="E3447" t="s">
        <v>2165</v>
      </c>
      <c r="G3447" t="s">
        <v>2181</v>
      </c>
      <c r="I3447">
        <v>-13.716100000000001</v>
      </c>
      <c r="J3447">
        <v>131.78700000000001</v>
      </c>
    </row>
    <row r="3448" spans="1:11" x14ac:dyDescent="0.25">
      <c r="A3448" t="str">
        <f>HYPERLINK("http://www.corstruth.com.au/NT/8573972_URD67305_cs.png","8573972_URD67305_A4")</f>
        <v>8573972_URD67305_A4</v>
      </c>
      <c r="B3448" t="str">
        <f>HYPERLINK("http://www.corstruth.com.au/NT/PNG2/8573972_URD67305_cs.png","8573972_URD67305_0.25m Bins")</f>
        <v>8573972_URD67305_0.25m Bins</v>
      </c>
      <c r="C3448" t="str">
        <f>HYPERLINK("http://www.corstruth.com.au/NT/CSV/8573972_URD67305.csv","8573972_URD67305_CSV File 1m Bins")</f>
        <v>8573972_URD67305_CSV File 1m Bins</v>
      </c>
      <c r="D3448">
        <v>8573972</v>
      </c>
      <c r="E3448" t="s">
        <v>2165</v>
      </c>
      <c r="G3448" t="s">
        <v>2181</v>
      </c>
      <c r="I3448">
        <v>-13.7135</v>
      </c>
      <c r="J3448">
        <v>131.78899999999999</v>
      </c>
    </row>
    <row r="3449" spans="1:11" x14ac:dyDescent="0.25">
      <c r="A3449" t="str">
        <f>HYPERLINK("http://www.corstruth.com.au/NT/8592182_MDD001_cs.png","8592182_MDD001_A4")</f>
        <v>8592182_MDD001_A4</v>
      </c>
      <c r="B3449" t="str">
        <f>HYPERLINK("http://www.corstruth.com.au/NT/PNG2/8592182_MDD001_cs.png","8592182_MDD001_0.25m Bins")</f>
        <v>8592182_MDD001_0.25m Bins</v>
      </c>
      <c r="C3449" t="str">
        <f>HYPERLINK("http://www.corstruth.com.au/NT/CSV/8592182_MDD001.csv","8592182_MDD001_CSV File 1m Bins")</f>
        <v>8592182_MDD001_CSV File 1m Bins</v>
      </c>
      <c r="D3449">
        <v>8592182</v>
      </c>
      <c r="E3449" t="s">
        <v>2165</v>
      </c>
      <c r="G3449" t="s">
        <v>2181</v>
      </c>
      <c r="I3449">
        <v>-13.557700000000001</v>
      </c>
      <c r="J3449">
        <v>130.779</v>
      </c>
    </row>
    <row r="3450" spans="1:11" x14ac:dyDescent="0.25">
      <c r="A3450" t="str">
        <f>HYPERLINK("http://www.corstruth.com.au/NT/8592183_MDD002_cs.png","8592183_MDD002_A4")</f>
        <v>8592183_MDD002_A4</v>
      </c>
      <c r="B3450" t="str">
        <f>HYPERLINK("http://www.corstruth.com.au/NT/PNG2/8592183_MDD002_cs.png","8592183_MDD002_0.25m Bins")</f>
        <v>8592183_MDD002_0.25m Bins</v>
      </c>
      <c r="C3450" t="str">
        <f>HYPERLINK("http://www.corstruth.com.au/NT/CSV/8592183_MDD002.csv","8592183_MDD002_CSV File 1m Bins")</f>
        <v>8592183_MDD002_CSV File 1m Bins</v>
      </c>
      <c r="D3450">
        <v>8592183</v>
      </c>
      <c r="E3450" t="s">
        <v>2165</v>
      </c>
      <c r="G3450" t="s">
        <v>2181</v>
      </c>
      <c r="I3450">
        <v>-13.536</v>
      </c>
      <c r="J3450">
        <v>130.78200000000001</v>
      </c>
    </row>
    <row r="3451" spans="1:11" x14ac:dyDescent="0.25">
      <c r="A3451" t="str">
        <f>HYPERLINK("http://www.corstruth.com.au/NT/8601448_KODD11_004_cs.png","8601448_KODD11_004_A4")</f>
        <v>8601448_KODD11_004_A4</v>
      </c>
      <c r="B3451" t="str">
        <f>HYPERLINK("http://www.corstruth.com.au/NT/PNG2/8601448_KODD11_004_cs.png","8601448_KODD11_004_0.25m Bins")</f>
        <v>8601448_KODD11_004_0.25m Bins</v>
      </c>
      <c r="C3451" t="str">
        <f>HYPERLINK("http://www.corstruth.com.au/NT/CSV/8601448_KODD11_004.csv","8601448_KODD11_004_CSV File 1m Bins")</f>
        <v>8601448_KODD11_004_CSV File 1m Bins</v>
      </c>
      <c r="D3451">
        <v>8601448</v>
      </c>
      <c r="E3451" t="s">
        <v>2165</v>
      </c>
      <c r="G3451" t="s">
        <v>2181</v>
      </c>
      <c r="I3451">
        <v>-13.052199999999999</v>
      </c>
      <c r="J3451">
        <v>131.09800000000001</v>
      </c>
    </row>
    <row r="3452" spans="1:11" x14ac:dyDescent="0.25">
      <c r="A3452" t="str">
        <f>HYPERLINK("http://www.corstruth.com.au/NT/8601469_WD018-001_cs.png","8601469_WD018-001_A4")</f>
        <v>8601469_WD018-001_A4</v>
      </c>
      <c r="B3452" t="str">
        <f>HYPERLINK("http://www.corstruth.com.au/NT/PNG2/8601469_WD018-001_cs.png","8601469_WD018-001_0.25m Bins")</f>
        <v>8601469_WD018-001_0.25m Bins</v>
      </c>
      <c r="C3452" t="str">
        <f>HYPERLINK("http://www.corstruth.com.au/NT/CSV/8601469_WD018-001.csv","8601469_WD018-001_CSV File 1m Bins")</f>
        <v>8601469_WD018-001_CSV File 1m Bins</v>
      </c>
      <c r="D3452">
        <v>8601469</v>
      </c>
      <c r="E3452" t="s">
        <v>2165</v>
      </c>
      <c r="G3452" t="s">
        <v>2181</v>
      </c>
      <c r="I3452">
        <v>-13.942500000000001</v>
      </c>
      <c r="J3452">
        <v>132.13300000000001</v>
      </c>
      <c r="K3452" t="str">
        <f>HYPERLINK("http://geology.data.nt.gov.au/NVCLDataServices/mosaic.html?datasetid=c11efbc3-b1c8-4a30-b99c-12448c89fa1","8601469_WD018-001_Core Image")</f>
        <v>8601469_WD018-001_Core Image</v>
      </c>
    </row>
    <row r="3453" spans="1:11" x14ac:dyDescent="0.25">
      <c r="A3453" t="str">
        <f>HYPERLINK("http://www.corstruth.com.au/NT/8601470_WD018-002_cs.png","8601470_WD018-002_A4")</f>
        <v>8601470_WD018-002_A4</v>
      </c>
      <c r="B3453" t="str">
        <f>HYPERLINK("http://www.corstruth.com.au/NT/PNG2/8601470_WD018-002_cs.png","8601470_WD018-002_0.25m Bins")</f>
        <v>8601470_WD018-002_0.25m Bins</v>
      </c>
      <c r="C3453" t="str">
        <f>HYPERLINK("http://www.corstruth.com.au/NT/CSV/8601470_WD018-002.csv","8601470_WD018-002_CSV File 1m Bins")</f>
        <v>8601470_WD018-002_CSV File 1m Bins</v>
      </c>
      <c r="D3453">
        <v>8601470</v>
      </c>
      <c r="E3453" t="s">
        <v>2165</v>
      </c>
      <c r="G3453" t="s">
        <v>2181</v>
      </c>
      <c r="I3453">
        <v>-13.9436</v>
      </c>
      <c r="J3453">
        <v>132.13399999999999</v>
      </c>
      <c r="K3453" t="str">
        <f>HYPERLINK("http://geology.data.nt.gov.au/NVCLDataServices/mosaic.html?datasetid=7b8a86f5-7049-4670-a1fa-4121a818ad3","8601470_WD018-002_Core Image")</f>
        <v>8601470_WD018-002_Core Image</v>
      </c>
    </row>
    <row r="3454" spans="1:11" x14ac:dyDescent="0.25">
      <c r="A3454" t="str">
        <f>HYPERLINK("http://www.corstruth.com.au/NT/8618168_POP10_cs.png","8618168_POP10_A4")</f>
        <v>8618168_POP10_A4</v>
      </c>
      <c r="B3454" t="str">
        <f>HYPERLINK("http://www.corstruth.com.au/NT/PNG2/8618168_POP10_cs.png","8618168_POP10_0.25m Bins")</f>
        <v>8618168_POP10_0.25m Bins</v>
      </c>
      <c r="C3454" t="str">
        <f>HYPERLINK("http://www.corstruth.com.au/NT/CSV/8618168_POP10.csv","8618168_POP10_CSV File 1m Bins")</f>
        <v>8618168_POP10_CSV File 1m Bins</v>
      </c>
      <c r="D3454">
        <v>8618168</v>
      </c>
      <c r="E3454" t="s">
        <v>2165</v>
      </c>
      <c r="G3454" t="s">
        <v>2181</v>
      </c>
      <c r="I3454">
        <v>-12.742800000000001</v>
      </c>
      <c r="J3454">
        <v>130.464</v>
      </c>
    </row>
    <row r="3455" spans="1:11" x14ac:dyDescent="0.25">
      <c r="A3455" t="str">
        <f>HYPERLINK("http://www.corstruth.com.au/NT/8618169_POP14_cs.png","8618169_POP14_A4")</f>
        <v>8618169_POP14_A4</v>
      </c>
      <c r="B3455" t="str">
        <f>HYPERLINK("http://www.corstruth.com.au/NT/PNG2/8618169_POP14_cs.png","8618169_POP14_0.25m Bins")</f>
        <v>8618169_POP14_0.25m Bins</v>
      </c>
      <c r="C3455" t="str">
        <f>HYPERLINK("http://www.corstruth.com.au/NT/CSV/8618169_POP14.csv","8618169_POP14_CSV File 1m Bins")</f>
        <v>8618169_POP14_CSV File 1m Bins</v>
      </c>
      <c r="D3455">
        <v>8618169</v>
      </c>
      <c r="E3455" t="s">
        <v>2165</v>
      </c>
      <c r="G3455" t="s">
        <v>2181</v>
      </c>
      <c r="I3455">
        <v>-12.6953</v>
      </c>
      <c r="J3455">
        <v>130.43199999999999</v>
      </c>
    </row>
    <row r="3456" spans="1:11" x14ac:dyDescent="0.25">
      <c r="A3456" t="str">
        <f>HYPERLINK("http://www.corstruth.com.au/NT/8618170_82_68_cs.png","8618170_82_68_A4")</f>
        <v>8618170_82_68_A4</v>
      </c>
      <c r="B3456" t="str">
        <f>HYPERLINK("http://www.corstruth.com.au/NT/PNG2/8618170_82_68_cs.png","8618170_82_68_0.25m Bins")</f>
        <v>8618170_82_68_0.25m Bins</v>
      </c>
      <c r="C3456" t="str">
        <f>HYPERLINK("http://www.corstruth.com.au/NT/CSV/8618170_82_68.csv","8618170_82_68_CSV File 1m Bins")</f>
        <v>8618170_82_68_CSV File 1m Bins</v>
      </c>
      <c r="D3456">
        <v>8618170</v>
      </c>
      <c r="E3456" t="s">
        <v>2165</v>
      </c>
      <c r="G3456" t="s">
        <v>2181</v>
      </c>
      <c r="I3456">
        <v>-13.76</v>
      </c>
      <c r="J3456">
        <v>130.91499999999999</v>
      </c>
      <c r="K3456" t="str">
        <f>HYPERLINK("http://geology.data.nt.gov.au/NVCLDataServices/mosaic.html?datasetid=923c2a5b-c681-4fae-91f1-689bceb852f","8618170_82_68_Core Image")</f>
        <v>8618170_82_68_Core Image</v>
      </c>
    </row>
    <row r="3457" spans="1:11" x14ac:dyDescent="0.25">
      <c r="A3457" t="str">
        <f>HYPERLINK("http://www.corstruth.com.au/NT/8618174_DDHTP11_cs.png","8618174_DDHTP11_A4")</f>
        <v>8618174_DDHTP11_A4</v>
      </c>
      <c r="B3457" t="str">
        <f>HYPERLINK("http://www.corstruth.com.au/NT/PNG2/8618174_DDHTP11_cs.png","8618174_DDHTP11_0.25m Bins")</f>
        <v>8618174_DDHTP11_0.25m Bins</v>
      </c>
      <c r="C3457" t="str">
        <f>HYPERLINK("http://www.corstruth.com.au/NT/CSV/8618174_DDHTP11.csv","8618174_DDHTP11_CSV File 1m Bins")</f>
        <v>8618174_DDHTP11_CSV File 1m Bins</v>
      </c>
      <c r="D3457">
        <v>8618174</v>
      </c>
      <c r="E3457" t="s">
        <v>2165</v>
      </c>
      <c r="G3457" t="s">
        <v>2181</v>
      </c>
      <c r="I3457">
        <v>-12.2288</v>
      </c>
      <c r="J3457">
        <v>133.155</v>
      </c>
    </row>
    <row r="3458" spans="1:11" x14ac:dyDescent="0.25">
      <c r="A3458" t="str">
        <f>HYPERLINK("http://www.corstruth.com.au/NT/8618176_19NBDD002_cs.png","8618176_19NBDD002_A4")</f>
        <v>8618176_19NBDD002_A4</v>
      </c>
      <c r="B3458" t="str">
        <f>HYPERLINK("http://www.corstruth.com.au/NT/PNG2/8618176_19NBDD002_cs.png","8618176_19NBDD002_0.25m Bins")</f>
        <v>8618176_19NBDD002_0.25m Bins</v>
      </c>
      <c r="C3458" t="str">
        <f>HYPERLINK("http://www.corstruth.com.au/NT/CSV/8618176_19NBDD002.csv","8618176_19NBDD002_CSV File 1m Bins")</f>
        <v>8618176_19NBDD002_CSV File 1m Bins</v>
      </c>
      <c r="D3458">
        <v>8618176</v>
      </c>
      <c r="E3458" t="s">
        <v>2165</v>
      </c>
      <c r="G3458" t="s">
        <v>2181</v>
      </c>
      <c r="I3458">
        <v>-12.3096</v>
      </c>
      <c r="J3458">
        <v>133.32599999999999</v>
      </c>
      <c r="K3458" t="str">
        <f>HYPERLINK("http://geology.data.nt.gov.au/NVCLDataServices/mosaic.html?datasetid=775b0fa6-232b-41ac-801a-d8b7fc881de","8618176_19NBDD002_Core Image")</f>
        <v>8618176_19NBDD002_Core Image</v>
      </c>
    </row>
    <row r="3459" spans="1:11" x14ac:dyDescent="0.25">
      <c r="A3459" t="str">
        <f>HYPERLINK("http://www.corstruth.com.au/NT/8618192_19U4DD002_cs.png","8618192_19U4DD002_A4")</f>
        <v>8618192_19U4DD002_A4</v>
      </c>
      <c r="B3459" t="str">
        <f>HYPERLINK("http://www.corstruth.com.au/NT/PNG2/8618192_19U4DD002_cs.png","8618192_19U4DD002_0.25m Bins")</f>
        <v>8618192_19U4DD002_0.25m Bins</v>
      </c>
      <c r="C3459" t="str">
        <f>HYPERLINK("http://www.corstruth.com.au/NT/CSV/8618192_19U4DD002.csv","8618192_19U4DD002_CSV File 1m Bins")</f>
        <v>8618192_19U4DD002_CSV File 1m Bins</v>
      </c>
      <c r="D3459">
        <v>8618192</v>
      </c>
      <c r="E3459" t="s">
        <v>2165</v>
      </c>
      <c r="G3459" t="s">
        <v>2181</v>
      </c>
      <c r="I3459">
        <v>-12.252599999999999</v>
      </c>
      <c r="J3459">
        <v>133.40899999999999</v>
      </c>
      <c r="K3459" t="str">
        <f>HYPERLINK("http://geology.data.nt.gov.au/NVCLDataServices/mosaic.html?datasetid=f858a26c-cf3a-4a17-9c73-d2b9b8dee70","8618192_19U4DD002_Core Image")</f>
        <v>8618192_19U4DD002_Core Image</v>
      </c>
    </row>
    <row r="3460" spans="1:11" x14ac:dyDescent="0.25">
      <c r="A3460" t="str">
        <f>HYPERLINK("http://www.corstruth.com.au/NT/8618198_DDH1_cs.png","8618198_DDH1_A4")</f>
        <v>8618198_DDH1_A4</v>
      </c>
      <c r="B3460" t="str">
        <f>HYPERLINK("http://www.corstruth.com.au/NT/PNG2/8618198_DDH1_cs.png","8618198_DDH1_0.25m Bins")</f>
        <v>8618198_DDH1_0.25m Bins</v>
      </c>
      <c r="C3460" t="str">
        <f>HYPERLINK("http://www.corstruth.com.au/NT/CSV/8618198_DDH1.csv","8618198_DDH1_CSV File 1m Bins")</f>
        <v>8618198_DDH1_CSV File 1m Bins</v>
      </c>
      <c r="D3460">
        <v>8618198</v>
      </c>
      <c r="E3460" t="s">
        <v>2165</v>
      </c>
      <c r="G3460" t="s">
        <v>2181</v>
      </c>
      <c r="I3460">
        <v>-14.1873</v>
      </c>
      <c r="J3460">
        <v>130.41</v>
      </c>
    </row>
    <row r="3461" spans="1:11" x14ac:dyDescent="0.25">
      <c r="A3461" t="str">
        <f>HYPERLINK("http://www.corstruth.com.au/NT/8635602_RNRCD028_cs.png","8635602_RNRCD028_A4")</f>
        <v>8635602_RNRCD028_A4</v>
      </c>
      <c r="B3461" t="str">
        <f>HYPERLINK("http://www.corstruth.com.au/NT/PNG2/8635602_RNRCD028_cs.png","8635602_RNRCD028_0.25m Bins")</f>
        <v>8635602_RNRCD028_0.25m Bins</v>
      </c>
      <c r="C3461" t="str">
        <f>HYPERLINK("http://www.corstruth.com.au/NT/CSV/8635602_RNRCD028.csv","8635602_RNRCD028_CSV File 1m Bins")</f>
        <v>8635602_RNRCD028_CSV File 1m Bins</v>
      </c>
      <c r="D3461">
        <v>8635602</v>
      </c>
      <c r="E3461" t="s">
        <v>2165</v>
      </c>
      <c r="G3461" t="s">
        <v>2181</v>
      </c>
      <c r="I3461">
        <v>-12.8552</v>
      </c>
      <c r="J3461">
        <v>131.49600000000001</v>
      </c>
      <c r="K3461" t="str">
        <f>HYPERLINK("http://geology.data.nt.gov.au/NVCLDataServices/mosaic.html?datasetid=6a9231aa-f9c3-42f3-9775-bebcea73cf5","8635602_RNRCD028_Core Image")</f>
        <v>8635602_RNRCD028_Core Image</v>
      </c>
    </row>
    <row r="3462" spans="1:11" x14ac:dyDescent="0.25">
      <c r="A3462" t="str">
        <f>HYPERLINK("http://www.corstruth.com.au/NT/8635603_RNRCD029_cs.png","8635603_RNRCD029_A4")</f>
        <v>8635603_RNRCD029_A4</v>
      </c>
      <c r="B3462" t="str">
        <f>HYPERLINK("http://www.corstruth.com.au/NT/PNG2/8635603_RNRCD029_cs.png","8635603_RNRCD029_0.25m Bins")</f>
        <v>8635603_RNRCD029_0.25m Bins</v>
      </c>
      <c r="C3462" t="str">
        <f>HYPERLINK("http://www.corstruth.com.au/NT/CSV/8635603_RNRCD029.csv","8635603_RNRCD029_CSV File 1m Bins")</f>
        <v>8635603_RNRCD029_CSV File 1m Bins</v>
      </c>
      <c r="D3462">
        <v>8635603</v>
      </c>
      <c r="E3462" t="s">
        <v>2165</v>
      </c>
      <c r="G3462" t="s">
        <v>2181</v>
      </c>
      <c r="I3462">
        <v>-12.8561</v>
      </c>
      <c r="J3462">
        <v>131.49600000000001</v>
      </c>
      <c r="K3462" t="str">
        <f>HYPERLINK("http://geology.data.nt.gov.au/NVCLDataServices/mosaic.html?datasetid=4f4fbddc-57d1-4ace-b986-f227f04cafd","8635603_RNRCD029_Core Image")</f>
        <v>8635603_RNRCD029_Core Image</v>
      </c>
    </row>
    <row r="3463" spans="1:11" x14ac:dyDescent="0.25">
      <c r="A3463" t="str">
        <f>HYPERLINK("http://www.corstruth.com.au/NT/8635604_RNRCD030_cs.png","8635604_RNRCD030_A4")</f>
        <v>8635604_RNRCD030_A4</v>
      </c>
      <c r="B3463" t="str">
        <f>HYPERLINK("http://www.corstruth.com.au/NT/PNG2/8635604_RNRCD030_cs.png","8635604_RNRCD030_0.25m Bins")</f>
        <v>8635604_RNRCD030_0.25m Bins</v>
      </c>
      <c r="C3463" t="str">
        <f>HYPERLINK("http://www.corstruth.com.au/NT/CSV/8635604_RNRCD030.csv","8635604_RNRCD030_CSV File 1m Bins")</f>
        <v>8635604_RNRCD030_CSV File 1m Bins</v>
      </c>
      <c r="D3463">
        <v>8635604</v>
      </c>
      <c r="E3463" t="s">
        <v>2165</v>
      </c>
      <c r="G3463" t="s">
        <v>2181</v>
      </c>
      <c r="I3463">
        <v>-12.8569</v>
      </c>
      <c r="J3463">
        <v>131.495</v>
      </c>
      <c r="K3463" t="str">
        <f>HYPERLINK("http://geology.data.nt.gov.au/NVCLDataServices/mosaic.html?datasetid=7d224462-5fad-47a6-b8dd-514ad2a123e","8635604_RNRCD030_Core Image")</f>
        <v>8635604_RNRCD030_Core Image</v>
      </c>
    </row>
    <row r="3464" spans="1:11" x14ac:dyDescent="0.25">
      <c r="A3464" t="str">
        <f>HYPERLINK("http://www.corstruth.com.au/NT/8635605_RNRCD030A_cs.png","8635605_RNRCD030A_A4")</f>
        <v>8635605_RNRCD030A_A4</v>
      </c>
      <c r="B3464" t="str">
        <f>HYPERLINK("http://www.corstruth.com.au/NT/PNG2/8635605_RNRCD030A_cs.png","8635605_RNRCD030A_0.25m Bins")</f>
        <v>8635605_RNRCD030A_0.25m Bins</v>
      </c>
      <c r="C3464" t="str">
        <f>HYPERLINK("http://www.corstruth.com.au/NT/CSV/8635605_RNRCD030A.csv","8635605_RNRCD030A_CSV File 1m Bins")</f>
        <v>8635605_RNRCD030A_CSV File 1m Bins</v>
      </c>
      <c r="D3464">
        <v>8635605</v>
      </c>
      <c r="E3464" t="s">
        <v>2165</v>
      </c>
      <c r="G3464" t="s">
        <v>2181</v>
      </c>
      <c r="I3464">
        <v>-12.8569</v>
      </c>
      <c r="J3464">
        <v>131.495</v>
      </c>
      <c r="K3464" t="str">
        <f>HYPERLINK("http://geology.data.nt.gov.au/NVCLDataServices/mosaic.html?datasetid=a4a5d731-7759-46a3-b99f-957e290821f","8635605_RNRCD030A_Core Image")</f>
        <v>8635605_RNRCD030A_Core Image</v>
      </c>
    </row>
    <row r="3465" spans="1:11" x14ac:dyDescent="0.25">
      <c r="A3465" t="str">
        <f>HYPERLINK("http://www.corstruth.com.au/NT/8636108_ARDD0001_cs.png","8636108_ARDD0001_A4")</f>
        <v>8636108_ARDD0001_A4</v>
      </c>
      <c r="B3465" t="str">
        <f>HYPERLINK("http://www.corstruth.com.au/NT/PNG2/8636108_ARDD0001_cs.png","8636108_ARDD0001_0.25m Bins")</f>
        <v>8636108_ARDD0001_0.25m Bins</v>
      </c>
      <c r="C3465" t="str">
        <f>HYPERLINK("http://www.corstruth.com.au/NT/CSV/8636108_ARDD0001.csv","8636108_ARDD0001_CSV File 1m Bins")</f>
        <v>8636108_ARDD0001_CSV File 1m Bins</v>
      </c>
      <c r="D3465">
        <v>8636108</v>
      </c>
      <c r="E3465" t="s">
        <v>2165</v>
      </c>
      <c r="G3465" t="s">
        <v>2181</v>
      </c>
      <c r="I3465">
        <v>-11.886900000000001</v>
      </c>
      <c r="J3465">
        <v>133.12700000000001</v>
      </c>
      <c r="K3465" t="str">
        <f>HYPERLINK("http://geology.data.nt.gov.au/NVCLDataServices/mosaic.html?datasetid=3745acc5-aa7a-4b74-99f5-66c5964d2e3","8636108_ARDD0001_Core Image")</f>
        <v>8636108_ARDD0001_Core Image</v>
      </c>
    </row>
    <row r="3466" spans="1:11" x14ac:dyDescent="0.25">
      <c r="A3466" t="str">
        <f>HYPERLINK("http://www.corstruth.com.au/NT/8636109_ARDD0002_cs.png","8636109_ARDD0002_A4")</f>
        <v>8636109_ARDD0002_A4</v>
      </c>
      <c r="B3466" t="str">
        <f>HYPERLINK("http://www.corstruth.com.au/NT/PNG2/8636109_ARDD0002_cs.png","8636109_ARDD0002_0.25m Bins")</f>
        <v>8636109_ARDD0002_0.25m Bins</v>
      </c>
      <c r="C3466" t="str">
        <f>HYPERLINK("http://www.corstruth.com.au/NT/CSV/8636109_ARDD0002.csv","8636109_ARDD0002_CSV File 1m Bins")</f>
        <v>8636109_ARDD0002_CSV File 1m Bins</v>
      </c>
      <c r="D3466">
        <v>8636109</v>
      </c>
      <c r="E3466" t="s">
        <v>2165</v>
      </c>
      <c r="G3466" t="s">
        <v>2181</v>
      </c>
      <c r="I3466">
        <v>-11.8864</v>
      </c>
      <c r="J3466">
        <v>133.13</v>
      </c>
      <c r="K3466" t="str">
        <f>HYPERLINK("http://geology.data.nt.gov.au/NVCLDataServices/mosaic.html?datasetid=4450aba2-7ad3-414f-a2c9-d24cba95fd5","8636109_ARDD0002_Core Image")</f>
        <v>8636109_ARDD0002_Core Image</v>
      </c>
    </row>
    <row r="3467" spans="1:11" x14ac:dyDescent="0.25">
      <c r="A3467" t="str">
        <f>HYPERLINK("http://www.corstruth.com.au/NT/8637228_DDH1_cs.png","8637228_DDH1_A4")</f>
        <v>8637228_DDH1_A4</v>
      </c>
      <c r="B3467" t="str">
        <f>HYPERLINK("http://www.corstruth.com.au/NT/PNG2/8637228_DDH1_cs.png","8637228_DDH1_0.25m Bins")</f>
        <v>8637228_DDH1_0.25m Bins</v>
      </c>
      <c r="C3467" t="str">
        <f>HYPERLINK("http://www.corstruth.com.au/NT/CSV/8637228_DDH1.csv","8637228_DDH1_CSV File 1m Bins")</f>
        <v>8637228_DDH1_CSV File 1m Bins</v>
      </c>
      <c r="D3467">
        <v>8637228</v>
      </c>
      <c r="E3467" t="s">
        <v>2165</v>
      </c>
      <c r="G3467" t="s">
        <v>2181</v>
      </c>
      <c r="I3467">
        <v>-12.2546</v>
      </c>
      <c r="J3467">
        <v>131.03</v>
      </c>
    </row>
    <row r="3468" spans="1:11" x14ac:dyDescent="0.25">
      <c r="A3468" t="str">
        <f>HYPERLINK("http://www.corstruth.com.au/NT/8685552_65_1_cs.png","8685552_65_1_A4")</f>
        <v>8685552_65_1_A4</v>
      </c>
      <c r="B3468" t="str">
        <f>HYPERLINK("http://www.corstruth.com.au/NT/PNG2/8685552_65_1_cs.png","8685552_65_1_0.25m Bins")</f>
        <v>8685552_65_1_0.25m Bins</v>
      </c>
      <c r="C3468" t="str">
        <f>HYPERLINK("http://www.corstruth.com.au/NT/CSV/8685552_65_1.csv","8685552_65_1_CSV File 1m Bins")</f>
        <v>8685552_65_1_CSV File 1m Bins</v>
      </c>
      <c r="D3468">
        <v>8685552</v>
      </c>
      <c r="E3468" t="s">
        <v>2165</v>
      </c>
      <c r="G3468" t="s">
        <v>2181</v>
      </c>
      <c r="I3468">
        <v>-13.023899999999999</v>
      </c>
      <c r="J3468">
        <v>131.11699999999999</v>
      </c>
    </row>
    <row r="3469" spans="1:11" x14ac:dyDescent="0.25">
      <c r="A3469" t="str">
        <f>HYPERLINK("http://www.corstruth.com.au/NT/8685555_DDH13_cs.png","8685555_DDH13_A4")</f>
        <v>8685555_DDH13_A4</v>
      </c>
      <c r="B3469" t="str">
        <f>HYPERLINK("http://www.corstruth.com.au/NT/PNG2/8685555_DDH13_cs.png","8685555_DDH13_0.25m Bins")</f>
        <v>8685555_DDH13_0.25m Bins</v>
      </c>
      <c r="C3469" t="str">
        <f>HYPERLINK("http://www.corstruth.com.au/NT/CSV/8685555_DDH13.csv","8685555_DDH13_CSV File 1m Bins")</f>
        <v>8685555_DDH13_CSV File 1m Bins</v>
      </c>
      <c r="D3469">
        <v>8685555</v>
      </c>
      <c r="E3469" t="s">
        <v>2165</v>
      </c>
      <c r="G3469" t="s">
        <v>2181</v>
      </c>
      <c r="I3469">
        <v>-13.5062</v>
      </c>
      <c r="J3469">
        <v>131.71299999999999</v>
      </c>
    </row>
    <row r="3470" spans="1:11" x14ac:dyDescent="0.25">
      <c r="A3470" t="str">
        <f>HYPERLINK("http://www.corstruth.com.au/NT/8685556_DDH1_cs.png","8685556_DDH1_A4")</f>
        <v>8685556_DDH1_A4</v>
      </c>
      <c r="B3470" t="str">
        <f>HYPERLINK("http://www.corstruth.com.au/NT/PNG2/8685556_DDH1_cs.png","8685556_DDH1_0.25m Bins")</f>
        <v>8685556_DDH1_0.25m Bins</v>
      </c>
      <c r="C3470" t="str">
        <f>HYPERLINK("http://www.corstruth.com.au/NT/CSV/8685556_DDH1.csv","8685556_DDH1_CSV File 1m Bins")</f>
        <v>8685556_DDH1_CSV File 1m Bins</v>
      </c>
      <c r="D3470">
        <v>8685556</v>
      </c>
      <c r="E3470" t="s">
        <v>2165</v>
      </c>
      <c r="G3470" t="s">
        <v>2181</v>
      </c>
      <c r="I3470">
        <v>-12.4315</v>
      </c>
      <c r="J3470">
        <v>130.899</v>
      </c>
    </row>
    <row r="3471" spans="1:11" x14ac:dyDescent="0.25">
      <c r="A3471" t="str">
        <f>HYPERLINK("http://www.corstruth.com.au/NT/8685557_DDH51_cs.png","8685557_DDH51_A4")</f>
        <v>8685557_DDH51_A4</v>
      </c>
      <c r="B3471" t="str">
        <f>HYPERLINK("http://www.corstruth.com.au/NT/PNG2/8685557_DDH51_cs.png","8685557_DDH51_0.25m Bins")</f>
        <v>8685557_DDH51_0.25m Bins</v>
      </c>
      <c r="C3471" t="str">
        <f>HYPERLINK("http://www.corstruth.com.au/NT/CSV/8685557_DDH51.csv","8685557_DDH51_CSV File 1m Bins")</f>
        <v>8685557_DDH51_CSV File 1m Bins</v>
      </c>
      <c r="D3471">
        <v>8685557</v>
      </c>
      <c r="E3471" t="s">
        <v>2165</v>
      </c>
      <c r="G3471" t="s">
        <v>2181</v>
      </c>
      <c r="I3471">
        <v>-13.7654</v>
      </c>
      <c r="J3471">
        <v>132.23699999999999</v>
      </c>
    </row>
    <row r="3472" spans="1:11" x14ac:dyDescent="0.25">
      <c r="A3472" t="str">
        <f>HYPERLINK("http://www.corstruth.com.au/NT/8708939_LKN14_cs.png","8708939_LKN14_A4")</f>
        <v>8708939_LKN14_A4</v>
      </c>
      <c r="B3472" t="str">
        <f>HYPERLINK("http://www.corstruth.com.au/NT/PNG2/8708939_LKN14_cs.png","8708939_LKN14_0.25m Bins")</f>
        <v>8708939_LKN14_0.25m Bins</v>
      </c>
      <c r="C3472" t="str">
        <f>HYPERLINK("http://www.corstruth.com.au/NT/CSV/8708939_LKN14.csv","8708939_LKN14_CSV File 1m Bins")</f>
        <v>8708939_LKN14_CSV File 1m Bins</v>
      </c>
      <c r="D3472">
        <v>8708939</v>
      </c>
      <c r="E3472" t="s">
        <v>2165</v>
      </c>
      <c r="G3472" t="s">
        <v>2181</v>
      </c>
      <c r="I3472">
        <v>-12.7972</v>
      </c>
      <c r="J3472">
        <v>130.51300000000001</v>
      </c>
    </row>
    <row r="3473" spans="1:10" x14ac:dyDescent="0.25">
      <c r="A3473" t="str">
        <f>HYPERLINK("http://www.corstruth.com.au/NT/8708940_OC_S1_cs.png","8708940_OC_S1_A4")</f>
        <v>8708940_OC_S1_A4</v>
      </c>
      <c r="B3473" t="str">
        <f>HYPERLINK("http://www.corstruth.com.au/NT/PNG2/8708940_OC_S1_cs.png","8708940_OC_S1_0.25m Bins")</f>
        <v>8708940_OC_S1_0.25m Bins</v>
      </c>
      <c r="C3473" t="str">
        <f>HYPERLINK("http://www.corstruth.com.au/NT/CSV/8708940_OC_S1.csv","8708940_OC_S1_CSV File 1m Bins")</f>
        <v>8708940_OC_S1_CSV File 1m Bins</v>
      </c>
      <c r="D3473">
        <v>8708940</v>
      </c>
      <c r="E3473" t="s">
        <v>2165</v>
      </c>
      <c r="G3473" t="s">
        <v>2181</v>
      </c>
      <c r="I3473">
        <v>-12.6708</v>
      </c>
      <c r="J3473">
        <v>132.41800000000001</v>
      </c>
    </row>
    <row r="3474" spans="1:10" x14ac:dyDescent="0.25">
      <c r="A3474" t="str">
        <f>HYPERLINK("http://www.corstruth.com.au/NT/8708942_70_R54_cs.png","8708942_70_R54_A4")</f>
        <v>8708942_70_R54_A4</v>
      </c>
      <c r="B3474" t="str">
        <f>HYPERLINK("http://www.corstruth.com.au/NT/PNG2/8708942_70_R54_cs.png","8708942_70_R54_0.25m Bins")</f>
        <v>8708942_70_R54_0.25m Bins</v>
      </c>
      <c r="C3474" t="str">
        <f>HYPERLINK("http://www.corstruth.com.au/NT/CSV/8708942_70_R54.csv","8708942_70_R54_CSV File 1m Bins")</f>
        <v>8708942_70_R54_CSV File 1m Bins</v>
      </c>
      <c r="D3474">
        <v>8708942</v>
      </c>
      <c r="E3474" t="s">
        <v>2165</v>
      </c>
      <c r="G3474" t="s">
        <v>2181</v>
      </c>
      <c r="I3474">
        <v>-13.0245</v>
      </c>
      <c r="J3474">
        <v>131.089</v>
      </c>
    </row>
    <row r="3475" spans="1:10" x14ac:dyDescent="0.25">
      <c r="A3475" t="str">
        <f>HYPERLINK("http://www.corstruth.com.au/NT/8708943_ARU_DDH0_cs.png","8708943_ARU_DDH0_A4")</f>
        <v>8708943_ARU_DDH0_A4</v>
      </c>
      <c r="B3475" t="str">
        <f>HYPERLINK("http://www.corstruth.com.au/NT/PNG2/8708943_ARU_DDH0_cs.png","8708943_ARU_DDH0_0.25m Bins")</f>
        <v>8708943_ARU_DDH0_0.25m Bins</v>
      </c>
      <c r="C3475" t="str">
        <f>HYPERLINK("http://www.corstruth.com.au/NT/CSV/8708943_ARU_DDH0.csv","8708943_ARU_DDH0_CSV File 1m Bins")</f>
        <v>8708943_ARU_DDH0_CSV File 1m Bins</v>
      </c>
      <c r="D3475">
        <v>8708943</v>
      </c>
      <c r="E3475" t="s">
        <v>2165</v>
      </c>
      <c r="G3475" t="s">
        <v>2181</v>
      </c>
      <c r="I3475">
        <v>-13.2722</v>
      </c>
      <c r="J3475">
        <v>131.107</v>
      </c>
    </row>
    <row r="3476" spans="1:10" x14ac:dyDescent="0.25">
      <c r="A3476" t="str">
        <f>HYPERLINK("http://www.corstruth.com.au/NT/8708944_DDH1_cs.png","8708944_DDH1_A4")</f>
        <v>8708944_DDH1_A4</v>
      </c>
      <c r="B3476" t="str">
        <f>HYPERLINK("http://www.corstruth.com.au/NT/PNG2/8708944_DDH1_cs.png","8708944_DDH1_0.25m Bins")</f>
        <v>8708944_DDH1_0.25m Bins</v>
      </c>
      <c r="C3476" t="str">
        <f>HYPERLINK("http://www.corstruth.com.au/NT/CSV/8708944_DDH1.csv","8708944_DDH1_CSV File 1m Bins")</f>
        <v>8708944_DDH1_CSV File 1m Bins</v>
      </c>
      <c r="D3476">
        <v>8708944</v>
      </c>
      <c r="E3476" t="s">
        <v>2165</v>
      </c>
      <c r="G3476" t="s">
        <v>2181</v>
      </c>
      <c r="I3476">
        <v>-13.5672</v>
      </c>
      <c r="J3476">
        <v>131.535</v>
      </c>
    </row>
    <row r="3477" spans="1:10" x14ac:dyDescent="0.25">
      <c r="A3477" t="str">
        <f>HYPERLINK("http://www.corstruth.com.au/NT/8719081_PC04DD01_cs.png","8719081_PC04DD01_A4")</f>
        <v>8719081_PC04DD01_A4</v>
      </c>
      <c r="B3477" t="str">
        <f>HYPERLINK("http://www.corstruth.com.au/NT/PNG2/8719081_PC04DD01_cs.png","8719081_PC04DD01_0.25m Bins")</f>
        <v>8719081_PC04DD01_0.25m Bins</v>
      </c>
      <c r="C3477" t="str">
        <f>HYPERLINK("http://www.corstruth.com.au/NT/CSV/8719081_PC04DD01.csv","8719081_PC04DD01_CSV File 1m Bins")</f>
        <v>8719081_PC04DD01_CSV File 1m Bins</v>
      </c>
      <c r="D3477">
        <v>8719081</v>
      </c>
      <c r="E3477" t="s">
        <v>2165</v>
      </c>
      <c r="G3477" t="s">
        <v>2181</v>
      </c>
      <c r="I3477">
        <v>-13.6873</v>
      </c>
      <c r="J3477">
        <v>131.28</v>
      </c>
    </row>
    <row r="3478" spans="1:10" x14ac:dyDescent="0.25">
      <c r="A3478" t="str">
        <f>HYPERLINK("http://www.corstruth.com.au/NT/8719082_PC04DD02_cs.png","8719082_PC04DD02_A4")</f>
        <v>8719082_PC04DD02_A4</v>
      </c>
      <c r="B3478" t="str">
        <f>HYPERLINK("http://www.corstruth.com.au/NT/PNG2/8719082_PC04DD02_cs.png","8719082_PC04DD02_0.25m Bins")</f>
        <v>8719082_PC04DD02_0.25m Bins</v>
      </c>
      <c r="C3478" t="str">
        <f>HYPERLINK("http://www.corstruth.com.au/NT/CSV/8719082_PC04DD02.csv","8719082_PC04DD02_CSV File 1m Bins")</f>
        <v>8719082_PC04DD02_CSV File 1m Bins</v>
      </c>
      <c r="D3478">
        <v>8719082</v>
      </c>
      <c r="E3478" t="s">
        <v>2165</v>
      </c>
      <c r="G3478" t="s">
        <v>2181</v>
      </c>
      <c r="I3478">
        <v>-13.157500000000001</v>
      </c>
      <c r="J3478">
        <v>131.02600000000001</v>
      </c>
    </row>
    <row r="3479" spans="1:10" x14ac:dyDescent="0.25">
      <c r="A3479" t="str">
        <f>HYPERLINK("http://www.corstruth.com.au/NT/8719083_PC04DD03_cs.png","8719083_PC04DD03_A4")</f>
        <v>8719083_PC04DD03_A4</v>
      </c>
      <c r="B3479" t="str">
        <f>HYPERLINK("http://www.corstruth.com.au/NT/PNG2/8719083_PC04DD03_cs.png","8719083_PC04DD03_0.25m Bins")</f>
        <v>8719083_PC04DD03_0.25m Bins</v>
      </c>
      <c r="C3479" t="str">
        <f>HYPERLINK("http://www.corstruth.com.au/NT/CSV/8719083_PC04DD03.csv","8719083_PC04DD03_CSV File 1m Bins")</f>
        <v>8719083_PC04DD03_CSV File 1m Bins</v>
      </c>
      <c r="D3479">
        <v>8719083</v>
      </c>
      <c r="E3479" t="s">
        <v>2165</v>
      </c>
      <c r="G3479" t="s">
        <v>2181</v>
      </c>
      <c r="I3479">
        <v>-13.6873</v>
      </c>
      <c r="J3479">
        <v>131.28</v>
      </c>
    </row>
    <row r="3480" spans="1:10" x14ac:dyDescent="0.25">
      <c r="A3480" t="str">
        <f>HYPERLINK("http://www.corstruth.com.au/NT/8719092_01CX1_cs.png","8719092_01CX1_A4")</f>
        <v>8719092_01CX1_A4</v>
      </c>
      <c r="B3480" t="str">
        <f>HYPERLINK("http://www.corstruth.com.au/NT/PNG2/8719092_01CX1_cs.png","8719092_01CX1_0.25m Bins")</f>
        <v>8719092_01CX1_0.25m Bins</v>
      </c>
      <c r="C3480" t="str">
        <f>HYPERLINK("http://www.corstruth.com.au/NT/CSV/8719092_01CX1.csv","8719092_01CX1_CSV File 1m Bins")</f>
        <v>8719092_01CX1_CSV File 1m Bins</v>
      </c>
      <c r="D3480">
        <v>8719092</v>
      </c>
      <c r="E3480" t="s">
        <v>2165</v>
      </c>
      <c r="G3480" t="s">
        <v>2181</v>
      </c>
      <c r="I3480">
        <v>-14.976000000000001</v>
      </c>
      <c r="J3480">
        <v>130.04300000000001</v>
      </c>
    </row>
    <row r="3481" spans="1:10" x14ac:dyDescent="0.25">
      <c r="A3481" t="str">
        <f>HYPERLINK("http://www.corstruth.com.au/NT/8719096_WD2_cs.png","8719096_WD2_A4")</f>
        <v>8719096_WD2_A4</v>
      </c>
      <c r="B3481" t="str">
        <f>HYPERLINK("http://www.corstruth.com.au/NT/PNG2/8719096_WD2_cs.png","8719096_WD2_0.25m Bins")</f>
        <v>8719096_WD2_0.25m Bins</v>
      </c>
      <c r="C3481" t="str">
        <f>HYPERLINK("http://www.corstruth.com.au/NT/CSV/8719096_WD2.csv","8719096_WD2_CSV File 1m Bins")</f>
        <v>8719096_WD2_CSV File 1m Bins</v>
      </c>
      <c r="D3481">
        <v>8719096</v>
      </c>
      <c r="E3481" t="s">
        <v>2165</v>
      </c>
      <c r="G3481" t="s">
        <v>2181</v>
      </c>
      <c r="I3481">
        <v>-12.3437</v>
      </c>
      <c r="J3481">
        <v>131.501</v>
      </c>
    </row>
    <row r="3482" spans="1:10" x14ac:dyDescent="0.25">
      <c r="A3482" t="str">
        <f>HYPERLINK("http://www.corstruth.com.au/NT/8719097_78WORD10_cs.png","8719097_78WORD10_A4")</f>
        <v>8719097_78WORD10_A4</v>
      </c>
      <c r="B3482" t="str">
        <f>HYPERLINK("http://www.corstruth.com.au/NT/PNG2/8719097_78WORD10_cs.png","8719097_78WORD10_0.25m Bins")</f>
        <v>8719097_78WORD10_0.25m Bins</v>
      </c>
      <c r="C3482" t="str">
        <f>HYPERLINK("http://www.corstruth.com.au/NT/CSV/8719097_78WORD10.csv","8719097_78WORD10_CSV File 1m Bins")</f>
        <v>8719097_78WORD10_CSV File 1m Bins</v>
      </c>
      <c r="D3482">
        <v>8719097</v>
      </c>
      <c r="E3482" t="s">
        <v>2165</v>
      </c>
      <c r="G3482" t="s">
        <v>2181</v>
      </c>
      <c r="I3482">
        <v>-12.3627</v>
      </c>
      <c r="J3482">
        <v>131.471</v>
      </c>
    </row>
    <row r="3483" spans="1:10" x14ac:dyDescent="0.25">
      <c r="A3483" t="str">
        <f>HYPERLINK("http://www.corstruth.com.au/NT/8719219_VB21_012_cs.png","8719219_VB21_012_A4")</f>
        <v>8719219_VB21_012_A4</v>
      </c>
      <c r="B3483" t="str">
        <f>HYPERLINK("http://www.corstruth.com.au/NT/PNG2/8719219_VB21_012_cs.png","8719219_VB21_012_0.25m Bins")</f>
        <v>8719219_VB21_012_0.25m Bins</v>
      </c>
      <c r="C3483" t="str">
        <f>HYPERLINK("http://www.corstruth.com.au/NT/CSV/8719219_VB21_012.csv","8719219_VB21_012_CSV File 1m Bins")</f>
        <v>8719219_VB21_012_CSV File 1m Bins</v>
      </c>
      <c r="D3483">
        <v>8719219</v>
      </c>
      <c r="E3483" t="s">
        <v>2165</v>
      </c>
      <c r="G3483" t="s">
        <v>2181</v>
      </c>
      <c r="I3483">
        <v>-14.126200000000001</v>
      </c>
      <c r="J3483">
        <v>132.114</v>
      </c>
    </row>
    <row r="3484" spans="1:10" x14ac:dyDescent="0.25">
      <c r="A3484" t="str">
        <f>HYPERLINK("http://www.corstruth.com.au/NT/8720708_FEDD001_cs.png","8720708_FEDD001_A4")</f>
        <v>8720708_FEDD001_A4</v>
      </c>
      <c r="B3484" t="str">
        <f>HYPERLINK("http://www.corstruth.com.au/NT/PNG2/8720708_FEDD001_cs.png","8720708_FEDD001_0.25m Bins")</f>
        <v>8720708_FEDD001_0.25m Bins</v>
      </c>
      <c r="C3484" t="str">
        <f>HYPERLINK("http://www.corstruth.com.au/NT/CSV/8720708_FEDD001.csv","8720708_FEDD001_CSV File 1m Bins")</f>
        <v>8720708_FEDD001_CSV File 1m Bins</v>
      </c>
      <c r="D3484">
        <v>8720708</v>
      </c>
      <c r="E3484" t="s">
        <v>2165</v>
      </c>
      <c r="G3484" t="s">
        <v>2181</v>
      </c>
      <c r="I3484">
        <v>-12.7057</v>
      </c>
      <c r="J3484">
        <v>130.81299999999999</v>
      </c>
    </row>
    <row r="3485" spans="1:10" x14ac:dyDescent="0.25">
      <c r="A3485" t="str">
        <f>HYPERLINK("http://www.corstruth.com.au/NT/8720709_FEDD002_cs.png","8720709_FEDD002_A4")</f>
        <v>8720709_FEDD002_A4</v>
      </c>
      <c r="B3485" t="str">
        <f>HYPERLINK("http://www.corstruth.com.au/NT/PNG2/8720709_FEDD002_cs.png","8720709_FEDD002_0.25m Bins")</f>
        <v>8720709_FEDD002_0.25m Bins</v>
      </c>
      <c r="C3485" t="str">
        <f>HYPERLINK("http://www.corstruth.com.au/NT/CSV/8720709_FEDD002.csv","8720709_FEDD002_CSV File 1m Bins")</f>
        <v>8720709_FEDD002_CSV File 1m Bins</v>
      </c>
      <c r="D3485">
        <v>8720709</v>
      </c>
      <c r="E3485" t="s">
        <v>2165</v>
      </c>
      <c r="G3485" t="s">
        <v>2181</v>
      </c>
      <c r="I3485">
        <v>-12.7</v>
      </c>
      <c r="J3485">
        <v>130.81399999999999</v>
      </c>
    </row>
    <row r="3486" spans="1:10" x14ac:dyDescent="0.25">
      <c r="A3486" t="str">
        <f>HYPERLINK("http://www.corstruth.com.au/NT/8720710_FEDD003_cs.png","8720710_FEDD003_A4")</f>
        <v>8720710_FEDD003_A4</v>
      </c>
      <c r="B3486" t="str">
        <f>HYPERLINK("http://www.corstruth.com.au/NT/PNG2/8720710_FEDD003_cs.png","8720710_FEDD003_0.25m Bins")</f>
        <v>8720710_FEDD003_0.25m Bins</v>
      </c>
      <c r="C3486" t="str">
        <f>HYPERLINK("http://www.corstruth.com.au/NT/CSV/8720710_FEDD003.csv","8720710_FEDD003_CSV File 1m Bins")</f>
        <v>8720710_FEDD003_CSV File 1m Bins</v>
      </c>
      <c r="D3486">
        <v>8720710</v>
      </c>
      <c r="E3486" t="s">
        <v>2165</v>
      </c>
      <c r="G3486" t="s">
        <v>2181</v>
      </c>
      <c r="I3486">
        <v>-12.695399999999999</v>
      </c>
      <c r="J3486">
        <v>130.815</v>
      </c>
    </row>
    <row r="3487" spans="1:10" x14ac:dyDescent="0.25">
      <c r="A3487" t="str">
        <f>HYPERLINK("http://www.corstruth.com.au/NT/8724181_DDH2_cs.png","8724181_DDH2_A4")</f>
        <v>8724181_DDH2_A4</v>
      </c>
      <c r="B3487" t="str">
        <f>HYPERLINK("http://www.corstruth.com.au/NT/PNG2/8724181_DDH2_cs.png","8724181_DDH2_0.25m Bins")</f>
        <v>8724181_DDH2_0.25m Bins</v>
      </c>
      <c r="C3487" t="str">
        <f>HYPERLINK("http://www.corstruth.com.au/NT/CSV/8724181_DDH2.csv","8724181_DDH2_CSV File 1m Bins")</f>
        <v>8724181_DDH2_CSV File 1m Bins</v>
      </c>
      <c r="D3487">
        <v>8724181</v>
      </c>
      <c r="E3487" t="s">
        <v>2165</v>
      </c>
      <c r="G3487" t="s">
        <v>2181</v>
      </c>
      <c r="I3487">
        <v>-13.540699999999999</v>
      </c>
      <c r="J3487">
        <v>131.55099999999999</v>
      </c>
    </row>
    <row r="3488" spans="1:10" x14ac:dyDescent="0.25">
      <c r="A3488" t="str">
        <f>HYPERLINK("http://www.corstruth.com.au/NT/8729270_BBD001_cs.png","8729270_BBD001_A4")</f>
        <v>8729270_BBD001_A4</v>
      </c>
      <c r="B3488" t="str">
        <f>HYPERLINK("http://www.corstruth.com.au/NT/PNG2/8729270_BBD001_cs.png","8729270_BBD001_0.25m Bins")</f>
        <v>8729270_BBD001_0.25m Bins</v>
      </c>
      <c r="C3488" t="str">
        <f>HYPERLINK("http://www.corstruth.com.au/NT/CSV/8729270_BBD001.csv","8729270_BBD001_CSV File 1m Bins")</f>
        <v>8729270_BBD001_CSV File 1m Bins</v>
      </c>
      <c r="D3488">
        <v>8729270</v>
      </c>
      <c r="E3488" t="s">
        <v>2165</v>
      </c>
      <c r="G3488" t="s">
        <v>2181</v>
      </c>
      <c r="I3488">
        <v>-13.473800000000001</v>
      </c>
      <c r="J3488">
        <v>131.43</v>
      </c>
    </row>
    <row r="3489" spans="1:11" x14ac:dyDescent="0.25">
      <c r="A3489" t="str">
        <f>HYPERLINK("http://www.corstruth.com.au/NT/8731270_BBD007_cs.png","8731270_BBD007_A4")</f>
        <v>8731270_BBD007_A4</v>
      </c>
      <c r="B3489" t="str">
        <f>HYPERLINK("http://www.corstruth.com.au/NT/PNG2/8731270_BBD007_cs.png","8731270_BBD007_0.25m Bins")</f>
        <v>8731270_BBD007_0.25m Bins</v>
      </c>
      <c r="C3489" t="str">
        <f>HYPERLINK("http://www.corstruth.com.au/NT/CSV/8731270_BBD007.csv","8731270_BBD007_CSV File 1m Bins")</f>
        <v>8731270_BBD007_CSV File 1m Bins</v>
      </c>
      <c r="D3489">
        <v>8731270</v>
      </c>
      <c r="E3489" t="s">
        <v>2165</v>
      </c>
      <c r="G3489" t="s">
        <v>2181</v>
      </c>
      <c r="I3489">
        <v>-13.47</v>
      </c>
      <c r="J3489">
        <v>131.41200000000001</v>
      </c>
    </row>
    <row r="3490" spans="1:11" x14ac:dyDescent="0.25">
      <c r="A3490" t="str">
        <f>HYPERLINK("http://www.corstruth.com.au/NT/8731271_BBD010_cs.png","8731271_BBD010_A4")</f>
        <v>8731271_BBD010_A4</v>
      </c>
      <c r="B3490" t="str">
        <f>HYPERLINK("http://www.corstruth.com.au/NT/PNG2/8731271_BBD010_cs.png","8731271_BBD010_0.25m Bins")</f>
        <v>8731271_BBD010_0.25m Bins</v>
      </c>
      <c r="C3490" t="str">
        <f>HYPERLINK("http://www.corstruth.com.au/NT/CSV/8731271_BBD010.csv","8731271_BBD010_CSV File 1m Bins")</f>
        <v>8731271_BBD010_CSV File 1m Bins</v>
      </c>
      <c r="D3490">
        <v>8731271</v>
      </c>
      <c r="E3490" t="s">
        <v>2165</v>
      </c>
      <c r="G3490" t="s">
        <v>2181</v>
      </c>
      <c r="I3490">
        <v>-13.470599999999999</v>
      </c>
      <c r="J3490">
        <v>131.41399999999999</v>
      </c>
    </row>
    <row r="3491" spans="1:11" x14ac:dyDescent="0.25">
      <c r="A3491" t="str">
        <f>HYPERLINK("http://www.corstruth.com.au/NT/8731272_BBD011_cs.png","8731272_BBD011_A4")</f>
        <v>8731272_BBD011_A4</v>
      </c>
      <c r="B3491" t="str">
        <f>HYPERLINK("http://www.corstruth.com.au/NT/PNG2/8731272_BBD011_cs.png","8731272_BBD011_0.25m Bins")</f>
        <v>8731272_BBD011_0.25m Bins</v>
      </c>
      <c r="C3491" t="str">
        <f>HYPERLINK("http://www.corstruth.com.au/NT/CSV/8731272_BBD011.csv","8731272_BBD011_CSV File 1m Bins")</f>
        <v>8731272_BBD011_CSV File 1m Bins</v>
      </c>
      <c r="D3491">
        <v>8731272</v>
      </c>
      <c r="E3491" t="s">
        <v>2165</v>
      </c>
      <c r="G3491" t="s">
        <v>2181</v>
      </c>
      <c r="I3491">
        <v>-13.4732</v>
      </c>
      <c r="J3491">
        <v>131.428</v>
      </c>
    </row>
    <row r="3492" spans="1:11" x14ac:dyDescent="0.25">
      <c r="A3492" t="str">
        <f>HYPERLINK("http://www.corstruth.com.au/NT/8731273_BBD012_cs.png","8731273_BBD012_A4")</f>
        <v>8731273_BBD012_A4</v>
      </c>
      <c r="B3492" t="str">
        <f>HYPERLINK("http://www.corstruth.com.au/NT/PNG2/8731273_BBD012_cs.png","8731273_BBD012_0.25m Bins")</f>
        <v>8731273_BBD012_0.25m Bins</v>
      </c>
      <c r="C3492" t="str">
        <f>HYPERLINK("http://www.corstruth.com.au/NT/CSV/8731273_BBD012.csv","8731273_BBD012_CSV File 1m Bins")</f>
        <v>8731273_BBD012_CSV File 1m Bins</v>
      </c>
      <c r="D3492">
        <v>8731273</v>
      </c>
      <c r="E3492" t="s">
        <v>2165</v>
      </c>
      <c r="G3492" t="s">
        <v>2181</v>
      </c>
      <c r="I3492">
        <v>-13.451499999999999</v>
      </c>
      <c r="J3492">
        <v>131.43100000000001</v>
      </c>
    </row>
    <row r="3493" spans="1:11" x14ac:dyDescent="0.25">
      <c r="A3493" t="str">
        <f>HYPERLINK("http://www.corstruth.com.au/NT/8750031_FH1_cs.png","8750031_FH1_A4")</f>
        <v>8750031_FH1_A4</v>
      </c>
      <c r="B3493" t="str">
        <f>HYPERLINK("http://www.corstruth.com.au/NT/PNG2/8750031_FH1_cs.png","8750031_FH1_0.25m Bins")</f>
        <v>8750031_FH1_0.25m Bins</v>
      </c>
      <c r="C3493" t="str">
        <f>HYPERLINK("http://www.corstruth.com.au/NT/CSV/8750031_FH1.csv","8750031_FH1_CSV File 1m Bins")</f>
        <v>8750031_FH1_CSV File 1m Bins</v>
      </c>
      <c r="D3493">
        <v>8750031</v>
      </c>
      <c r="E3493" t="s">
        <v>2165</v>
      </c>
      <c r="G3493" t="s">
        <v>2181</v>
      </c>
      <c r="I3493">
        <v>-13.4986</v>
      </c>
      <c r="J3493">
        <v>131.501</v>
      </c>
    </row>
    <row r="3494" spans="1:11" x14ac:dyDescent="0.25">
      <c r="A3494" t="str">
        <f>HYPERLINK("http://www.corstruth.com.au/NT/8750263_P14_1B_cs.png","8750263_P14_1B_A4")</f>
        <v>8750263_P14_1B_A4</v>
      </c>
      <c r="B3494" t="str">
        <f>HYPERLINK("http://www.corstruth.com.au/NT/PNG2/8750263_P14_1B_cs.png","8750263_P14_1B_0.25m Bins")</f>
        <v>8750263_P14_1B_0.25m Bins</v>
      </c>
      <c r="C3494" t="str">
        <f>HYPERLINK("http://www.corstruth.com.au/NT/CSV/8750263_P14_1B.csv","8750263_P14_1B_CSV File 1m Bins")</f>
        <v>8750263_P14_1B_CSV File 1m Bins</v>
      </c>
      <c r="D3494">
        <v>8750263</v>
      </c>
      <c r="E3494" t="s">
        <v>2165</v>
      </c>
      <c r="G3494" t="s">
        <v>2181</v>
      </c>
      <c r="I3494">
        <v>-12.3522</v>
      </c>
      <c r="J3494">
        <v>131.495</v>
      </c>
    </row>
    <row r="3495" spans="1:11" x14ac:dyDescent="0.25">
      <c r="A3495" t="str">
        <f>HYPERLINK("http://www.corstruth.com.au/NT/8750337_WP1_S2_cs.png","8750337_WP1_S2_A4")</f>
        <v>8750337_WP1_S2_A4</v>
      </c>
      <c r="B3495" t="str">
        <f>HYPERLINK("http://www.corstruth.com.au/NT/PNG2/8750337_WP1_S2_cs.png","8750337_WP1_S2_0.25m Bins")</f>
        <v>8750337_WP1_S2_0.25m Bins</v>
      </c>
      <c r="C3495" t="str">
        <f>HYPERLINK("http://www.corstruth.com.au/NT/CSV/8750337_WP1_S2.csv","8750337_WP1_S2_CSV File 1m Bins")</f>
        <v>8750337_WP1_S2_CSV File 1m Bins</v>
      </c>
      <c r="D3495">
        <v>8750337</v>
      </c>
      <c r="E3495" t="s">
        <v>2165</v>
      </c>
      <c r="G3495" t="s">
        <v>2181</v>
      </c>
      <c r="I3495">
        <v>-12.3446</v>
      </c>
      <c r="J3495">
        <v>131.398</v>
      </c>
    </row>
    <row r="3496" spans="1:11" x14ac:dyDescent="0.25">
      <c r="A3496" t="str">
        <f>HYPERLINK("http://www.corstruth.com.au/NT/8750340_WP2_S1_cs.png","8750340_WP2_S1_A4")</f>
        <v>8750340_WP2_S1_A4</v>
      </c>
      <c r="B3496" t="str">
        <f>HYPERLINK("http://www.corstruth.com.au/NT/PNG2/8750340_WP2_S1_cs.png","8750340_WP2_S1_0.25m Bins")</f>
        <v>8750340_WP2_S1_0.25m Bins</v>
      </c>
      <c r="C3496" t="str">
        <f>HYPERLINK("http://www.corstruth.com.au/NT/CSV/8750340_WP2_S1.csv","8750340_WP2_S1_CSV File 1m Bins")</f>
        <v>8750340_WP2_S1_CSV File 1m Bins</v>
      </c>
      <c r="D3496">
        <v>8750340</v>
      </c>
      <c r="E3496" t="s">
        <v>2165</v>
      </c>
      <c r="G3496" t="s">
        <v>2181</v>
      </c>
      <c r="I3496">
        <v>-12.359500000000001</v>
      </c>
      <c r="J3496">
        <v>131.40299999999999</v>
      </c>
    </row>
    <row r="3497" spans="1:11" x14ac:dyDescent="0.25">
      <c r="A3497" t="str">
        <f>HYPERLINK("http://www.corstruth.com.au/NT/8750821_DDH3_cs.png","8750821_DDH3_A4")</f>
        <v>8750821_DDH3_A4</v>
      </c>
      <c r="B3497" t="str">
        <f>HYPERLINK("http://www.corstruth.com.au/NT/PNG2/8750821_DDH3_cs.png","8750821_DDH3_0.25m Bins")</f>
        <v>8750821_DDH3_0.25m Bins</v>
      </c>
      <c r="C3497" t="str">
        <f>HYPERLINK("http://www.corstruth.com.au/NT/CSV/8750821_DDH3.csv","8750821_DDH3_CSV File 1m Bins")</f>
        <v>8750821_DDH3_CSV File 1m Bins</v>
      </c>
      <c r="D3497">
        <v>8750821</v>
      </c>
      <c r="E3497" t="s">
        <v>2165</v>
      </c>
      <c r="G3497" t="s">
        <v>2181</v>
      </c>
      <c r="I3497">
        <v>-13.534700000000001</v>
      </c>
      <c r="J3497">
        <v>131.29300000000001</v>
      </c>
    </row>
    <row r="3498" spans="1:11" x14ac:dyDescent="0.25">
      <c r="A3498" t="str">
        <f>HYPERLINK("http://www.corstruth.com.au/NT/8751524_Q154_S_2_cs.png","8751524_Q154_S_2_A4")</f>
        <v>8751524_Q154_S_2_A4</v>
      </c>
      <c r="B3498" t="str">
        <f>HYPERLINK("http://www.corstruth.com.au/NT/PNG2/8751524_Q154_S_2_cs.png","8751524_Q154_S_2_0.25m Bins")</f>
        <v>8751524_Q154_S_2_0.25m Bins</v>
      </c>
      <c r="C3498" t="str">
        <f>HYPERLINK("http://www.corstruth.com.au/NT/CSV/8751524_Q154_S_2.csv","8751524_Q154_S_2_CSV File 1m Bins")</f>
        <v>8751524_Q154_S_2_CSV File 1m Bins</v>
      </c>
      <c r="D3498">
        <v>8751524</v>
      </c>
      <c r="E3498" t="s">
        <v>2165</v>
      </c>
      <c r="G3498" t="s">
        <v>2181</v>
      </c>
      <c r="I3498">
        <v>-13.338200000000001</v>
      </c>
      <c r="J3498">
        <v>131.30799999999999</v>
      </c>
    </row>
    <row r="3499" spans="1:11" x14ac:dyDescent="0.25">
      <c r="A3499" t="str">
        <f>HYPERLINK("http://www.corstruth.com.au/NT/8751745_TWDDH001_cs.png","8751745_TWDDH001_A4")</f>
        <v>8751745_TWDDH001_A4</v>
      </c>
      <c r="B3499" t="str">
        <f>HYPERLINK("http://www.corstruth.com.au/NT/PNG2/8751745_TWDDH001_cs.png","8751745_TWDDH001_0.25m Bins")</f>
        <v>8751745_TWDDH001_0.25m Bins</v>
      </c>
      <c r="C3499" t="str">
        <f>HYPERLINK("http://www.corstruth.com.au/NT/CSV/8751745_TWDDH001.csv","8751745_TWDDH001_CSV File 1m Bins")</f>
        <v>8751745_TWDDH001_CSV File 1m Bins</v>
      </c>
      <c r="D3499">
        <v>8751745</v>
      </c>
      <c r="E3499" t="s">
        <v>2165</v>
      </c>
      <c r="G3499" t="s">
        <v>2181</v>
      </c>
      <c r="I3499">
        <v>-13.577199999999999</v>
      </c>
      <c r="J3499">
        <v>132.02699999999999</v>
      </c>
    </row>
    <row r="3500" spans="1:11" x14ac:dyDescent="0.25">
      <c r="A3500" t="str">
        <f>HYPERLINK("http://www.corstruth.com.au/NT/8752073_SMRD001_cs.png","8752073_SMRD001_A4")</f>
        <v>8752073_SMRD001_A4</v>
      </c>
      <c r="B3500" t="str">
        <f>HYPERLINK("http://www.corstruth.com.au/NT/PNG2/8752073_SMRD001_cs.png","8752073_SMRD001_0.25m Bins")</f>
        <v>8752073_SMRD001_0.25m Bins</v>
      </c>
      <c r="C3500" t="str">
        <f>HYPERLINK("http://www.corstruth.com.au/NT/CSV/8752073_SMRD001.csv","8752073_SMRD001_CSV File 1m Bins")</f>
        <v>8752073_SMRD001_CSV File 1m Bins</v>
      </c>
      <c r="D3500">
        <v>8752073</v>
      </c>
      <c r="E3500" t="s">
        <v>2165</v>
      </c>
      <c r="G3500" t="s">
        <v>2181</v>
      </c>
      <c r="I3500">
        <v>-12.868600000000001</v>
      </c>
      <c r="J3500">
        <v>130.78200000000001</v>
      </c>
    </row>
    <row r="3501" spans="1:11" x14ac:dyDescent="0.25">
      <c r="A3501" t="str">
        <f>HYPERLINK("http://www.corstruth.com.au/NT/8758706_22HK0008C_P_cs.png","8758706_22HK0008C_P_A4")</f>
        <v>8758706_22HK0008C_P_A4</v>
      </c>
      <c r="B3501" t="str">
        <f>HYPERLINK("http://www.corstruth.com.au/NT/PNG2/8758706_22HK0008C_P_cs.png","8758706_22HK0008C_P_0.25m Bins")</f>
        <v>8758706_22HK0008C_P_0.25m Bins</v>
      </c>
      <c r="C3501" t="str">
        <f>HYPERLINK("http://www.corstruth.com.au/NT/CSV/8758706_22HK0008C_P.csv","8758706_22HK0008C_P_CSV File 1m Bins")</f>
        <v>8758706_22HK0008C_P_CSV File 1m Bins</v>
      </c>
      <c r="D3501">
        <v>8758706</v>
      </c>
      <c r="E3501" t="s">
        <v>2165</v>
      </c>
      <c r="G3501" t="s">
        <v>2181</v>
      </c>
      <c r="I3501">
        <v>-13.612500000000001</v>
      </c>
      <c r="J3501">
        <v>131.71600000000001</v>
      </c>
    </row>
    <row r="3502" spans="1:11" x14ac:dyDescent="0.25">
      <c r="A3502" t="str">
        <f>HYPERLINK("http://www.corstruth.com.au/NT/972010_DAD0006_cs.png","972010_DAD0006_A4")</f>
        <v>972010_DAD0006_A4</v>
      </c>
      <c r="B3502" t="str">
        <f>HYPERLINK("http://www.corstruth.com.au/NT/PNG2/972010_DAD0006_cs.png","972010_DAD0006_0.25m Bins")</f>
        <v>972010_DAD0006_0.25m Bins</v>
      </c>
      <c r="C3502" t="str">
        <f>HYPERLINK("http://www.corstruth.com.au/NT/CSV/972010_DAD0006.csv","972010_DAD0006_CSV File 1m Bins")</f>
        <v>972010_DAD0006_CSV File 1m Bins</v>
      </c>
      <c r="D3502">
        <v>972010</v>
      </c>
      <c r="E3502" t="s">
        <v>2165</v>
      </c>
      <c r="G3502" t="s">
        <v>2181</v>
      </c>
      <c r="I3502">
        <v>-13.547599999999999</v>
      </c>
      <c r="J3502">
        <v>133.376</v>
      </c>
      <c r="K3502" t="str">
        <f>HYPERLINK("http://geology.data.nt.gov.au/NVCLDataServices/mosaic.html?datasetid=f8fc98ee-0110-41b1-97d2-065db9397de","972010_DAD0006_Core Image")</f>
        <v>972010_DAD0006_Core Image</v>
      </c>
    </row>
    <row r="3503" spans="1:11" x14ac:dyDescent="0.25">
      <c r="A3503" t="str">
        <f>HYPERLINK("http://www.corstruth.com.au/NT/972018_DAD0008_cs.png","972018_DAD0008_A4")</f>
        <v>972018_DAD0008_A4</v>
      </c>
      <c r="B3503" t="str">
        <f>HYPERLINK("http://www.corstruth.com.au/NT/PNG2/972018_DAD0008_cs.png","972018_DAD0008_0.25m Bins")</f>
        <v>972018_DAD0008_0.25m Bins</v>
      </c>
      <c r="C3503" t="str">
        <f>HYPERLINK("http://www.corstruth.com.au/NT/CSV/972018_DAD0008.csv","972018_DAD0008_CSV File 1m Bins")</f>
        <v>972018_DAD0008_CSV File 1m Bins</v>
      </c>
      <c r="D3503">
        <v>972018</v>
      </c>
      <c r="E3503" t="s">
        <v>2165</v>
      </c>
      <c r="G3503" t="s">
        <v>2181</v>
      </c>
      <c r="I3503">
        <v>-13.401899999999999</v>
      </c>
      <c r="J3503">
        <v>133.09</v>
      </c>
    </row>
    <row r="3504" spans="1:11" x14ac:dyDescent="0.25">
      <c r="A3504" t="str">
        <f>HYPERLINK("http://www.corstruth.com.au/NT/8679213_Carrara1_cs.png","8679213_Carrara1_A4")</f>
        <v>8679213_Carrara1_A4</v>
      </c>
      <c r="B3504" t="str">
        <f>HYPERLINK("http://www.corstruth.com.au/NT/PNG2/8679213_Carrara1_cs.png","8679213_Carrara1_0.25m Bins")</f>
        <v>8679213_Carrara1_0.25m Bins</v>
      </c>
      <c r="C3504" t="str">
        <f>HYPERLINK("http://www.corstruth.com.au/NT/CSV/8679213_Carrara1.csv","8679213_Carrara1_CSV File 1m Bins")</f>
        <v>8679213_Carrara1_CSV File 1m Bins</v>
      </c>
      <c r="D3504">
        <v>8679213</v>
      </c>
      <c r="E3504" t="s">
        <v>2165</v>
      </c>
      <c r="G3504" t="s">
        <v>2182</v>
      </c>
      <c r="I3504">
        <v>-18.973199999999999</v>
      </c>
      <c r="J3504">
        <v>137.785</v>
      </c>
      <c r="K3504" t="str">
        <f>HYPERLINK("http://geology.data.nt.gov.au/NVCLDataServices/mosaic.html?datasetid=c9da50a4-20a6-4eb5-bbc7-3e283d59c4c","8679213_Carrara1_Core Image")</f>
        <v>8679213_Carrara1_Core Image</v>
      </c>
    </row>
    <row r="3505" spans="1:11" x14ac:dyDescent="0.25">
      <c r="A3505" t="str">
        <f>HYPERLINK("http://www.corstruth.com.au/NT/8471138_HMRD100001_cs.png","8471138_HMRD100001_A4")</f>
        <v>8471138_HMRD100001_A4</v>
      </c>
      <c r="B3505" t="str">
        <f>HYPERLINK("http://www.corstruth.com.au/NT/PNG2/8471138_HMRD100001_cs.png","8471138_HMRD100001_0.25m Bins")</f>
        <v>8471138_HMRD100001_0.25m Bins</v>
      </c>
      <c r="C3505" t="str">
        <f>HYPERLINK("http://www.corstruth.com.au/NT/CSV/8471138_HMRD100001.csv","8471138_HMRD100001_CSV File 1m Bins")</f>
        <v>8471138_HMRD100001_CSV File 1m Bins</v>
      </c>
      <c r="D3505">
        <v>8471138</v>
      </c>
      <c r="E3505" t="s">
        <v>2165</v>
      </c>
      <c r="G3505" t="s">
        <v>2183</v>
      </c>
      <c r="I3505">
        <v>-20.4559</v>
      </c>
      <c r="J3505">
        <v>129.65799999999999</v>
      </c>
      <c r="K3505" t="str">
        <f>HYPERLINK("http://geology.data.nt.gov.au/NVCLDataServices/mosaic.html?datasetid=955cfbf1-81a4-45bf-8eec-b5a362f362e","8471138_HMRD100001_Core Image")</f>
        <v>8471138_HMRD100001_Core Image</v>
      </c>
    </row>
    <row r="3506" spans="1:11" x14ac:dyDescent="0.25">
      <c r="A3506" t="str">
        <f>HYPERLINK("http://www.corstruth.com.au/NT/8601467_BLDD001_cs.png","8601467_BLDD001_A4")</f>
        <v>8601467_BLDD001_A4</v>
      </c>
      <c r="B3506" t="str">
        <f>HYPERLINK("http://www.corstruth.com.au/NT/PNG2/8601467_BLDD001_cs.png","8601467_BLDD001_0.25m Bins")</f>
        <v>8601467_BLDD001_0.25m Bins</v>
      </c>
      <c r="C3506" t="str">
        <f>HYPERLINK("http://www.corstruth.com.au/NT/CSV/8601467_BLDD001.csv","8601467_BLDD001_CSV File 1m Bins")</f>
        <v>8601467_BLDD001_CSV File 1m Bins</v>
      </c>
      <c r="D3506">
        <v>8601467</v>
      </c>
      <c r="E3506" t="s">
        <v>2165</v>
      </c>
      <c r="G3506" t="s">
        <v>2183</v>
      </c>
      <c r="I3506">
        <v>-20.194700000000001</v>
      </c>
      <c r="J3506">
        <v>129.32400000000001</v>
      </c>
    </row>
    <row r="3507" spans="1:11" x14ac:dyDescent="0.25">
      <c r="A3507" t="str">
        <f>HYPERLINK("http://www.corstruth.com.au/NT/8601468_BLDD002_cs.png","8601468_BLDD002_A4")</f>
        <v>8601468_BLDD002_A4</v>
      </c>
      <c r="B3507" t="str">
        <f>HYPERLINK("http://www.corstruth.com.au/NT/PNG2/8601468_BLDD002_cs.png","8601468_BLDD002_0.25m Bins")</f>
        <v>8601468_BLDD002_0.25m Bins</v>
      </c>
      <c r="C3507" t="str">
        <f>HYPERLINK("http://www.corstruth.com.au/NT/CSV/8601468_BLDD002.csv","8601468_BLDD002_CSV File 1m Bins")</f>
        <v>8601468_BLDD002_CSV File 1m Bins</v>
      </c>
      <c r="D3507">
        <v>8601468</v>
      </c>
      <c r="E3507" t="s">
        <v>2165</v>
      </c>
      <c r="G3507" t="s">
        <v>2183</v>
      </c>
      <c r="I3507">
        <v>-20.1861</v>
      </c>
      <c r="J3507">
        <v>129.31100000000001</v>
      </c>
    </row>
    <row r="3508" spans="1:11" x14ac:dyDescent="0.25">
      <c r="A3508" t="str">
        <f>HYPERLINK("http://www.corstruth.com.au/NT/8618232_EUR0018_cs.png","8618232_EUR0018_A4")</f>
        <v>8618232_EUR0018_A4</v>
      </c>
      <c r="B3508" t="str">
        <f>HYPERLINK("http://www.corstruth.com.au/NT/PNG2/8618232_EUR0018_cs.png","8618232_EUR0018_0.25m Bins")</f>
        <v>8618232_EUR0018_0.25m Bins</v>
      </c>
      <c r="C3508" t="str">
        <f>HYPERLINK("http://www.corstruth.com.au/NT/CSV/8618232_EUR0018.csv","8618232_EUR0018_CSV File 1m Bins")</f>
        <v>8618232_EUR0018_CSV File 1m Bins</v>
      </c>
      <c r="D3508">
        <v>8618232</v>
      </c>
      <c r="E3508" t="s">
        <v>2165</v>
      </c>
      <c r="G3508" t="s">
        <v>2183</v>
      </c>
      <c r="I3508">
        <v>-20.3246</v>
      </c>
      <c r="J3508">
        <v>129.95699999999999</v>
      </c>
      <c r="K3508" t="str">
        <f>HYPERLINK("http://geology.data.nt.gov.au/NVCLDataServices/mosaic.html?datasetid=c28fd7a8-6089-4596-a81b-46343286190","8618232_EUR0018_Core Image")</f>
        <v>8618232_EUR0018_Core Image</v>
      </c>
    </row>
    <row r="3509" spans="1:11" x14ac:dyDescent="0.25">
      <c r="A3509" t="str">
        <f>HYPERLINK("http://www.corstruth.com.au/NT/8621856_EUR0032_cs.png","8621856_EUR0032_A4")</f>
        <v>8621856_EUR0032_A4</v>
      </c>
      <c r="B3509" t="str">
        <f>HYPERLINK("http://www.corstruth.com.au/NT/PNG2/8621856_EUR0032_cs.png","8621856_EUR0032_0.25m Bins")</f>
        <v>8621856_EUR0032_0.25m Bins</v>
      </c>
      <c r="C3509" t="str">
        <f>HYPERLINK("http://www.corstruth.com.au/NT/CSV/8621856_EUR0032.csv","8621856_EUR0032_CSV File 1m Bins")</f>
        <v>8621856_EUR0032_CSV File 1m Bins</v>
      </c>
      <c r="D3509">
        <v>8621856</v>
      </c>
      <c r="E3509" t="s">
        <v>2165</v>
      </c>
      <c r="G3509" t="s">
        <v>2183</v>
      </c>
      <c r="I3509">
        <v>-20.087700000000002</v>
      </c>
      <c r="J3509">
        <v>130.291</v>
      </c>
      <c r="K3509" t="str">
        <f>HYPERLINK("http://geology.data.nt.gov.au/NVCLDataServices/mosaic.html?datasetid=cc790404-276f-455f-a5b3-5e34b9c2ff3","8621856_EUR0032_Core Image")</f>
        <v>8621856_EUR0032_Core Image</v>
      </c>
    </row>
    <row r="3510" spans="1:11" x14ac:dyDescent="0.25">
      <c r="A3510" t="str">
        <f>HYPERLINK("http://www.corstruth.com.au/NT/8636110_HYDD100054_cs.png","8636110_HYDD100054_A4")</f>
        <v>8636110_HYDD100054_A4</v>
      </c>
      <c r="B3510" t="str">
        <f>HYPERLINK("http://www.corstruth.com.au/NT/PNG2/8636110_HYDD100054_cs.png","8636110_HYDD100054_0.25m Bins")</f>
        <v>8636110_HYDD100054_0.25m Bins</v>
      </c>
      <c r="C3510" t="str">
        <f>HYPERLINK("http://www.corstruth.com.au/NT/CSV/8636110_HYDD100054.csv","8636110_HYDD100054_CSV File 1m Bins")</f>
        <v>8636110_HYDD100054_CSV File 1m Bins</v>
      </c>
      <c r="D3510">
        <v>8636110</v>
      </c>
      <c r="E3510" t="s">
        <v>2165</v>
      </c>
      <c r="G3510" t="s">
        <v>2183</v>
      </c>
      <c r="I3510">
        <v>-19.567399999999999</v>
      </c>
      <c r="J3510">
        <v>130.08699999999999</v>
      </c>
      <c r="K3510" t="str">
        <f>HYPERLINK("http://geology.data.nt.gov.au/NVCLDataServices/mosaic.html?datasetid=0b5e2b10-8ba0-406c-b915-980cdbb18c9","8636110_HYDD100054_Core Image")</f>
        <v>8636110_HYDD100054_Core Image</v>
      </c>
    </row>
    <row r="3511" spans="1:11" x14ac:dyDescent="0.25">
      <c r="A3511" t="str">
        <f>HYPERLINK("http://www.corstruth.com.au/NT/8719318_PHDDD2101_cs.png","8719318_PHDDD2101_A4")</f>
        <v>8719318_PHDDD2101_A4</v>
      </c>
      <c r="B3511" t="str">
        <f>HYPERLINK("http://www.corstruth.com.au/NT/PNG2/8719318_PHDDD2101_cs.png","8719318_PHDDD2101_0.25m Bins")</f>
        <v>8719318_PHDDD2101_0.25m Bins</v>
      </c>
      <c r="C3511" t="str">
        <f>HYPERLINK("http://www.corstruth.com.au/NT/CSV/8719318_PHDDD2101.csv","8719318_PHDDD2101_CSV File 1m Bins")</f>
        <v>8719318_PHDDD2101_CSV File 1m Bins</v>
      </c>
      <c r="D3511">
        <v>8719318</v>
      </c>
      <c r="E3511" t="s">
        <v>2165</v>
      </c>
      <c r="G3511" t="s">
        <v>2183</v>
      </c>
      <c r="I3511">
        <v>-19.337499999999999</v>
      </c>
      <c r="J3511">
        <v>129.976</v>
      </c>
    </row>
    <row r="3512" spans="1:11" x14ac:dyDescent="0.25">
      <c r="A3512" t="str">
        <f>HYPERLINK("http://www.corstruth.com.au/NT/7882528_TDD01_cs.png","7882528_TDD01_A4")</f>
        <v>7882528_TDD01_A4</v>
      </c>
      <c r="D3512">
        <v>7882528</v>
      </c>
      <c r="E3512" t="s">
        <v>2165</v>
      </c>
      <c r="G3512" t="s">
        <v>2184</v>
      </c>
      <c r="I3512">
        <v>-19.805700000000002</v>
      </c>
      <c r="J3512">
        <v>133.98599999999999</v>
      </c>
      <c r="K3512" t="str">
        <f>HYPERLINK("http://geology.data.nt.gov.au/NVCLDataServices/mosaic.html?datasetid=a8908e5e-d1e0-4153-90e9-34887c61375","7882528_TDD01_Core Image")</f>
        <v>7882528_TDD01_Core Image</v>
      </c>
    </row>
    <row r="3513" spans="1:11" x14ac:dyDescent="0.25">
      <c r="A3513" t="str">
        <f>HYPERLINK("http://www.corstruth.com.au/NT/7917984_TDD03_cs.png","7917984_TDD03_A4")</f>
        <v>7917984_TDD03_A4</v>
      </c>
      <c r="D3513">
        <v>7917984</v>
      </c>
      <c r="E3513" t="s">
        <v>2165</v>
      </c>
      <c r="G3513" t="s">
        <v>2184</v>
      </c>
      <c r="I3513">
        <v>-19.8005</v>
      </c>
      <c r="J3513">
        <v>133.87</v>
      </c>
    </row>
    <row r="3514" spans="1:11" x14ac:dyDescent="0.25">
      <c r="A3514" t="str">
        <f>HYPERLINK("http://www.corstruth.com.au/NT/7917988_TDD02_cs.png","7917988_TDD02_A4")</f>
        <v>7917988_TDD02_A4</v>
      </c>
      <c r="D3514">
        <v>7917988</v>
      </c>
      <c r="E3514" t="s">
        <v>2165</v>
      </c>
      <c r="G3514" t="s">
        <v>2184</v>
      </c>
      <c r="I3514">
        <v>-19.805299999999999</v>
      </c>
      <c r="J3514">
        <v>133.99700000000001</v>
      </c>
    </row>
    <row r="3515" spans="1:11" x14ac:dyDescent="0.25">
      <c r="A3515" t="str">
        <f>HYPERLINK("http://www.corstruth.com.au/NT/8308312_WWD001_cs.png","8308312_WWD001_A4")</f>
        <v>8308312_WWD001_A4</v>
      </c>
      <c r="B3515" t="str">
        <f>HYPERLINK("http://www.corstruth.com.au/NT/PNG2/8308312_WWD001_cs.png","8308312_WWD001_0.25m Bins")</f>
        <v>8308312_WWD001_0.25m Bins</v>
      </c>
      <c r="C3515" t="str">
        <f>HYPERLINK("http://www.corstruth.com.au/NT/CSV/8308312_WWD001.csv","8308312_WWD001_CSV File 1m Bins")</f>
        <v>8308312_WWD001_CSV File 1m Bins</v>
      </c>
      <c r="D3515">
        <v>8308312</v>
      </c>
      <c r="E3515" t="s">
        <v>2165</v>
      </c>
      <c r="G3515" t="s">
        <v>2184</v>
      </c>
      <c r="I3515">
        <v>-19.4331</v>
      </c>
      <c r="J3515">
        <v>133.65899999999999</v>
      </c>
      <c r="K3515" t="str">
        <f>HYPERLINK("http://geology.data.nt.gov.au/NVCLDataServices/mosaic.html?datasetid=478f8175-c756-44c4-bc60-17493ea61c8","8308312_WWD001_Core Image")</f>
        <v>8308312_WWD001_Core Image</v>
      </c>
    </row>
    <row r="3516" spans="1:11" x14ac:dyDescent="0.25">
      <c r="A3516" t="str">
        <f>HYPERLINK("http://www.corstruth.com.au/NT/8308316_WWD002_cs.png","8308316_WWD002_A4")</f>
        <v>8308316_WWD002_A4</v>
      </c>
      <c r="B3516" t="str">
        <f>HYPERLINK("http://www.corstruth.com.au/NT/PNG2/8308316_WWD002_cs.png","8308316_WWD002_0.25m Bins")</f>
        <v>8308316_WWD002_0.25m Bins</v>
      </c>
      <c r="C3516" t="str">
        <f>HYPERLINK("http://www.corstruth.com.au/NT/CSV/8308316_WWD002.csv","8308316_WWD002_CSV File 1m Bins")</f>
        <v>8308316_WWD002_CSV File 1m Bins</v>
      </c>
      <c r="D3516">
        <v>8308316</v>
      </c>
      <c r="E3516" t="s">
        <v>2165</v>
      </c>
      <c r="G3516" t="s">
        <v>2184</v>
      </c>
      <c r="I3516">
        <v>-19.4329</v>
      </c>
      <c r="J3516">
        <v>133.65700000000001</v>
      </c>
    </row>
    <row r="3517" spans="1:11" x14ac:dyDescent="0.25">
      <c r="A3517" t="str">
        <f>HYPERLINK("http://www.corstruth.com.au/NT/8308320_WWD003_cs.png","8308320_WWD003_A4")</f>
        <v>8308320_WWD003_A4</v>
      </c>
      <c r="B3517" t="str">
        <f>HYPERLINK("http://www.corstruth.com.au/NT/PNG2/8308320_WWD003_cs.png","8308320_WWD003_0.25m Bins")</f>
        <v>8308320_WWD003_0.25m Bins</v>
      </c>
      <c r="C3517" t="str">
        <f>HYPERLINK("http://www.corstruth.com.au/NT/CSV/8308320_WWD003.csv","8308320_WWD003_CSV File 1m Bins")</f>
        <v>8308320_WWD003_CSV File 1m Bins</v>
      </c>
      <c r="D3517">
        <v>8308320</v>
      </c>
      <c r="E3517" t="s">
        <v>2165</v>
      </c>
      <c r="G3517" t="s">
        <v>2184</v>
      </c>
      <c r="I3517">
        <v>-19.4282</v>
      </c>
      <c r="J3517">
        <v>133.63999999999999</v>
      </c>
    </row>
    <row r="3518" spans="1:11" x14ac:dyDescent="0.25">
      <c r="A3518" t="str">
        <f>HYPERLINK("http://www.corstruth.com.au/NT/8308324_WWD004_cs.png","8308324_WWD004_A4")</f>
        <v>8308324_WWD004_A4</v>
      </c>
      <c r="B3518" t="str">
        <f>HYPERLINK("http://www.corstruth.com.au/NT/PNG2/8308324_WWD004_cs.png","8308324_WWD004_0.25m Bins")</f>
        <v>8308324_WWD004_0.25m Bins</v>
      </c>
      <c r="C3518" t="str">
        <f>HYPERLINK("http://www.corstruth.com.au/NT/CSV/8308324_WWD004.csv","8308324_WWD004_CSV File 1m Bins")</f>
        <v>8308324_WWD004_CSV File 1m Bins</v>
      </c>
      <c r="D3518">
        <v>8308324</v>
      </c>
      <c r="E3518" t="s">
        <v>2165</v>
      </c>
      <c r="G3518" t="s">
        <v>2184</v>
      </c>
      <c r="I3518">
        <v>-19.428999999999998</v>
      </c>
      <c r="J3518">
        <v>133.63999999999999</v>
      </c>
    </row>
    <row r="3519" spans="1:11" x14ac:dyDescent="0.25">
      <c r="A3519" t="str">
        <f>HYPERLINK("http://www.corstruth.com.au/NT/8418293_DD84GI3_cs.png","8418293_DD84GI3_A4")</f>
        <v>8418293_DD84GI3_A4</v>
      </c>
      <c r="B3519" t="str">
        <f>HYPERLINK("http://www.corstruth.com.au/NT/PNG2/8418293_DD84GI3_cs.png","8418293_DD84GI3_0.25m Bins")</f>
        <v>8418293_DD84GI3_0.25m Bins</v>
      </c>
      <c r="C3519" t="str">
        <f>HYPERLINK("http://www.corstruth.com.au/NT/CSV/8418293_DD84GI3.csv","8418293_DD84GI3_CSV File 1m Bins")</f>
        <v>8418293_DD84GI3_CSV File 1m Bins</v>
      </c>
      <c r="D3519">
        <v>8418293</v>
      </c>
      <c r="E3519" t="s">
        <v>2165</v>
      </c>
      <c r="G3519" t="s">
        <v>2184</v>
      </c>
      <c r="I3519">
        <v>-19.587599999999998</v>
      </c>
      <c r="J3519">
        <v>134.4</v>
      </c>
      <c r="K3519" t="str">
        <f>HYPERLINK("http://geology.data.nt.gov.au/NVCLDataServices/mosaic.html?datasetid=42b58247-3318-4130-b894-61c0fa933f9","8418293_DD84GI3_Core Image")</f>
        <v>8418293_DD84GI3_Core Image</v>
      </c>
    </row>
    <row r="3520" spans="1:11" x14ac:dyDescent="0.25">
      <c r="A3520" t="str">
        <f>HYPERLINK("http://www.corstruth.com.au/NT/8418387_WGR5DD001_cs.png","8418387_WGR5DD001_A4")</f>
        <v>8418387_WGR5DD001_A4</v>
      </c>
      <c r="D3520">
        <v>8418387</v>
      </c>
      <c r="E3520" t="s">
        <v>2165</v>
      </c>
      <c r="G3520" t="s">
        <v>2184</v>
      </c>
      <c r="I3520">
        <v>-19.9495</v>
      </c>
      <c r="J3520">
        <v>133.67400000000001</v>
      </c>
      <c r="K3520" t="str">
        <f>HYPERLINK("http://geology.data.nt.gov.au/NVCLDataServices/mosaic.html?datasetid=e1f0642c-b2fa-48fc-82a2-6567af6535a","8418387_WGR5DD001_Core Image")</f>
        <v>8418387_WGR5DD001_Core Image</v>
      </c>
    </row>
    <row r="3521" spans="1:11" x14ac:dyDescent="0.25">
      <c r="A3521" t="str">
        <f>HYPERLINK("http://www.corstruth.com.au/NT/8418391_WGR3DD001_cs.png","8418391_WGR3DD001_A4")</f>
        <v>8418391_WGR3DD001_A4</v>
      </c>
      <c r="D3521">
        <v>8418391</v>
      </c>
      <c r="E3521" t="s">
        <v>2165</v>
      </c>
      <c r="G3521" t="s">
        <v>2184</v>
      </c>
      <c r="I3521">
        <v>-19.905000000000001</v>
      </c>
      <c r="J3521">
        <v>133.762</v>
      </c>
      <c r="K3521" t="str">
        <f>HYPERLINK("http://geology.data.nt.gov.au/NVCLDataServices/mosaic.html?datasetid=c3fa1b75-dfa1-4639-bc8c-8a9b320375f","8418391_WGR3DD001_Core Image")</f>
        <v>8418391_WGR3DD001_Core Image</v>
      </c>
    </row>
    <row r="3522" spans="1:11" x14ac:dyDescent="0.25">
      <c r="A3522" t="str">
        <f>HYPERLINK("http://www.corstruth.com.au/NT/8418574_R1NARD22_cs.png","8418574_R1NARD22_A4")</f>
        <v>8418574_R1NARD22_A4</v>
      </c>
      <c r="B3522" t="str">
        <f>HYPERLINK("http://www.corstruth.com.au/NT/PNG2/8418574_R1NARD22_cs.png","8418574_R1NARD22_0.25m Bins")</f>
        <v>8418574_R1NARD22_0.25m Bins</v>
      </c>
      <c r="C3522" t="str">
        <f>HYPERLINK("http://www.corstruth.com.au/NT/CSV/8418574_R1NARD22.csv","8418574_R1NARD22_CSV File 1m Bins")</f>
        <v>8418574_R1NARD22_CSV File 1m Bins</v>
      </c>
      <c r="D3522">
        <v>8418574</v>
      </c>
      <c r="E3522" t="s">
        <v>2165</v>
      </c>
      <c r="G3522" t="s">
        <v>2184</v>
      </c>
      <c r="I3522">
        <v>-19.9953</v>
      </c>
      <c r="J3522">
        <v>133.648</v>
      </c>
      <c r="K3522" t="str">
        <f>HYPERLINK("http://geology.data.nt.gov.au/NVCLDataServices/mosaic.html?datasetid=1e2b5938-e2e3-43c1-be12-b9b9870213f","8418574_R1NARD22_Core Image")</f>
        <v>8418574_R1NARD22_Core Image</v>
      </c>
    </row>
    <row r="3523" spans="1:11" x14ac:dyDescent="0.25">
      <c r="A3523" t="str">
        <f>HYPERLINK("http://www.corstruth.com.au/NT/8418578_R2ARD17_cs.png","8418578_R2ARD17_A4")</f>
        <v>8418578_R2ARD17_A4</v>
      </c>
      <c r="B3523" t="str">
        <f>HYPERLINK("http://www.corstruth.com.au/NT/PNG2/8418578_R2ARD17_cs.png","8418578_R2ARD17_0.25m Bins")</f>
        <v>8418578_R2ARD17_0.25m Bins</v>
      </c>
      <c r="C3523" t="str">
        <f>HYPERLINK("http://www.corstruth.com.au/NT/CSV/8418578_R2ARD17.csv","8418578_R2ARD17_CSV File 1m Bins")</f>
        <v>8418578_R2ARD17_CSV File 1m Bins</v>
      </c>
      <c r="D3523">
        <v>8418578</v>
      </c>
      <c r="E3523" t="s">
        <v>2165</v>
      </c>
      <c r="G3523" t="s">
        <v>2184</v>
      </c>
      <c r="I3523">
        <v>-19.958600000000001</v>
      </c>
      <c r="J3523">
        <v>133.64099999999999</v>
      </c>
      <c r="K3523" t="str">
        <f>HYPERLINK("http://geology.data.nt.gov.au/NVCLDataServices/mosaic.html?datasetid=e2defa2c-b0ec-4761-9aed-01f961f14b8","8418578_R2ARD17_Core Image")</f>
        <v>8418578_R2ARD17_Core Image</v>
      </c>
    </row>
    <row r="3524" spans="1:11" x14ac:dyDescent="0.25">
      <c r="A3524" t="str">
        <f>HYPERLINK("http://www.corstruth.com.au/NT/8423255_PCRD001_cs.png","8423255_PCRD001_A4")</f>
        <v>8423255_PCRD001_A4</v>
      </c>
      <c r="B3524" t="str">
        <f>HYPERLINK("http://www.corstruth.com.au/NT/PNG2/8423255_PCRD001_cs.png","8423255_PCRD001_0.25m Bins")</f>
        <v>8423255_PCRD001_0.25m Bins</v>
      </c>
      <c r="C3524" t="str">
        <f>HYPERLINK("http://www.corstruth.com.au/NT/CSV/8423255_PCRD001.csv","8423255_PCRD001_CSV File 1m Bins")</f>
        <v>8423255_PCRD001_CSV File 1m Bins</v>
      </c>
      <c r="D3524">
        <v>8423255</v>
      </c>
      <c r="E3524" t="s">
        <v>2165</v>
      </c>
      <c r="G3524" t="s">
        <v>2184</v>
      </c>
      <c r="I3524">
        <v>-19.248899999999999</v>
      </c>
      <c r="J3524">
        <v>133.78200000000001</v>
      </c>
      <c r="K3524" t="str">
        <f>HYPERLINK("http://geology.data.nt.gov.au/NVCLDataServices/mosaic.html?datasetid=707f99a9-61ef-4f5c-b7b5-38d4d14bcb3","8423255_PCRD001_Core Image")</f>
        <v>8423255_PCRD001_Core Image</v>
      </c>
    </row>
    <row r="3525" spans="1:11" x14ac:dyDescent="0.25">
      <c r="A3525" t="str">
        <f>HYPERLINK("http://www.corstruth.com.au/NT/8440672_DD84GI1_cs.png","8440672_DD84GI1_A4")</f>
        <v>8440672_DD84GI1_A4</v>
      </c>
      <c r="B3525" t="str">
        <f>HYPERLINK("http://www.corstruth.com.au/NT/PNG2/8440672_DD84GI1_cs.png","8440672_DD84GI1_0.25m Bins")</f>
        <v>8440672_DD84GI1_0.25m Bins</v>
      </c>
      <c r="C3525" t="str">
        <f>HYPERLINK("http://www.corstruth.com.au/NT/CSV/8440672_DD84GI1.csv","8440672_DD84GI1_CSV File 1m Bins")</f>
        <v>8440672_DD84GI1_CSV File 1m Bins</v>
      </c>
      <c r="D3525">
        <v>8440672</v>
      </c>
      <c r="E3525" t="s">
        <v>2165</v>
      </c>
      <c r="G3525" t="s">
        <v>2184</v>
      </c>
      <c r="I3525">
        <v>-19.580100000000002</v>
      </c>
      <c r="J3525">
        <v>134.4</v>
      </c>
      <c r="K3525" t="str">
        <f>HYPERLINK("http://geology.data.nt.gov.au/NVCLDataServices/mosaic.html?datasetid=c11c495b-40bb-4944-bbf9-fe2e7b3a105","8440672_DD84GI1_Core Image")</f>
        <v>8440672_DD84GI1_Core Image</v>
      </c>
    </row>
    <row r="3526" spans="1:11" x14ac:dyDescent="0.25">
      <c r="A3526" t="str">
        <f>HYPERLINK("http://www.corstruth.com.au/NT/8440676_DD84GI2_cs.png","8440676_DD84GI2_A4")</f>
        <v>8440676_DD84GI2_A4</v>
      </c>
      <c r="B3526" t="str">
        <f>HYPERLINK("http://www.corstruth.com.au/NT/PNG2/8440676_DD84GI2_cs.png","8440676_DD84GI2_0.25m Bins")</f>
        <v>8440676_DD84GI2_0.25m Bins</v>
      </c>
      <c r="C3526" t="str">
        <f>HYPERLINK("http://www.corstruth.com.au/NT/CSV/8440676_DD84GI2.csv","8440676_DD84GI2_CSV File 1m Bins")</f>
        <v>8440676_DD84GI2_CSV File 1m Bins</v>
      </c>
      <c r="D3526">
        <v>8440676</v>
      </c>
      <c r="E3526" t="s">
        <v>2165</v>
      </c>
      <c r="G3526" t="s">
        <v>2184</v>
      </c>
      <c r="I3526">
        <v>-19.587599999999998</v>
      </c>
      <c r="J3526">
        <v>134.4</v>
      </c>
    </row>
    <row r="3527" spans="1:11" x14ac:dyDescent="0.25">
      <c r="A3527" t="str">
        <f>HYPERLINK("http://www.corstruth.com.au/NT/8710598_TC8_5_cs.png","8710598_TC8_5_A4")</f>
        <v>8710598_TC8_5_A4</v>
      </c>
      <c r="B3527" t="str">
        <f>HYPERLINK("http://www.corstruth.com.au/NT/PNG2/8710598_TC8_5_cs.png","8710598_TC8_5_0.25m Bins")</f>
        <v>8710598_TC8_5_0.25m Bins</v>
      </c>
      <c r="C3527" t="str">
        <f>HYPERLINK("http://www.corstruth.com.au/NT/CSV/8710598_TC8_5.csv","8710598_TC8_5_CSV File 1m Bins")</f>
        <v>8710598_TC8_5_CSV File 1m Bins</v>
      </c>
      <c r="D3527">
        <v>8710598</v>
      </c>
      <c r="E3527" t="s">
        <v>2165</v>
      </c>
      <c r="G3527" t="s">
        <v>2185</v>
      </c>
      <c r="I3527">
        <v>-19.650600000000001</v>
      </c>
      <c r="J3527">
        <v>134.148</v>
      </c>
    </row>
    <row r="3528" spans="1:11" x14ac:dyDescent="0.25">
      <c r="A3528" t="str">
        <f>HYPERLINK("http://www.corstruth.com.au/NT/8710599_TC8_12A_cs.png","8710599_TC8_12A_A4")</f>
        <v>8710599_TC8_12A_A4</v>
      </c>
      <c r="B3528" t="str">
        <f>HYPERLINK("http://www.corstruth.com.au/NT/PNG2/8710599_TC8_12A_cs.png","8710599_TC8_12A_0.25m Bins")</f>
        <v>8710599_TC8_12A_0.25m Bins</v>
      </c>
      <c r="C3528" t="str">
        <f>HYPERLINK("http://www.corstruth.com.au/NT/CSV/8710599_TC8_12A.csv","8710599_TC8_12A_CSV File 1m Bins")</f>
        <v>8710599_TC8_12A_CSV File 1m Bins</v>
      </c>
      <c r="D3528">
        <v>8710599</v>
      </c>
      <c r="E3528" t="s">
        <v>2165</v>
      </c>
      <c r="G3528" t="s">
        <v>2185</v>
      </c>
      <c r="I3528">
        <v>-19.650600000000001</v>
      </c>
      <c r="J3528">
        <v>134.148</v>
      </c>
    </row>
    <row r="3529" spans="1:11" x14ac:dyDescent="0.25">
      <c r="A3529" t="str">
        <f>HYPERLINK("http://www.corstruth.com.au/NT/8710600_TC8_19_cs.png","8710600_TC8_19_A4")</f>
        <v>8710600_TC8_19_A4</v>
      </c>
      <c r="B3529" t="str">
        <f>HYPERLINK("http://www.corstruth.com.au/NT/PNG2/8710600_TC8_19_cs.png","8710600_TC8_19_0.25m Bins")</f>
        <v>8710600_TC8_19_0.25m Bins</v>
      </c>
      <c r="C3529" t="str">
        <f>HYPERLINK("http://www.corstruth.com.au/NT/CSV/8710600_TC8_19.csv","8710600_TC8_19_CSV File 1m Bins")</f>
        <v>8710600_TC8_19_CSV File 1m Bins</v>
      </c>
      <c r="D3529">
        <v>8710600</v>
      </c>
      <c r="E3529" t="s">
        <v>2165</v>
      </c>
      <c r="G3529" t="s">
        <v>2185</v>
      </c>
      <c r="I3529">
        <v>-19.650400000000001</v>
      </c>
      <c r="J3529">
        <v>134.148</v>
      </c>
    </row>
    <row r="3530" spans="1:11" x14ac:dyDescent="0.25">
      <c r="A3530" t="str">
        <f>HYPERLINK("http://www.corstruth.com.au/NT/8710601_TC8_19A_cs.png","8710601_TC8_19A_A4")</f>
        <v>8710601_TC8_19A_A4</v>
      </c>
      <c r="B3530" t="str">
        <f>HYPERLINK("http://www.corstruth.com.au/NT/PNG2/8710601_TC8_19A_cs.png","8710601_TC8_19A_0.25m Bins")</f>
        <v>8710601_TC8_19A_0.25m Bins</v>
      </c>
      <c r="C3530" t="str">
        <f>HYPERLINK("http://www.corstruth.com.au/NT/CSV/8710601_TC8_19A.csv","8710601_TC8_19A_CSV File 1m Bins")</f>
        <v>8710601_TC8_19A_CSV File 1m Bins</v>
      </c>
      <c r="D3530">
        <v>8710601</v>
      </c>
      <c r="E3530" t="s">
        <v>2165</v>
      </c>
      <c r="G3530" t="s">
        <v>2185</v>
      </c>
      <c r="I3530">
        <v>-19.650300000000001</v>
      </c>
      <c r="J3530">
        <v>134.148</v>
      </c>
    </row>
    <row r="3531" spans="1:11" x14ac:dyDescent="0.25">
      <c r="A3531" t="str">
        <f>HYPERLINK("http://www.corstruth.com.au/NT/8363379_12BH003_cs.png","8363379_12BH003_A4")</f>
        <v>8363379_12BH003_A4</v>
      </c>
      <c r="B3531" t="str">
        <f>HYPERLINK("http://www.corstruth.com.au/NT/PNG2/8363379_12BH003_cs.png","8363379_12BH003_0.25m Bins")</f>
        <v>8363379_12BH003_0.25m Bins</v>
      </c>
      <c r="C3531" t="str">
        <f>HYPERLINK("http://www.corstruth.com.au/NT/CSV/8363379_12BH003.csv","8363379_12BH003_CSV File 1m Bins")</f>
        <v>8363379_12BH003_CSV File 1m Bins</v>
      </c>
      <c r="D3531">
        <v>8363379</v>
      </c>
      <c r="E3531" t="s">
        <v>2165</v>
      </c>
      <c r="G3531" t="s">
        <v>2186</v>
      </c>
      <c r="I3531">
        <v>-20.111000000000001</v>
      </c>
      <c r="J3531">
        <v>133.976</v>
      </c>
    </row>
    <row r="3532" spans="1:11" x14ac:dyDescent="0.25">
      <c r="A3532" t="str">
        <f>HYPERLINK("http://www.corstruth.com.au/NT/8363380_T3_2_cs.png","8363380_T3_2_A4")</f>
        <v>8363380_T3_2_A4</v>
      </c>
      <c r="B3532" t="str">
        <f>HYPERLINK("http://www.corstruth.com.au/NT/PNG2/8363380_T3_2_cs.png","8363380_T3_2_0.25m Bins")</f>
        <v>8363380_T3_2_0.25m Bins</v>
      </c>
      <c r="C3532" t="str">
        <f>HYPERLINK("http://www.corstruth.com.au/NT/CSV/8363380_T3_2.csv","8363380_T3_2_CSV File 1m Bins")</f>
        <v>8363380_T3_2_CSV File 1m Bins</v>
      </c>
      <c r="D3532">
        <v>8363380</v>
      </c>
      <c r="E3532" t="s">
        <v>2165</v>
      </c>
      <c r="G3532" t="s">
        <v>2186</v>
      </c>
      <c r="I3532">
        <v>-19.9953</v>
      </c>
      <c r="J3532">
        <v>133.965</v>
      </c>
    </row>
    <row r="3533" spans="1:11" x14ac:dyDescent="0.25">
      <c r="A3533" t="str">
        <f>HYPERLINK("http://www.corstruth.com.au/NT/8418582_R27ARD18_cs.png","8418582_R27ARD18_A4")</f>
        <v>8418582_R27ARD18_A4</v>
      </c>
      <c r="B3533" t="str">
        <f>HYPERLINK("http://www.corstruth.com.au/NT/PNG2/8418582_R27ARD18_cs.png","8418582_R27ARD18_0.25m Bins")</f>
        <v>8418582_R27ARD18_0.25m Bins</v>
      </c>
      <c r="C3533" t="str">
        <f>HYPERLINK("http://www.corstruth.com.au/NT/CSV/8418582_R27ARD18.csv","8418582_R27ARD18_CSV File 1m Bins")</f>
        <v>8418582_R27ARD18_CSV File 1m Bins</v>
      </c>
      <c r="D3533">
        <v>8418582</v>
      </c>
      <c r="E3533" t="s">
        <v>2165</v>
      </c>
      <c r="G3533" t="s">
        <v>2186</v>
      </c>
      <c r="I3533">
        <v>-19.948399999999999</v>
      </c>
      <c r="J3533">
        <v>133.64500000000001</v>
      </c>
      <c r="K3533" t="str">
        <f>HYPERLINK("http://geology.data.nt.gov.au/NVCLDataServices/mosaic.html?datasetid=3f22205f-1ce0-4bac-9773-cf517ccd439","8418582_R27ARD18_Core Image")</f>
        <v>8418582_R27ARD18_Core Image</v>
      </c>
    </row>
    <row r="3534" spans="1:11" x14ac:dyDescent="0.25">
      <c r="A3534" t="str">
        <f>HYPERLINK("http://www.corstruth.com.au/NT/8446536_MXCURD001_cs.png","8446536_MXCURD001_A4")</f>
        <v>8446536_MXCURD001_A4</v>
      </c>
      <c r="B3534" t="str">
        <f>HYPERLINK("http://www.corstruth.com.au/NT/PNG2/8446536_MXCURD001_cs.png","8446536_MXCURD001_0.25m Bins")</f>
        <v>8446536_MXCURD001_0.25m Bins</v>
      </c>
      <c r="C3534" t="str">
        <f>HYPERLINK("http://www.corstruth.com.au/NT/CSV/8446536_MXCURD001.csv","8446536_MXCURD001_CSV File 1m Bins")</f>
        <v>8446536_MXCURD001_CSV File 1m Bins</v>
      </c>
      <c r="D3534">
        <v>8446536</v>
      </c>
      <c r="E3534" t="s">
        <v>2165</v>
      </c>
      <c r="G3534" t="s">
        <v>2186</v>
      </c>
      <c r="I3534">
        <v>-19.937899999999999</v>
      </c>
      <c r="J3534">
        <v>133.32900000000001</v>
      </c>
      <c r="K3534" t="str">
        <f>HYPERLINK("http://geology.data.nt.gov.au/NVCLDataServices/mosaic.html?datasetid=cabd2422-b566-4e60-b4dc-5c606f5ca4e","8446536_MXCURD001_Core Image")</f>
        <v>8446536_MXCURD001_Core Image</v>
      </c>
    </row>
    <row r="3535" spans="1:11" x14ac:dyDescent="0.25">
      <c r="A3535" t="str">
        <f>HYPERLINK("http://www.corstruth.com.au/NT/8446540_MXCURD002_cs.png","8446540_MXCURD002_A4")</f>
        <v>8446540_MXCURD002_A4</v>
      </c>
      <c r="B3535" t="str">
        <f>HYPERLINK("http://www.corstruth.com.au/NT/PNG2/8446540_MXCURD002_cs.png","8446540_MXCURD002_0.25m Bins")</f>
        <v>8446540_MXCURD002_0.25m Bins</v>
      </c>
      <c r="C3535" t="str">
        <f>HYPERLINK("http://www.corstruth.com.au/NT/CSV/8446540_MXCURD002.csv","8446540_MXCURD002_CSV File 1m Bins")</f>
        <v>8446540_MXCURD002_CSV File 1m Bins</v>
      </c>
      <c r="D3535">
        <v>8446540</v>
      </c>
      <c r="E3535" t="s">
        <v>2165</v>
      </c>
      <c r="G3535" t="s">
        <v>2186</v>
      </c>
      <c r="I3535">
        <v>-19.934799999999999</v>
      </c>
      <c r="J3535">
        <v>133.32499999999999</v>
      </c>
      <c r="K3535" t="str">
        <f>HYPERLINK("http://geology.data.nt.gov.au/NVCLDataServices/mosaic.html?datasetid=9595ae44-304b-480c-b7e2-186ae8bab3d","8446540_MXCURD002_Core Image")</f>
        <v>8446540_MXCURD002_Core Image</v>
      </c>
    </row>
    <row r="3536" spans="1:11" x14ac:dyDescent="0.25">
      <c r="A3536" t="str">
        <f>HYPERLINK("http://www.corstruth.com.au/NT/8446765_ZK1_cs.png","8446765_ZK1_A4")</f>
        <v>8446765_ZK1_A4</v>
      </c>
      <c r="B3536" t="str">
        <f>HYPERLINK("http://www.corstruth.com.au/NT/PNG2/8446765_ZK1_cs.png","8446765_ZK1_0.25m Bins")</f>
        <v>8446765_ZK1_0.25m Bins</v>
      </c>
      <c r="C3536" t="str">
        <f>HYPERLINK("http://www.corstruth.com.au/NT/CSV/8446765_ZK1.csv","8446765_ZK1_CSV File 1m Bins")</f>
        <v>8446765_ZK1_CSV File 1m Bins</v>
      </c>
      <c r="D3536">
        <v>8446765</v>
      </c>
      <c r="E3536" t="s">
        <v>2165</v>
      </c>
      <c r="G3536" t="s">
        <v>2186</v>
      </c>
      <c r="I3536">
        <v>-19.193000000000001</v>
      </c>
      <c r="J3536">
        <v>134.18700000000001</v>
      </c>
    </row>
    <row r="3537" spans="1:11" x14ac:dyDescent="0.25">
      <c r="A3537" t="str">
        <f>HYPERLINK("http://www.corstruth.com.au/NT/8446772_ZK2_cs.png","8446772_ZK2_A4")</f>
        <v>8446772_ZK2_A4</v>
      </c>
      <c r="B3537" t="str">
        <f>HYPERLINK("http://www.corstruth.com.au/NT/PNG2/8446772_ZK2_cs.png","8446772_ZK2_0.25m Bins")</f>
        <v>8446772_ZK2_0.25m Bins</v>
      </c>
      <c r="C3537" t="str">
        <f>HYPERLINK("http://www.corstruth.com.au/NT/CSV/8446772_ZK2.csv","8446772_ZK2_CSV File 1m Bins")</f>
        <v>8446772_ZK2_CSV File 1m Bins</v>
      </c>
      <c r="D3537">
        <v>8446772</v>
      </c>
      <c r="E3537" t="s">
        <v>2165</v>
      </c>
      <c r="G3537" t="s">
        <v>2186</v>
      </c>
      <c r="I3537">
        <v>-19.190799999999999</v>
      </c>
      <c r="J3537">
        <v>134.18199999999999</v>
      </c>
    </row>
    <row r="3538" spans="1:11" x14ac:dyDescent="0.25">
      <c r="A3538" t="str">
        <f>HYPERLINK("http://www.corstruth.com.au/NT/8446779_ZK3_cs.png","8446779_ZK3_A4")</f>
        <v>8446779_ZK3_A4</v>
      </c>
      <c r="B3538" t="str">
        <f>HYPERLINK("http://www.corstruth.com.au/NT/PNG2/8446779_ZK3_cs.png","8446779_ZK3_0.25m Bins")</f>
        <v>8446779_ZK3_0.25m Bins</v>
      </c>
      <c r="C3538" t="str">
        <f>HYPERLINK("http://www.corstruth.com.au/NT/CSV/8446779_ZK3.csv","8446779_ZK3_CSV File 1m Bins")</f>
        <v>8446779_ZK3_CSV File 1m Bins</v>
      </c>
      <c r="D3538">
        <v>8446779</v>
      </c>
      <c r="E3538" t="s">
        <v>2165</v>
      </c>
      <c r="G3538" t="s">
        <v>2186</v>
      </c>
      <c r="I3538">
        <v>-19.014800000000001</v>
      </c>
      <c r="J3538">
        <v>134.07400000000001</v>
      </c>
    </row>
    <row r="3539" spans="1:11" x14ac:dyDescent="0.25">
      <c r="A3539" t="str">
        <f>HYPERLINK("http://www.corstruth.com.au/NT/8446810_Hunter_1_DD_cs.png","8446810_Hunter_1_DD_A4")</f>
        <v>8446810_Hunter_1_DD_A4</v>
      </c>
      <c r="B3539" t="str">
        <f>HYPERLINK("http://www.corstruth.com.au/NT/PNG2/8446810_Hunter_1_DD_cs.png","8446810_Hunter_1_DD_0.25m Bins")</f>
        <v>8446810_Hunter_1_DD_0.25m Bins</v>
      </c>
      <c r="C3539" t="str">
        <f>HYPERLINK("http://www.corstruth.com.au/NT/CSV/8446810_Hunter_1_DD.csv","8446810_Hunter_1_DD_CSV File 1m Bins")</f>
        <v>8446810_Hunter_1_DD_CSV File 1m Bins</v>
      </c>
      <c r="D3539">
        <v>8446810</v>
      </c>
      <c r="E3539" t="s">
        <v>2165</v>
      </c>
      <c r="G3539" t="s">
        <v>2186</v>
      </c>
      <c r="I3539">
        <v>-18.296800000000001</v>
      </c>
      <c r="J3539">
        <v>133.66</v>
      </c>
    </row>
    <row r="3540" spans="1:11" x14ac:dyDescent="0.25">
      <c r="A3540" t="str">
        <f>HYPERLINK("http://www.corstruth.com.au/NT/8446826_Willieray_8_DD_cs.png","8446826_Willieray_8_DD_A4")</f>
        <v>8446826_Willieray_8_DD_A4</v>
      </c>
      <c r="B3540" t="str">
        <f>HYPERLINK("http://www.corstruth.com.au/NT/PNG2/8446826_Willieray_8_DD_cs.png","8446826_Willieray_8_DD_0.25m Bins")</f>
        <v>8446826_Willieray_8_DD_0.25m Bins</v>
      </c>
      <c r="C3540" t="str">
        <f>HYPERLINK("http://www.corstruth.com.au/NT/CSV/8446826_Willieray_8_DD.csv","8446826_Willieray_8_DD_CSV File 1m Bins")</f>
        <v>8446826_Willieray_8_DD_CSV File 1m Bins</v>
      </c>
      <c r="D3540">
        <v>8446826</v>
      </c>
      <c r="E3540" t="s">
        <v>2165</v>
      </c>
      <c r="G3540" t="s">
        <v>2186</v>
      </c>
      <c r="I3540">
        <v>-18.388500000000001</v>
      </c>
      <c r="J3540">
        <v>133.75</v>
      </c>
    </row>
    <row r="3541" spans="1:11" x14ac:dyDescent="0.25">
      <c r="A3541" t="str">
        <f>HYPERLINK("http://www.corstruth.com.au/NT/8446870_GODD032_cs.png","8446870_GODD032_A4")</f>
        <v>8446870_GODD032_A4</v>
      </c>
      <c r="B3541" t="str">
        <f>HYPERLINK("http://www.corstruth.com.au/NT/PNG2/8446870_GODD032_cs.png","8446870_GODD032_0.25m Bins")</f>
        <v>8446870_GODD032_0.25m Bins</v>
      </c>
      <c r="C3541" t="str">
        <f>HYPERLINK("http://www.corstruth.com.au/NT/CSV/8446870_GODD032.csv","8446870_GODD032_CSV File 1m Bins")</f>
        <v>8446870_GODD032_CSV File 1m Bins</v>
      </c>
      <c r="D3541">
        <v>8446870</v>
      </c>
      <c r="E3541" t="s">
        <v>2165</v>
      </c>
      <c r="G3541" t="s">
        <v>2186</v>
      </c>
      <c r="I3541">
        <v>-19.430700000000002</v>
      </c>
      <c r="J3541">
        <v>134.06700000000001</v>
      </c>
      <c r="K3541" t="str">
        <f>HYPERLINK("http://geology.data.nt.gov.au/NVCLDataServices/mosaic.html?datasetid=25a9e736-3b72-4812-a6e6-aef8eacec6d","8446870_GODD032_Core Image")</f>
        <v>8446870_GODD032_Core Image</v>
      </c>
    </row>
    <row r="3542" spans="1:11" x14ac:dyDescent="0.25">
      <c r="A3542" t="str">
        <f>HYPERLINK("http://www.corstruth.com.au/NT/8618172_RVDD0001_cs.png","8618172_RVDD0001_A4")</f>
        <v>8618172_RVDD0001_A4</v>
      </c>
      <c r="B3542" t="str">
        <f>HYPERLINK("http://www.corstruth.com.au/NT/PNG2/8618172_RVDD0001_cs.png","8618172_RVDD0001_0.25m Bins")</f>
        <v>8618172_RVDD0001_0.25m Bins</v>
      </c>
      <c r="C3542" t="str">
        <f>HYPERLINK("http://www.corstruth.com.au/NT/CSV/8618172_RVDD0001.csv","8618172_RVDD0001_CSV File 1m Bins")</f>
        <v>8618172_RVDD0001_CSV File 1m Bins</v>
      </c>
      <c r="D3542">
        <v>8618172</v>
      </c>
      <c r="E3542" t="s">
        <v>2165</v>
      </c>
      <c r="G3542" t="s">
        <v>2186</v>
      </c>
      <c r="I3542">
        <v>-20.036999999999999</v>
      </c>
      <c r="J3542">
        <v>133.73500000000001</v>
      </c>
      <c r="K3542" t="str">
        <f>HYPERLINK("http://geology.data.nt.gov.au/NVCLDataServices/mosaic.html?datasetid=1b9655b3-db71-42fe-a326-9ce1e052b59","8618172_RVDD0001_Core Image")</f>
        <v>8618172_RVDD0001_Core Image</v>
      </c>
    </row>
    <row r="3543" spans="1:11" x14ac:dyDescent="0.25">
      <c r="A3543" t="str">
        <f>HYPERLINK("http://www.corstruth.com.au/NT/8618173_RVDD0002_cs.png","8618173_RVDD0002_A4")</f>
        <v>8618173_RVDD0002_A4</v>
      </c>
      <c r="B3543" t="str">
        <f>HYPERLINK("http://www.corstruth.com.au/NT/PNG2/8618173_RVDD0002_cs.png","8618173_RVDD0002_0.25m Bins")</f>
        <v>8618173_RVDD0002_0.25m Bins</v>
      </c>
      <c r="C3543" t="str">
        <f>HYPERLINK("http://www.corstruth.com.au/NT/CSV/8618173_RVDD0002.csv","8618173_RVDD0002_CSV File 1m Bins")</f>
        <v>8618173_RVDD0002_CSV File 1m Bins</v>
      </c>
      <c r="D3543">
        <v>8618173</v>
      </c>
      <c r="E3543" t="s">
        <v>2165</v>
      </c>
      <c r="G3543" t="s">
        <v>2186</v>
      </c>
      <c r="I3543">
        <v>-20.000499999999999</v>
      </c>
      <c r="J3543">
        <v>133.74600000000001</v>
      </c>
      <c r="K3543" t="str">
        <f>HYPERLINK("http://geology.data.nt.gov.au/NVCLDataServices/mosaic.html?datasetid=65e9f51c-cbb1-4674-acea-6a114a8f0d8","8618173_RVDD0002_Core Image")</f>
        <v>8618173_RVDD0002_Core Image</v>
      </c>
    </row>
    <row r="3544" spans="1:11" x14ac:dyDescent="0.25">
      <c r="A3544" t="str">
        <f>HYPERLINK("http://www.corstruth.com.au/NT/8636378_12BH002_cs.png","8636378_12BH002_A4")</f>
        <v>8636378_12BH002_A4</v>
      </c>
      <c r="B3544" t="str">
        <f>HYPERLINK("http://www.corstruth.com.au/NT/PNG2/8636378_12BH002_cs.png","8636378_12BH002_0.25m Bins")</f>
        <v>8636378_12BH002_0.25m Bins</v>
      </c>
      <c r="C3544" t="str">
        <f>HYPERLINK("http://www.corstruth.com.au/NT/CSV/8636378_12BH002.csv","8636378_12BH002_CSV File 1m Bins")</f>
        <v>8636378_12BH002_CSV File 1m Bins</v>
      </c>
      <c r="D3544">
        <v>8636378</v>
      </c>
      <c r="E3544" t="s">
        <v>2165</v>
      </c>
      <c r="G3544" t="s">
        <v>2186</v>
      </c>
      <c r="I3544">
        <v>-20.112500000000001</v>
      </c>
      <c r="J3544">
        <v>133.976</v>
      </c>
    </row>
    <row r="3545" spans="1:11" x14ac:dyDescent="0.25">
      <c r="A3545" t="str">
        <f>HYPERLINK("http://www.corstruth.com.au/NT/8636380_TCD01_cs.png","8636380_TCD01_A4")</f>
        <v>8636380_TCD01_A4</v>
      </c>
      <c r="B3545" t="str">
        <f>HYPERLINK("http://www.corstruth.com.au/NT/PNG2/8636380_TCD01_cs.png","8636380_TCD01_0.25m Bins")</f>
        <v>8636380_TCD01_0.25m Bins</v>
      </c>
      <c r="C3545" t="str">
        <f>HYPERLINK("http://www.corstruth.com.au/NT/CSV/8636380_TCD01.csv","8636380_TCD01_CSV File 1m Bins")</f>
        <v>8636380_TCD01_CSV File 1m Bins</v>
      </c>
      <c r="D3545">
        <v>8636380</v>
      </c>
      <c r="E3545" t="s">
        <v>2165</v>
      </c>
      <c r="G3545" t="s">
        <v>2186</v>
      </c>
      <c r="I3545">
        <v>-19.790099999999999</v>
      </c>
      <c r="J3545">
        <v>134.82300000000001</v>
      </c>
    </row>
    <row r="3546" spans="1:11" x14ac:dyDescent="0.25">
      <c r="A3546" t="str">
        <f>HYPERLINK("http://www.corstruth.com.au/NT/8667932_NDIBK01_cs.png","8667932_NDIBK01_A4")</f>
        <v>8667932_NDIBK01_A4</v>
      </c>
      <c r="B3546" t="str">
        <f>HYPERLINK("http://www.corstruth.com.au/NT/PNG2/8667932_NDIBK01_cs.png","8667932_NDIBK01_0.25m Bins")</f>
        <v>8667932_NDIBK01_0.25m Bins</v>
      </c>
      <c r="C3546" t="str">
        <f>HYPERLINK("http://www.corstruth.com.au/NT/CSV/8667932_NDIBK01.csv","8667932_NDIBK01_CSV File 1m Bins")</f>
        <v>8667932_NDIBK01_CSV File 1m Bins</v>
      </c>
      <c r="D3546">
        <v>8667932</v>
      </c>
      <c r="E3546" t="s">
        <v>2165</v>
      </c>
      <c r="G3546" t="s">
        <v>2186</v>
      </c>
      <c r="I3546">
        <v>-19.571899999999999</v>
      </c>
      <c r="J3546">
        <v>136.126</v>
      </c>
      <c r="K3546" t="str">
        <f>HYPERLINK("http://geology.data.nt.gov.au/NVCLDataServices/mosaic.html?datasetid=78db8cad-5261-4850-9c01-150ed600a72","8667932_NDIBK01_Core Image")</f>
        <v>8667932_NDIBK01_Core Image</v>
      </c>
    </row>
    <row r="3547" spans="1:11" x14ac:dyDescent="0.25">
      <c r="A3547" t="str">
        <f>HYPERLINK("http://www.corstruth.com.au/NT/8670697_NDIBK02_cs.png","8670697_NDIBK02_A4")</f>
        <v>8670697_NDIBK02_A4</v>
      </c>
      <c r="B3547" t="str">
        <f>HYPERLINK("http://www.corstruth.com.au/NT/PNG2/8670697_NDIBK02_cs.png","8670697_NDIBK02_0.25m Bins")</f>
        <v>8670697_NDIBK02_0.25m Bins</v>
      </c>
      <c r="C3547" t="str">
        <f>HYPERLINK("http://www.corstruth.com.au/NT/CSV/8670697_NDIBK02.csv","8670697_NDIBK02_CSV File 1m Bins")</f>
        <v>8670697_NDIBK02_CSV File 1m Bins</v>
      </c>
      <c r="D3547">
        <v>8670697</v>
      </c>
      <c r="E3547" t="s">
        <v>2165</v>
      </c>
      <c r="G3547" t="s">
        <v>2186</v>
      </c>
      <c r="I3547">
        <v>-19.5397</v>
      </c>
      <c r="J3547">
        <v>136.011</v>
      </c>
      <c r="K3547" t="str">
        <f>HYPERLINK("http://geology.data.nt.gov.au/NVCLDataServices/mosaic.html?datasetid=cd3c0c74-bf09-4b5f-9fa3-7fa60a63db9","8670697_NDIBK02_Core Image")</f>
        <v>8670697_NDIBK02_Core Image</v>
      </c>
    </row>
    <row r="3548" spans="1:11" x14ac:dyDescent="0.25">
      <c r="A3548" t="str">
        <f>HYPERLINK("http://www.corstruth.com.au/NT/8674201_NDIBK03_cs.png","8674201_NDIBK03_A4")</f>
        <v>8674201_NDIBK03_A4</v>
      </c>
      <c r="B3548" t="str">
        <f>HYPERLINK("http://www.corstruth.com.au/NT/PNG2/8674201_NDIBK03_cs.png","8674201_NDIBK03_0.25m Bins")</f>
        <v>8674201_NDIBK03_0.25m Bins</v>
      </c>
      <c r="C3548" t="str">
        <f>HYPERLINK("http://www.corstruth.com.au/NT/CSV/8674201_NDIBK03.csv","8674201_NDIBK03_CSV File 1m Bins")</f>
        <v>8674201_NDIBK03_CSV File 1m Bins</v>
      </c>
      <c r="D3548">
        <v>8674201</v>
      </c>
      <c r="E3548" t="s">
        <v>2165</v>
      </c>
      <c r="G3548" t="s">
        <v>2186</v>
      </c>
      <c r="I3548">
        <v>-19.556899999999999</v>
      </c>
      <c r="J3548">
        <v>135.946</v>
      </c>
      <c r="K3548" t="str">
        <f>HYPERLINK("http://geology.data.nt.gov.au/NVCLDataServices/mosaic.html?datasetid=5c1abe8f-d410-4a5c-9453-2cd445386ed","8674201_NDIBK03_Core Image")</f>
        <v>8674201_NDIBK03_Core Image</v>
      </c>
    </row>
    <row r="3549" spans="1:11" x14ac:dyDescent="0.25">
      <c r="A3549" t="str">
        <f>HYPERLINK("http://www.corstruth.com.au/NT/890651_HSD002_cs.png","890651_HSD002_A4")</f>
        <v>890651_HSD002_A4</v>
      </c>
      <c r="B3549" t="str">
        <f>HYPERLINK("http://www.corstruth.com.au/NT/PNG2/890651_HSD002_cs.png","890651_HSD002_0.25m Bins")</f>
        <v>890651_HSD002_0.25m Bins</v>
      </c>
      <c r="C3549" t="str">
        <f>HYPERLINK("http://www.corstruth.com.au/NT/CSV/890651_HSD002.csv","890651_HSD002_CSV File 1m Bins")</f>
        <v>890651_HSD002_CSV File 1m Bins</v>
      </c>
      <c r="D3549">
        <v>890651</v>
      </c>
      <c r="E3549" t="s">
        <v>2165</v>
      </c>
      <c r="G3549" t="s">
        <v>2186</v>
      </c>
      <c r="I3549">
        <v>-18.662099999999999</v>
      </c>
      <c r="J3549">
        <v>134.05600000000001</v>
      </c>
    </row>
    <row r="3550" spans="1:11" x14ac:dyDescent="0.25">
      <c r="A3550" t="str">
        <f>HYPERLINK("http://www.corstruth.com.au/NT/3608302_HSD003_cs.png","3608302_HSD003_A4")</f>
        <v>3608302_HSD003_A4</v>
      </c>
      <c r="B3550" t="str">
        <f>HYPERLINK("http://www.corstruth.com.au/NT/PNG2/3608302_HSD003_cs.png","3608302_HSD003_0.25m Bins")</f>
        <v>3608302_HSD003_0.25m Bins</v>
      </c>
      <c r="C3550" t="str">
        <f>HYPERLINK("http://www.corstruth.com.au/NT/CSV/3608302_HSD003.csv","3608302_HSD003_CSV File 1m Bins")</f>
        <v>3608302_HSD003_CSV File 1m Bins</v>
      </c>
      <c r="D3550">
        <v>3608302</v>
      </c>
      <c r="E3550" t="s">
        <v>2165</v>
      </c>
      <c r="G3550" t="s">
        <v>2187</v>
      </c>
      <c r="I3550">
        <v>-18.388200000000001</v>
      </c>
      <c r="J3550">
        <v>133.69800000000001</v>
      </c>
    </row>
    <row r="3551" spans="1:11" x14ac:dyDescent="0.25">
      <c r="A3551" t="str">
        <f>HYPERLINK("http://www.corstruth.com.au/NT/890095_HSD001_cs.png","890095_HSD001_A4")</f>
        <v>890095_HSD001_A4</v>
      </c>
      <c r="B3551" t="str">
        <f>HYPERLINK("http://www.corstruth.com.au/NT/PNG2/890095_HSD001_cs.png","890095_HSD001_0.25m Bins")</f>
        <v>890095_HSD001_0.25m Bins</v>
      </c>
      <c r="C3551" t="str">
        <f>HYPERLINK("http://www.corstruth.com.au/NT/CSV/890095_HSD001.csv","890095_HSD001_CSV File 1m Bins")</f>
        <v>890095_HSD001_CSV File 1m Bins</v>
      </c>
      <c r="D3551">
        <v>890095</v>
      </c>
      <c r="E3551" t="s">
        <v>2165</v>
      </c>
      <c r="G3551" t="s">
        <v>2187</v>
      </c>
      <c r="I3551">
        <v>-18.6723</v>
      </c>
      <c r="J3551">
        <v>134.12</v>
      </c>
    </row>
    <row r="3552" spans="1:11" x14ac:dyDescent="0.25">
      <c r="A3552" t="str">
        <f>HYPERLINK("http://www.corstruth.com.au/NT/1702071_LMDH1_cs.png","1702071_LMDH1_A4")</f>
        <v>1702071_LMDH1_A4</v>
      </c>
      <c r="B3552" t="str">
        <f>HYPERLINK("http://www.corstruth.com.au/NT/PNG2/1702071_LMDH1_cs.png","1702071_LMDH1_0.25m Bins")</f>
        <v>1702071_LMDH1_0.25m Bins</v>
      </c>
      <c r="C3552" t="str">
        <f>HYPERLINK("http://www.corstruth.com.au/NT/CSV/1702071_LMDH1.csv","1702071_LMDH1_CSV File 1m Bins")</f>
        <v>1702071_LMDH1_CSV File 1m Bins</v>
      </c>
      <c r="D3552">
        <v>1702071</v>
      </c>
      <c r="E3552" t="s">
        <v>2165</v>
      </c>
      <c r="G3552" t="s">
        <v>2188</v>
      </c>
      <c r="I3552">
        <v>-17.520099999999999</v>
      </c>
      <c r="J3552">
        <v>129.86799999999999</v>
      </c>
    </row>
    <row r="3553" spans="1:11" x14ac:dyDescent="0.25">
      <c r="A3553" t="str">
        <f>HYPERLINK("http://www.corstruth.com.au/NT/1702958_LMDH2_cs.png","1702958_LMDH2_A4")</f>
        <v>1702958_LMDH2_A4</v>
      </c>
      <c r="B3553" t="str">
        <f>HYPERLINK("http://www.corstruth.com.au/NT/PNG2/1702958_LMDH2_cs.png","1702958_LMDH2_0.25m Bins")</f>
        <v>1702958_LMDH2_0.25m Bins</v>
      </c>
      <c r="C3553" t="str">
        <f>HYPERLINK("http://www.corstruth.com.au/NT/CSV/1702958_LMDH2.csv","1702958_LMDH2_CSV File 1m Bins")</f>
        <v>1702958_LMDH2_CSV File 1m Bins</v>
      </c>
      <c r="D3553">
        <v>1702958</v>
      </c>
      <c r="E3553" t="s">
        <v>2165</v>
      </c>
      <c r="G3553" t="s">
        <v>2188</v>
      </c>
      <c r="I3553">
        <v>-17.5199</v>
      </c>
      <c r="J3553">
        <v>129.846</v>
      </c>
    </row>
    <row r="3554" spans="1:11" x14ac:dyDescent="0.25">
      <c r="A3554" t="str">
        <f>HYPERLINK("http://www.corstruth.com.au/NT/1703842_LMDH3_cs.png","1703842_LMDH3_A4")</f>
        <v>1703842_LMDH3_A4</v>
      </c>
      <c r="B3554" t="str">
        <f>HYPERLINK("http://www.corstruth.com.au/NT/PNG2/1703842_LMDH3_cs.png","1703842_LMDH3_0.25m Bins")</f>
        <v>1703842_LMDH3_0.25m Bins</v>
      </c>
      <c r="C3554" t="str">
        <f>HYPERLINK("http://www.corstruth.com.au/NT/CSV/1703842_LMDH3.csv","1703842_LMDH3_CSV File 1m Bins")</f>
        <v>1703842_LMDH3_CSV File 1m Bins</v>
      </c>
      <c r="D3554">
        <v>1703842</v>
      </c>
      <c r="E3554" t="s">
        <v>2165</v>
      </c>
      <c r="G3554" t="s">
        <v>2188</v>
      </c>
      <c r="I3554">
        <v>-17.520700000000001</v>
      </c>
      <c r="J3554">
        <v>129.88499999999999</v>
      </c>
    </row>
    <row r="3555" spans="1:11" x14ac:dyDescent="0.25">
      <c r="A3555" t="str">
        <f>HYPERLINK("http://www.corstruth.com.au/NT/1704187_LMDH4_cs.png","1704187_LMDH4_A4")</f>
        <v>1704187_LMDH4_A4</v>
      </c>
      <c r="B3555" t="str">
        <f>HYPERLINK("http://www.corstruth.com.au/NT/PNG2/1704187_LMDH4_cs.png","1704187_LMDH4_0.25m Bins")</f>
        <v>1704187_LMDH4_0.25m Bins</v>
      </c>
      <c r="C3555" t="str">
        <f>HYPERLINK("http://www.corstruth.com.au/NT/CSV/1704187_LMDH4.csv","1704187_LMDH4_CSV File 1m Bins")</f>
        <v>1704187_LMDH4_CSV File 1m Bins</v>
      </c>
      <c r="D3555">
        <v>1704187</v>
      </c>
      <c r="E3555" t="s">
        <v>2165</v>
      </c>
      <c r="G3555" t="s">
        <v>2188</v>
      </c>
      <c r="I3555">
        <v>-17.5106</v>
      </c>
      <c r="J3555">
        <v>129.88800000000001</v>
      </c>
    </row>
    <row r="3556" spans="1:11" x14ac:dyDescent="0.25">
      <c r="A3556" t="str">
        <f>HYPERLINK("http://www.corstruth.com.au/NT/1704622_LMDH5_cs.png","1704622_LMDH5_A4")</f>
        <v>1704622_LMDH5_A4</v>
      </c>
      <c r="B3556" t="str">
        <f>HYPERLINK("http://www.corstruth.com.au/NT/PNG2/1704622_LMDH5_cs.png","1704622_LMDH5_0.25m Bins")</f>
        <v>1704622_LMDH5_0.25m Bins</v>
      </c>
      <c r="C3556" t="str">
        <f>HYPERLINK("http://www.corstruth.com.au/NT/CSV/1704622_LMDH5.csv","1704622_LMDH5_CSV File 1m Bins")</f>
        <v>1704622_LMDH5_CSV File 1m Bins</v>
      </c>
      <c r="D3556">
        <v>1704622</v>
      </c>
      <c r="E3556" t="s">
        <v>2165</v>
      </c>
      <c r="G3556" t="s">
        <v>2188</v>
      </c>
      <c r="I3556">
        <v>-17.499099999999999</v>
      </c>
      <c r="J3556">
        <v>129.74799999999999</v>
      </c>
    </row>
    <row r="3557" spans="1:11" x14ac:dyDescent="0.25">
      <c r="A3557" t="str">
        <f>HYPERLINK("http://www.corstruth.com.au/NT/1707417_LMDH8_cs.png","1707417_LMDH8_A4")</f>
        <v>1707417_LMDH8_A4</v>
      </c>
      <c r="B3557" t="str">
        <f>HYPERLINK("http://www.corstruth.com.au/NT/PNG2/1707417_LMDH8_cs.png","1707417_LMDH8_0.25m Bins")</f>
        <v>1707417_LMDH8_0.25m Bins</v>
      </c>
      <c r="C3557" t="str">
        <f>HYPERLINK("http://www.corstruth.com.au/NT/CSV/1707417_LMDH8.csv","1707417_LMDH8_CSV File 1m Bins")</f>
        <v>1707417_LMDH8_CSV File 1m Bins</v>
      </c>
      <c r="D3557">
        <v>1707417</v>
      </c>
      <c r="E3557" t="s">
        <v>2165</v>
      </c>
      <c r="G3557" t="s">
        <v>2188</v>
      </c>
      <c r="I3557">
        <v>-17.562200000000001</v>
      </c>
      <c r="J3557">
        <v>129.81700000000001</v>
      </c>
    </row>
    <row r="3558" spans="1:11" x14ac:dyDescent="0.25">
      <c r="A3558" t="str">
        <f>HYPERLINK("http://www.corstruth.com.au/NT/1711593_LMDH9_cs.png","1711593_LMDH9_A4")</f>
        <v>1711593_LMDH9_A4</v>
      </c>
      <c r="B3558" t="str">
        <f>HYPERLINK("http://www.corstruth.com.au/NT/PNG2/1711593_LMDH9_cs.png","1711593_LMDH9_0.25m Bins")</f>
        <v>1711593_LMDH9_0.25m Bins</v>
      </c>
      <c r="C3558" t="str">
        <f>HYPERLINK("http://www.corstruth.com.au/NT/CSV/1711593_LMDH9.csv","1711593_LMDH9_CSV File 1m Bins")</f>
        <v>1711593_LMDH9_CSV File 1m Bins</v>
      </c>
      <c r="D3558">
        <v>1711593</v>
      </c>
      <c r="E3558" t="s">
        <v>2165</v>
      </c>
      <c r="G3558" t="s">
        <v>2188</v>
      </c>
      <c r="I3558">
        <v>-17.532900000000001</v>
      </c>
      <c r="J3558">
        <v>129.78200000000001</v>
      </c>
    </row>
    <row r="3559" spans="1:11" x14ac:dyDescent="0.25">
      <c r="A3559" t="str">
        <f>HYPERLINK("http://www.corstruth.com.au/NT/7963220_LBD2_cs.png","7963220_LBD2_A4")</f>
        <v>7963220_LBD2_A4</v>
      </c>
      <c r="B3559" t="str">
        <f>HYPERLINK("http://www.corstruth.com.au/NT/PNG2/7963220_LBD2_cs.png","7963220_LBD2_0.25m Bins")</f>
        <v>7963220_LBD2_0.25m Bins</v>
      </c>
      <c r="C3559" t="str">
        <f>HYPERLINK("http://www.corstruth.com.au/NT/CSV/7963220_LBD2.csv","7963220_LBD2_CSV File 1m Bins")</f>
        <v>7963220_LBD2_CSV File 1m Bins</v>
      </c>
      <c r="D3559">
        <v>7963220</v>
      </c>
      <c r="E3559" t="s">
        <v>2165</v>
      </c>
      <c r="G3559" t="s">
        <v>2188</v>
      </c>
      <c r="I3559">
        <v>-17.462299999999999</v>
      </c>
      <c r="J3559">
        <v>130.12799999999999</v>
      </c>
      <c r="K3559" t="str">
        <f>HYPERLINK("http://geology.data.nt.gov.au/NVCLDataServices/mosaic.html?datasetid=bca8d20c-72b2-4efe-a4e5-cab2b2c6a83","7963220_LBD2_Core Image")</f>
        <v>7963220_LBD2_Core Image</v>
      </c>
    </row>
    <row r="3560" spans="1:11" x14ac:dyDescent="0.25">
      <c r="A3560" t="str">
        <f>HYPERLINK("http://www.corstruth.com.au/NT/8423038_ANT002_cs.png","8423038_ANT002_A4")</f>
        <v>8423038_ANT002_A4</v>
      </c>
      <c r="D3560">
        <v>8423038</v>
      </c>
      <c r="E3560" t="s">
        <v>2165</v>
      </c>
      <c r="G3560" t="s">
        <v>2188</v>
      </c>
      <c r="I3560">
        <v>-18.131399999999999</v>
      </c>
      <c r="J3560">
        <v>129.613</v>
      </c>
    </row>
    <row r="3561" spans="1:11" x14ac:dyDescent="0.25">
      <c r="A3561" t="str">
        <f>HYPERLINK("http://www.corstruth.com.au/NT/8423042_ANT003_cs.png","8423042_ANT003_A4")</f>
        <v>8423042_ANT003_A4</v>
      </c>
      <c r="D3561">
        <v>8423042</v>
      </c>
      <c r="E3561" t="s">
        <v>2165</v>
      </c>
      <c r="G3561" t="s">
        <v>2188</v>
      </c>
      <c r="I3561">
        <v>-17.831800000000001</v>
      </c>
      <c r="J3561">
        <v>129.63200000000001</v>
      </c>
    </row>
    <row r="3562" spans="1:11" x14ac:dyDescent="0.25">
      <c r="A3562" t="str">
        <f>HYPERLINK("http://www.corstruth.com.au/NT/8446582_LMDH10_cs.png","8446582_LMDH10_A4")</f>
        <v>8446582_LMDH10_A4</v>
      </c>
      <c r="B3562" t="str">
        <f>HYPERLINK("http://www.corstruth.com.au/NT/PNG2/8446582_LMDH10_cs.png","8446582_LMDH10_0.25m Bins")</f>
        <v>8446582_LMDH10_0.25m Bins</v>
      </c>
      <c r="C3562" t="str">
        <f>HYPERLINK("http://www.corstruth.com.au/NT/CSV/8446582_LMDH10.csv","8446582_LMDH10_CSV File 1m Bins")</f>
        <v>8446582_LMDH10_CSV File 1m Bins</v>
      </c>
      <c r="D3562">
        <v>8446582</v>
      </c>
      <c r="E3562" t="s">
        <v>2165</v>
      </c>
      <c r="G3562" t="s">
        <v>2188</v>
      </c>
      <c r="I3562">
        <v>-17.564399999999999</v>
      </c>
      <c r="J3562">
        <v>129.822</v>
      </c>
    </row>
    <row r="3563" spans="1:11" x14ac:dyDescent="0.25">
      <c r="A3563" t="str">
        <f>HYPERLINK("http://www.corstruth.com.au/NT/8446652_99VRNTGSDDH1_cs.png","8446652_99VRNTGSDDH1_A4")</f>
        <v>8446652_99VRNTGSDDH1_A4</v>
      </c>
      <c r="B3563" t="str">
        <f>HYPERLINK("http://www.corstruth.com.au/NT/PNG2/8446652_99VRNTGSDDH1_cs.png","8446652_99VRNTGSDDH1_0.25m Bins")</f>
        <v>8446652_99VRNTGSDDH1_0.25m Bins</v>
      </c>
      <c r="C3563" t="str">
        <f>HYPERLINK("http://www.corstruth.com.au/NT/CSV/8446652_99VRNTGSDDH1.csv","8446652_99VRNTGSDDH1_CSV File 1m Bins")</f>
        <v>8446652_99VRNTGSDDH1_CSV File 1m Bins</v>
      </c>
      <c r="D3563">
        <v>8446652</v>
      </c>
      <c r="E3563" t="s">
        <v>2165</v>
      </c>
      <c r="G3563" t="s">
        <v>2188</v>
      </c>
      <c r="I3563">
        <v>-16.5505</v>
      </c>
      <c r="J3563">
        <v>130.93600000000001</v>
      </c>
    </row>
    <row r="3564" spans="1:11" x14ac:dyDescent="0.25">
      <c r="A3564" t="str">
        <f>HYPERLINK("http://www.corstruth.com.au/NT/8446656_99VRNTGSDDH2_cs.png","8446656_99VRNTGSDDH2_A4")</f>
        <v>8446656_99VRNTGSDDH2_A4</v>
      </c>
      <c r="B3564" t="str">
        <f>HYPERLINK("http://www.corstruth.com.au/NT/PNG2/8446656_99VRNTGSDDH2_cs.png","8446656_99VRNTGSDDH2_0.25m Bins")</f>
        <v>8446656_99VRNTGSDDH2_0.25m Bins</v>
      </c>
      <c r="C3564" t="str">
        <f>HYPERLINK("http://www.corstruth.com.au/NT/CSV/8446656_99VRNTGSDDH2.csv","8446656_99VRNTGSDDH2_CSV File 1m Bins")</f>
        <v>8446656_99VRNTGSDDH2_CSV File 1m Bins</v>
      </c>
      <c r="D3564">
        <v>8446656</v>
      </c>
      <c r="E3564" t="s">
        <v>2165</v>
      </c>
      <c r="G3564" t="s">
        <v>2188</v>
      </c>
      <c r="I3564">
        <v>-16.042899999999999</v>
      </c>
      <c r="J3564">
        <v>131.38200000000001</v>
      </c>
    </row>
    <row r="3565" spans="1:11" x14ac:dyDescent="0.25">
      <c r="A3565" t="str">
        <f>HYPERLINK("http://www.corstruth.com.au/NT/8446742_DDH1_cs.png","8446742_DDH1_A4")</f>
        <v>8446742_DDH1_A4</v>
      </c>
      <c r="B3565" t="str">
        <f>HYPERLINK("http://www.corstruth.com.au/NT/PNG2/8446742_DDH1_cs.png","8446742_DDH1_0.25m Bins")</f>
        <v>8446742_DDH1_0.25m Bins</v>
      </c>
      <c r="C3565" t="str">
        <f>HYPERLINK("http://www.corstruth.com.au/NT/CSV/8446742_DDH1.csv","8446742_DDH1_CSV File 1m Bins")</f>
        <v>8446742_DDH1_CSV File 1m Bins</v>
      </c>
      <c r="D3565">
        <v>8446742</v>
      </c>
      <c r="E3565" t="s">
        <v>2165</v>
      </c>
      <c r="G3565" t="s">
        <v>2188</v>
      </c>
      <c r="I3565">
        <v>-18.3597</v>
      </c>
      <c r="J3565">
        <v>129.64599999999999</v>
      </c>
    </row>
    <row r="3566" spans="1:11" x14ac:dyDescent="0.25">
      <c r="A3566" t="str">
        <f>HYPERLINK("http://www.corstruth.com.au/NT/8446818_LMDH7_cs.png","8446818_LMDH7_A4")</f>
        <v>8446818_LMDH7_A4</v>
      </c>
      <c r="B3566" t="str">
        <f>HYPERLINK("http://www.corstruth.com.au/NT/PNG2/8446818_LMDH7_cs.png","8446818_LMDH7_0.25m Bins")</f>
        <v>8446818_LMDH7_0.25m Bins</v>
      </c>
      <c r="C3566" t="str">
        <f>HYPERLINK("http://www.corstruth.com.au/NT/CSV/8446818_LMDH7.csv","8446818_LMDH7_CSV File 1m Bins")</f>
        <v>8446818_LMDH7_CSV File 1m Bins</v>
      </c>
      <c r="D3566">
        <v>8446818</v>
      </c>
      <c r="E3566" t="s">
        <v>2165</v>
      </c>
      <c r="G3566" t="s">
        <v>2188</v>
      </c>
      <c r="I3566">
        <v>-17.565300000000001</v>
      </c>
      <c r="J3566">
        <v>129.94399999999999</v>
      </c>
    </row>
    <row r="3567" spans="1:11" x14ac:dyDescent="0.25">
      <c r="A3567" t="str">
        <f>HYPERLINK("http://www.corstruth.com.au/NT/8447021_LMDH12_cs.png","8447021_LMDH12_A4")</f>
        <v>8447021_LMDH12_A4</v>
      </c>
      <c r="B3567" t="str">
        <f>HYPERLINK("http://www.corstruth.com.au/NT/PNG2/8447021_LMDH12_cs.png","8447021_LMDH12_0.25m Bins")</f>
        <v>8447021_LMDH12_0.25m Bins</v>
      </c>
      <c r="C3567" t="str">
        <f>HYPERLINK("http://www.corstruth.com.au/NT/CSV/8447021_LMDH12.csv","8447021_LMDH12_CSV File 1m Bins")</f>
        <v>8447021_LMDH12_CSV File 1m Bins</v>
      </c>
      <c r="D3567">
        <v>8447021</v>
      </c>
      <c r="E3567" t="s">
        <v>2165</v>
      </c>
      <c r="G3567" t="s">
        <v>2188</v>
      </c>
      <c r="I3567">
        <v>-17.5581</v>
      </c>
      <c r="J3567">
        <v>129.80500000000001</v>
      </c>
    </row>
    <row r="3568" spans="1:11" x14ac:dyDescent="0.25">
      <c r="A3568" t="str">
        <f>HYPERLINK("http://www.corstruth.com.au/NT/8447022_LMDH13_cs.png","8447022_LMDH13_A4")</f>
        <v>8447022_LMDH13_A4</v>
      </c>
      <c r="B3568" t="str">
        <f>HYPERLINK("http://www.corstruth.com.au/NT/PNG2/8447022_LMDH13_cs.png","8447022_LMDH13_0.25m Bins")</f>
        <v>8447022_LMDH13_0.25m Bins</v>
      </c>
      <c r="C3568" t="str">
        <f>HYPERLINK("http://www.corstruth.com.au/NT/CSV/8447022_LMDH13.csv","8447022_LMDH13_CSV File 1m Bins")</f>
        <v>8447022_LMDH13_CSV File 1m Bins</v>
      </c>
      <c r="D3568">
        <v>8447022</v>
      </c>
      <c r="E3568" t="s">
        <v>2165</v>
      </c>
      <c r="G3568" t="s">
        <v>2188</v>
      </c>
      <c r="I3568">
        <v>-17.563400000000001</v>
      </c>
      <c r="J3568">
        <v>129.74600000000001</v>
      </c>
    </row>
    <row r="3569" spans="1:11" x14ac:dyDescent="0.25">
      <c r="A3569" t="str">
        <f>HYPERLINK("http://www.corstruth.com.au/NT/8457955_WLMB001B_cs.png","8457955_WLMB001B_A4")</f>
        <v>8457955_WLMB001B_A4</v>
      </c>
      <c r="B3569" t="str">
        <f>HYPERLINK("http://www.corstruth.com.au/NT/PNG2/8457955_WLMB001B_cs.png","8457955_WLMB001B_0.25m Bins")</f>
        <v>8457955_WLMB001B_0.25m Bins</v>
      </c>
      <c r="C3569" t="str">
        <f>HYPERLINK("http://www.corstruth.com.au/NT/CSV/8457955_WLMB001B.csv","8457955_WLMB001B_CSV File 1m Bins")</f>
        <v>8457955_WLMB001B_CSV File 1m Bins</v>
      </c>
      <c r="D3569">
        <v>8457955</v>
      </c>
      <c r="E3569" t="s">
        <v>2165</v>
      </c>
      <c r="G3569" t="s">
        <v>2188</v>
      </c>
      <c r="I3569">
        <v>-16.831900000000001</v>
      </c>
      <c r="J3569">
        <v>129.71700000000001</v>
      </c>
      <c r="K3569" t="str">
        <f>HYPERLINK("http://geology.data.nt.gov.au/NVCLDataServices/mosaic.html?datasetid=2e34a8f1-d556-4621-9ce6-3470f80ee28","8457955_WLMB001B_Core Image")</f>
        <v>8457955_WLMB001B_Core Image</v>
      </c>
    </row>
    <row r="3570" spans="1:11" x14ac:dyDescent="0.25">
      <c r="A3570" t="str">
        <f>HYPERLINK("http://www.corstruth.com.au/NT/8618200_NTGS83_1_cs.png","8618200_NTGS83_1_A4")</f>
        <v>8618200_NTGS83_1_A4</v>
      </c>
      <c r="B3570" t="str">
        <f>HYPERLINK("http://www.corstruth.com.au/NT/PNG2/8618200_NTGS83_1_cs.png","8618200_NTGS83_1_0.25m Bins")</f>
        <v>8618200_NTGS83_1_0.25m Bins</v>
      </c>
      <c r="C3570" t="str">
        <f>HYPERLINK("http://www.corstruth.com.au/NT/CSV/8618200_NTGS83_1.csv","8618200_NTGS83_1_CSV File 1m Bins")</f>
        <v>8618200_NTGS83_1_CSV File 1m Bins</v>
      </c>
      <c r="D3570">
        <v>8618200</v>
      </c>
      <c r="E3570" t="s">
        <v>2165</v>
      </c>
      <c r="G3570" t="s">
        <v>2189</v>
      </c>
      <c r="I3570">
        <v>-14.391999999999999</v>
      </c>
      <c r="J3570">
        <v>130.916</v>
      </c>
    </row>
    <row r="3571" spans="1:11" x14ac:dyDescent="0.25">
      <c r="A3571" t="str">
        <f>HYPERLINK("http://www.corstruth.com.au/NT/8676822_NDIBK04_cs.png","8676822_NDIBK04_A4")</f>
        <v>8676822_NDIBK04_A4</v>
      </c>
      <c r="B3571" t="str">
        <f>HYPERLINK("http://www.corstruth.com.au/NT/PNG2/8676822_NDIBK04_cs.png","8676822_NDIBK04_0.25m Bins")</f>
        <v>8676822_NDIBK04_0.25m Bins</v>
      </c>
      <c r="C3571" t="str">
        <f>HYPERLINK("http://www.corstruth.com.au/NT/CSV/8676822_NDIBK04.csv","8676822_NDIBK04_CSV File 1m Bins")</f>
        <v>8676822_NDIBK04_CSV File 1m Bins</v>
      </c>
      <c r="D3571">
        <v>8676822</v>
      </c>
      <c r="E3571" t="s">
        <v>2165</v>
      </c>
      <c r="G3571" t="s">
        <v>2190</v>
      </c>
      <c r="I3571">
        <v>-19.534199999999998</v>
      </c>
      <c r="J3571">
        <v>136.29</v>
      </c>
      <c r="K3571" t="str">
        <f>HYPERLINK("http://geology.data.nt.gov.au/NVCLDataServices/mosaic.html?datasetid=c40fda8a-bc11-42c4-b6c0-0a750e8f048","8676822_NDIBK04_Core Image")</f>
        <v>8676822_NDIBK04_Core Image</v>
      </c>
    </row>
    <row r="3572" spans="1:11" x14ac:dyDescent="0.25">
      <c r="A3572" t="str">
        <f>HYPERLINK("http://www.corstruth.com.au/NT/8677649_NDIBK05_cs.png","8677649_NDIBK05_A4")</f>
        <v>8677649_NDIBK05_A4</v>
      </c>
      <c r="B3572" t="str">
        <f>HYPERLINK("http://www.corstruth.com.au/NT/PNG2/8677649_NDIBK05_cs.png","8677649_NDIBK05_0.25m Bins")</f>
        <v>8677649_NDIBK05_0.25m Bins</v>
      </c>
      <c r="C3572" t="str">
        <f>HYPERLINK("http://www.corstruth.com.au/NT/CSV/8677649_NDIBK05.csv","8677649_NDIBK05_CSV File 1m Bins")</f>
        <v>8677649_NDIBK05_CSV File 1m Bins</v>
      </c>
      <c r="D3572">
        <v>8677649</v>
      </c>
      <c r="E3572" t="s">
        <v>2165</v>
      </c>
      <c r="G3572" t="s">
        <v>2190</v>
      </c>
      <c r="I3572">
        <v>-19.848299999999998</v>
      </c>
      <c r="J3572">
        <v>135.79499999999999</v>
      </c>
      <c r="K3572" t="str">
        <f>HYPERLINK("http://geology.data.nt.gov.au/NVCLDataServices/mosaic.html?datasetid=0db97258-0279-436c-b88d-587e0a8a793","8677649_NDIBK05_Core Image")</f>
        <v>8677649_NDIBK05_Core Image</v>
      </c>
    </row>
    <row r="3573" spans="1:11" x14ac:dyDescent="0.25">
      <c r="A3573" t="str">
        <f>HYPERLINK("http://www.corstruth.com.au/NT/8685551_NDIBK06_cs.png","8685551_NDIBK06_A4")</f>
        <v>8685551_NDIBK06_A4</v>
      </c>
      <c r="B3573" t="str">
        <f>HYPERLINK("http://www.corstruth.com.au/NT/PNG2/8685551_NDIBK06_cs.png","8685551_NDIBK06_0.25m Bins")</f>
        <v>8685551_NDIBK06_0.25m Bins</v>
      </c>
      <c r="C3573" t="str">
        <f>HYPERLINK("http://www.corstruth.com.au/NT/CSV/8685551_NDIBK06.csv","8685551_NDIBK06_CSV File 1m Bins")</f>
        <v>8685551_NDIBK06_CSV File 1m Bins</v>
      </c>
      <c r="D3573">
        <v>8685551</v>
      </c>
      <c r="E3573" t="s">
        <v>2165</v>
      </c>
      <c r="G3573" t="s">
        <v>2190</v>
      </c>
      <c r="I3573">
        <v>-19.164400000000001</v>
      </c>
      <c r="J3573">
        <v>135.97999999999999</v>
      </c>
      <c r="K3573" t="str">
        <f>HYPERLINK("http://geology.data.nt.gov.au/NVCLDataServices/mosaic.html?datasetid=6d3f2693-4a71-4dca-9e72-3da4eaf9452","8685551_NDIBK06_Core Image")</f>
        <v>8685551_NDIBK06_Core Image</v>
      </c>
    </row>
    <row r="3574" spans="1:11" x14ac:dyDescent="0.25">
      <c r="A3574" t="str">
        <f>HYPERLINK("http://www.corstruth.com.au/NT/8688232_NDIBK07_cs.png","8688232_NDIBK07_A4")</f>
        <v>8688232_NDIBK07_A4</v>
      </c>
      <c r="B3574" t="str">
        <f>HYPERLINK("http://www.corstruth.com.au/NT/PNG2/8688232_NDIBK07_cs.png","8688232_NDIBK07_0.25m Bins")</f>
        <v>8688232_NDIBK07_0.25m Bins</v>
      </c>
      <c r="C3574" t="str">
        <f>HYPERLINK("http://www.corstruth.com.au/NT/CSV/8688232_NDIBK07.csv","8688232_NDIBK07_CSV File 1m Bins")</f>
        <v>8688232_NDIBK07_CSV File 1m Bins</v>
      </c>
      <c r="D3574">
        <v>8688232</v>
      </c>
      <c r="E3574" t="s">
        <v>2165</v>
      </c>
      <c r="G3574" t="s">
        <v>2190</v>
      </c>
      <c r="I3574">
        <v>-19.194500000000001</v>
      </c>
      <c r="J3574">
        <v>136.346</v>
      </c>
      <c r="K3574" t="str">
        <f>HYPERLINK("http://geology.data.nt.gov.au/NVCLDataServices/mosaic.html?datasetid=cf0ac88c-ec7d-422e-a097-45ba25bb38c","8688232_NDIBK07_Core Image")</f>
        <v>8688232_NDIBK07_Core Image</v>
      </c>
    </row>
    <row r="3575" spans="1:11" x14ac:dyDescent="0.25">
      <c r="A3575" t="str">
        <f>HYPERLINK("http://www.corstruth.com.au/NT/8688233_NDIBK08_cs.png","8688233_NDIBK08_A4")</f>
        <v>8688233_NDIBK08_A4</v>
      </c>
      <c r="B3575" t="str">
        <f>HYPERLINK("http://www.corstruth.com.au/NT/PNG2/8688233_NDIBK08_cs.png","8688233_NDIBK08_0.25m Bins")</f>
        <v>8688233_NDIBK08_0.25m Bins</v>
      </c>
      <c r="C3575" t="str">
        <f>HYPERLINK("http://www.corstruth.com.au/NT/CSV/8688233_NDIBK08.csv","8688233_NDIBK08_CSV File 1m Bins")</f>
        <v>8688233_NDIBK08_CSV File 1m Bins</v>
      </c>
      <c r="D3575">
        <v>8688233</v>
      </c>
      <c r="E3575" t="s">
        <v>2165</v>
      </c>
      <c r="G3575" t="s">
        <v>2190</v>
      </c>
      <c r="I3575">
        <v>-19.329799999999999</v>
      </c>
      <c r="J3575">
        <v>136.21600000000001</v>
      </c>
      <c r="K3575" t="str">
        <f>HYPERLINK("http://geology.data.nt.gov.au/NVCLDataServices/mosaic.html?datasetid=a44c3a93-3fcf-416c-a6ff-fd8ae8b33c7","8688233_NDIBK08_Core Image")</f>
        <v>8688233_NDIBK08_Core Image</v>
      </c>
    </row>
    <row r="3576" spans="1:11" x14ac:dyDescent="0.25">
      <c r="A3576" t="str">
        <f>HYPERLINK("http://www.corstruth.com.au/NT/8688234_NDIBK09_cs.png","8688234_NDIBK09_A4")</f>
        <v>8688234_NDIBK09_A4</v>
      </c>
      <c r="B3576" t="str">
        <f>HYPERLINK("http://www.corstruth.com.au/NT/PNG2/8688234_NDIBK09_cs.png","8688234_NDIBK09_0.25m Bins")</f>
        <v>8688234_NDIBK09_0.25m Bins</v>
      </c>
      <c r="C3576" t="str">
        <f>HYPERLINK("http://www.corstruth.com.au/NT/CSV/8688234_NDIBK09.csv","8688234_NDIBK09_CSV File 1m Bins")</f>
        <v>8688234_NDIBK09_CSV File 1m Bins</v>
      </c>
      <c r="D3576">
        <v>8688234</v>
      </c>
      <c r="E3576" t="s">
        <v>2165</v>
      </c>
      <c r="G3576" t="s">
        <v>2190</v>
      </c>
      <c r="I3576">
        <v>-19.499199999999998</v>
      </c>
      <c r="J3576">
        <v>136.03200000000001</v>
      </c>
      <c r="K3576" t="str">
        <f>HYPERLINK("http://geology.data.nt.gov.au/NVCLDataServices/mosaic.html?datasetid=7a8fadc0-8c5e-4b04-9d20-b6329ea7287","8688234_NDIBK09_Core Image")</f>
        <v>8688234_NDIBK09_Core Image</v>
      </c>
    </row>
    <row r="3577" spans="1:11" x14ac:dyDescent="0.25">
      <c r="A3577" t="str">
        <f>HYPERLINK("http://www.corstruth.com.au/NT/8688235_NDIBK10_cs.png","8688235_NDIBK10_A4")</f>
        <v>8688235_NDIBK10_A4</v>
      </c>
      <c r="B3577" t="str">
        <f>HYPERLINK("http://www.corstruth.com.au/NT/PNG2/8688235_NDIBK10_cs.png","8688235_NDIBK10_0.25m Bins")</f>
        <v>8688235_NDIBK10_0.25m Bins</v>
      </c>
      <c r="C3577" t="str">
        <f>HYPERLINK("http://www.corstruth.com.au/NT/CSV/8688235_NDIBK10.csv","8688235_NDIBK10_CSV File 1m Bins")</f>
        <v>8688235_NDIBK10_CSV File 1m Bins</v>
      </c>
      <c r="D3577">
        <v>8688235</v>
      </c>
      <c r="E3577" t="s">
        <v>2165</v>
      </c>
      <c r="G3577" t="s">
        <v>2190</v>
      </c>
      <c r="I3577">
        <v>-19.775700000000001</v>
      </c>
      <c r="J3577">
        <v>135.89599999999999</v>
      </c>
      <c r="K3577" t="str">
        <f>HYPERLINK("http://geology.data.nt.gov.au/NVCLDataServices/mosaic.html?datasetid=d4e3f577-62d0-4f4d-ae73-f7570da46dd","8688235_NDIBK10_Core Image")</f>
        <v>8688235_NDIBK10_Core Image</v>
      </c>
    </row>
    <row r="3578" spans="1:11" x14ac:dyDescent="0.25">
      <c r="A3578" t="str">
        <f>HYPERLINK("http://www.corstruth.com.au/NT/8719220_BKDD_001_cs.png","8719220_BKDD_001_A4")</f>
        <v>8719220_BKDD_001_A4</v>
      </c>
      <c r="B3578" t="str">
        <f>HYPERLINK("http://www.corstruth.com.au/NT/PNG2/8719220_BKDD_001_cs.png","8719220_BKDD_001_0.25m Bins")</f>
        <v>8719220_BKDD_001_0.25m Bins</v>
      </c>
      <c r="C3578" t="str">
        <f>HYPERLINK("http://www.corstruth.com.au/NT/CSV/8719220_BKDD_001.csv","8719220_BKDD_001_CSV File 1m Bins")</f>
        <v>8719220_BKDD_001_CSV File 1m Bins</v>
      </c>
      <c r="D3578">
        <v>8719220</v>
      </c>
      <c r="E3578" t="s">
        <v>2165</v>
      </c>
      <c r="G3578" t="s">
        <v>2190</v>
      </c>
      <c r="I3578">
        <v>-19.470600000000001</v>
      </c>
      <c r="J3578">
        <v>135.18899999999999</v>
      </c>
    </row>
    <row r="3579" spans="1:11" x14ac:dyDescent="0.25">
      <c r="A3579" t="str">
        <f>HYPERLINK("http://www.corstruth.com.au/NT/8765360_GFDD058_cs.png","8765360_GFDD058_A4")</f>
        <v>8765360_GFDD058_A4</v>
      </c>
      <c r="B3579" t="str">
        <f>HYPERLINK("http://www.corstruth.com.au/NT/PNG2/8765360_GFDD058_cs.png","8765360_GFDD058_0.25m Bins")</f>
        <v>8765360_GFDD058_0.25m Bins</v>
      </c>
      <c r="C3579" t="str">
        <f>HYPERLINK("http://www.corstruth.com.au/NT/CSV/8765360_GFDD058.csv","8765360_GFDD058_CSV File 1m Bins")</f>
        <v>8765360_GFDD058_CSV File 1m Bins</v>
      </c>
      <c r="D3579">
        <v>8765360</v>
      </c>
      <c r="E3579" t="s">
        <v>2165</v>
      </c>
      <c r="G3579" t="s">
        <v>2190</v>
      </c>
      <c r="I3579">
        <v>-19.683900000000001</v>
      </c>
      <c r="J3579">
        <v>134.31899999999999</v>
      </c>
    </row>
    <row r="3580" spans="1:11" x14ac:dyDescent="0.25">
      <c r="A3580" t="str">
        <f>HYPERLINK("http://www.corstruth.com.au/NT/8765361_GFDD063_cs.png","8765361_GFDD063_A4")</f>
        <v>8765361_GFDD063_A4</v>
      </c>
      <c r="B3580" t="str">
        <f>HYPERLINK("http://www.corstruth.com.au/NT/PNG2/8765361_GFDD063_cs.png","8765361_GFDD063_0.25m Bins")</f>
        <v>8765361_GFDD063_0.25m Bins</v>
      </c>
      <c r="C3580" t="str">
        <f>HYPERLINK("http://www.corstruth.com.au/NT/CSV/8765361_GFDD063.csv","8765361_GFDD063_CSV File 1m Bins")</f>
        <v>8765361_GFDD063_CSV File 1m Bins</v>
      </c>
      <c r="D3580">
        <v>8765361</v>
      </c>
      <c r="E3580" t="s">
        <v>2165</v>
      </c>
      <c r="G3580" t="s">
        <v>2190</v>
      </c>
      <c r="I3580">
        <v>-19.684200000000001</v>
      </c>
      <c r="J3580">
        <v>134.31899999999999</v>
      </c>
    </row>
    <row r="3581" spans="1:11" x14ac:dyDescent="0.25">
      <c r="A3581" t="str">
        <f>HYPERLINK("http://www.corstruth.com.au/NT/7963275_SDDD001_cs.png","7963275_SDDD001_A4")</f>
        <v>7963275_SDDD001_A4</v>
      </c>
      <c r="D3581">
        <v>7963275</v>
      </c>
      <c r="E3581" t="s">
        <v>2165</v>
      </c>
      <c r="G3581" t="s">
        <v>2191</v>
      </c>
      <c r="I3581">
        <v>-21.638500000000001</v>
      </c>
      <c r="J3581">
        <v>133.29</v>
      </c>
    </row>
    <row r="3582" spans="1:11" x14ac:dyDescent="0.25">
      <c r="A3582" t="str">
        <f>HYPERLINK("http://www.corstruth.com.au/NT/7963279_SDDD002_cs.png","7963279_SDDD002_A4")</f>
        <v>7963279_SDDD002_A4</v>
      </c>
      <c r="D3582">
        <v>7963279</v>
      </c>
      <c r="E3582" t="s">
        <v>2165</v>
      </c>
      <c r="G3582" t="s">
        <v>2191</v>
      </c>
      <c r="I3582">
        <v>-21.637599999999999</v>
      </c>
      <c r="J3582">
        <v>133.285</v>
      </c>
    </row>
    <row r="3583" spans="1:11" x14ac:dyDescent="0.25">
      <c r="A3583" t="str">
        <f>HYPERLINK("http://www.corstruth.com.au/NT/8445367_DDH5_cs.png","8445367_DDH5_A4")</f>
        <v>8445367_DDH5_A4</v>
      </c>
      <c r="B3583" t="str">
        <f>HYPERLINK("http://www.corstruth.com.au/NT/PNG2/8445367_DDH5_cs.png","8445367_DDH5_0.25m Bins")</f>
        <v>8445367_DDH5_0.25m Bins</v>
      </c>
      <c r="C3583" t="str">
        <f>HYPERLINK("http://www.corstruth.com.au/NT/CSV/8445367_DDH5.csv","8445367_DDH5_CSV File 1m Bins")</f>
        <v>8445367_DDH5_CSV File 1m Bins</v>
      </c>
      <c r="D3583">
        <v>8445367</v>
      </c>
      <c r="E3583" t="s">
        <v>2165</v>
      </c>
      <c r="G3583" t="s">
        <v>2192</v>
      </c>
      <c r="I3583">
        <v>-17.868400000000001</v>
      </c>
      <c r="J3583">
        <v>133.28399999999999</v>
      </c>
    </row>
    <row r="3584" spans="1:11" x14ac:dyDescent="0.25">
      <c r="A3584" t="str">
        <f>HYPERLINK("http://www.corstruth.com.au/NT/8446525_DVNP_0050_1_cs.png","8446525_DVNP_0050_1_A4")</f>
        <v>8446525_DVNP_0050_1_A4</v>
      </c>
      <c r="B3584" t="str">
        <f>HYPERLINK("http://www.corstruth.com.au/NT/PNG2/8446525_DVNP_0050_1_cs.png","8446525_DVNP_0050_1_0.25m Bins")</f>
        <v>8446525_DVNP_0050_1_0.25m Bins</v>
      </c>
      <c r="C3584" t="str">
        <f>HYPERLINK("http://www.corstruth.com.au/NT/CSV/8446525_DVNP_0050_1.csv","8446525_DVNP_0050_1_CSV File 1m Bins")</f>
        <v>8446525_DVNP_0050_1_CSV File 1m Bins</v>
      </c>
      <c r="D3584">
        <v>8446525</v>
      </c>
      <c r="E3584" t="s">
        <v>2165</v>
      </c>
      <c r="G3584" t="s">
        <v>2192</v>
      </c>
      <c r="I3584">
        <v>-20.811299999999999</v>
      </c>
      <c r="J3584">
        <v>134.071</v>
      </c>
      <c r="K3584" t="str">
        <f>HYPERLINK("http://geology.data.nt.gov.au/NVCLDataServices/mosaic.html?datasetid=80d712c3-c067-4607-94e2-70616590b56","8446525_DVNP_0050_1_Core Image")</f>
        <v>8446525_DVNP_0050_1_Core Image</v>
      </c>
    </row>
    <row r="3585" spans="1:11" x14ac:dyDescent="0.25">
      <c r="A3585" t="str">
        <f>HYPERLINK("http://www.corstruth.com.au/NT/8446530_DVNP_0051_1_cs.png","8446530_DVNP_0051_1_A4")</f>
        <v>8446530_DVNP_0051_1_A4</v>
      </c>
      <c r="B3585" t="str">
        <f>HYPERLINK("http://www.corstruth.com.au/NT/PNG2/8446530_DVNP_0051_1_cs.png","8446530_DVNP_0051_1_0.25m Bins")</f>
        <v>8446530_DVNP_0051_1_0.25m Bins</v>
      </c>
      <c r="C3585" t="str">
        <f>HYPERLINK("http://www.corstruth.com.au/NT/CSV/8446530_DVNP_0051_1.csv","8446530_DVNP_0051_1_CSV File 1m Bins")</f>
        <v>8446530_DVNP_0051_1_CSV File 1m Bins</v>
      </c>
      <c r="D3585">
        <v>8446530</v>
      </c>
      <c r="E3585" t="s">
        <v>2165</v>
      </c>
      <c r="G3585" t="s">
        <v>2192</v>
      </c>
      <c r="I3585">
        <v>-20.728300000000001</v>
      </c>
      <c r="J3585">
        <v>133.86600000000001</v>
      </c>
      <c r="K3585" t="str">
        <f>HYPERLINK("http://geology.data.nt.gov.au/NVCLDataServices/mosaic.html?datasetid=b8726f03-4624-4734-887c-39e96343f5d","8446530_DVNP_0051_1_Core Image")</f>
        <v>8446530_DVNP_0051_1_Core Image</v>
      </c>
    </row>
    <row r="3586" spans="1:11" x14ac:dyDescent="0.25">
      <c r="A3586" t="str">
        <f>HYPERLINK("http://www.corstruth.com.au/Qld/1006_Mirrica1_cs.png","1006_Mirrica1_A4")</f>
        <v>1006_Mirrica1_A4</v>
      </c>
      <c r="B3586" t="str">
        <f>HYPERLINK("http://www.corstruth.com.au/Qld/PNG2/1006_Mirrica1_cs.png","1006_Mirrica1_0.25m Bins")</f>
        <v>1006_Mirrica1_0.25m Bins</v>
      </c>
      <c r="C3586" t="str">
        <f>HYPERLINK("http://www.corstruth.com.au/Qld/CSV/1006_Mirrica1.csv","1006_Mirrica1_CSV File 1m Bins")</f>
        <v>1006_Mirrica1_CSV File 1m Bins</v>
      </c>
      <c r="D3586">
        <v>1006</v>
      </c>
      <c r="E3586" t="s">
        <v>2193</v>
      </c>
      <c r="I3586">
        <v>-23.6539</v>
      </c>
      <c r="J3586">
        <v>138.29400000000001</v>
      </c>
    </row>
    <row r="3587" spans="1:11" x14ac:dyDescent="0.25">
      <c r="A3587" t="str">
        <f>HYPERLINK("http://www.corstruth.com.au/Qld/1044_Maneroo1_cs.png","1044_Maneroo1_A4")</f>
        <v>1044_Maneroo1_A4</v>
      </c>
      <c r="B3587" t="str">
        <f>HYPERLINK("http://www.corstruth.com.au/Qld/PNG2/1044_Maneroo1_cs.png","1044_Maneroo1_0.25m Bins")</f>
        <v>1044_Maneroo1_0.25m Bins</v>
      </c>
      <c r="C3587" t="str">
        <f>HYPERLINK("http://www.corstruth.com.au/Qld/CSV/1044_Maneroo1.csv","1044_Maneroo1_CSV File 1m Bins")</f>
        <v>1044_Maneroo1_CSV File 1m Bins</v>
      </c>
      <c r="D3587">
        <v>1044</v>
      </c>
      <c r="E3587" t="s">
        <v>2193</v>
      </c>
      <c r="I3587">
        <v>-23.381799999999998</v>
      </c>
      <c r="J3587">
        <v>143.46799999999999</v>
      </c>
      <c r="K3587" t="str">
        <f>HYPERLINK("http://geology.information.qld.gov.au/NVCLDataServices/mosaic.html?datasetid=a0b238fc-05ac-48c6-bad9-add7b021f93","1044_Maneroo1_Core Image")</f>
        <v>1044_Maneroo1_Core Image</v>
      </c>
    </row>
    <row r="3588" spans="1:11" x14ac:dyDescent="0.25">
      <c r="A3588" t="str">
        <f>HYPERLINK("http://www.corstruth.com.au/Qld/1045_Muttaburra1_cs.png","1045_Muttaburra1_A4")</f>
        <v>1045_Muttaburra1_A4</v>
      </c>
      <c r="B3588" t="str">
        <f>HYPERLINK("http://www.corstruth.com.au/Qld/PNG2/1045_Muttaburra1_cs.png","1045_Muttaburra1_0.25m Bins")</f>
        <v>1045_Muttaburra1_0.25m Bins</v>
      </c>
      <c r="C3588" t="str">
        <f>HYPERLINK("http://www.corstruth.com.au/Qld/CSV/1045_Muttaburra1.csv","1045_Muttaburra1_CSV File 1m Bins")</f>
        <v>1045_Muttaburra1_CSV File 1m Bins</v>
      </c>
      <c r="D3588">
        <v>1045</v>
      </c>
      <c r="E3588" t="s">
        <v>2193</v>
      </c>
      <c r="I3588">
        <v>-22.7319</v>
      </c>
      <c r="J3588">
        <v>144.501</v>
      </c>
      <c r="K3588" t="str">
        <f>HYPERLINK("http://geology.information.qld.gov.au/NVCLDataServices/mosaic.html?datasetid=e7fe3b08-bdbe-4589-ac46-8a6bb58e91a","1045_Muttaburra1_Core Image")</f>
        <v>1045_Muttaburra1_Core Image</v>
      </c>
    </row>
    <row r="3589" spans="1:11" x14ac:dyDescent="0.25">
      <c r="A3589" t="str">
        <f>HYPERLINK("http://www.corstruth.com.au/Qld/1046_Longreach1_cs.png","1046_Longreach1_A4")</f>
        <v>1046_Longreach1_A4</v>
      </c>
      <c r="B3589" t="str">
        <f>HYPERLINK("http://www.corstruth.com.au/Qld/PNG2/1046_Longreach1_cs.png","1046_Longreach1_0.25m Bins")</f>
        <v>1046_Longreach1_0.25m Bins</v>
      </c>
      <c r="C3589" t="str">
        <f>HYPERLINK("http://www.corstruth.com.au/Qld/CSV/1046_Longreach1.csv","1046_Longreach1_CSV File 1m Bins")</f>
        <v>1046_Longreach1_CSV File 1m Bins</v>
      </c>
      <c r="D3589">
        <v>1046</v>
      </c>
      <c r="E3589" t="s">
        <v>2193</v>
      </c>
      <c r="I3589">
        <v>-23.111899999999999</v>
      </c>
      <c r="J3589">
        <v>144.59899999999999</v>
      </c>
      <c r="K3589" t="str">
        <f>HYPERLINK("http://geology.information.qld.gov.au/NVCLDataServices/mosaic.html?datasetid=153652f1-dc2a-468d-b046-7fbc4d35ca9","1046_Longreach1_Core Image")</f>
        <v>1046_Longreach1_Core Image</v>
      </c>
    </row>
    <row r="3590" spans="1:11" x14ac:dyDescent="0.25">
      <c r="A3590" t="str">
        <f>HYPERLINK("http://www.corstruth.com.au/Qld/1046_Longreach1B_cs.png","1046_Longreach1B_A4")</f>
        <v>1046_Longreach1B_A4</v>
      </c>
      <c r="B3590" t="str">
        <f>HYPERLINK("http://www.corstruth.com.au/Qld/PNG2/1046_Longreach1B_cs.png","1046_Longreach1B_0.25m Bins")</f>
        <v>1046_Longreach1B_0.25m Bins</v>
      </c>
      <c r="C3590" t="str">
        <f>HYPERLINK("http://www.corstruth.com.au/Qld/CSV/1046_Longreach1B.csv","1046_Longreach1B_CSV File 1m Bins")</f>
        <v>1046_Longreach1B_CSV File 1m Bins</v>
      </c>
      <c r="D3590">
        <v>1046</v>
      </c>
      <c r="E3590" t="s">
        <v>2193</v>
      </c>
      <c r="I3590">
        <v>-23.111899999999999</v>
      </c>
      <c r="J3590">
        <v>144.59899999999999</v>
      </c>
      <c r="K3590" t="str">
        <f>HYPERLINK("http://geology.information.qld.gov.au/NVCLDataServices/mosaic.html?datasetid=cdf9a7e5-7aa3-4187-b434-301d3460db0","1046_Longreach1B_Core Image")</f>
        <v>1046_Longreach1B_Core Image</v>
      </c>
    </row>
    <row r="3591" spans="1:11" x14ac:dyDescent="0.25">
      <c r="A3591" t="str">
        <f>HYPERLINK("http://www.corstruth.com.au/Qld/1058_Mossman1_cs.png","1058_Mossman1_A4")</f>
        <v>1058_Mossman1_A4</v>
      </c>
      <c r="B3591" t="str">
        <f>HYPERLINK("http://www.corstruth.com.au/Qld/PNG2/1058_Mossman1_cs.png","1058_Mossman1_0.25m Bins")</f>
        <v>1058_Mossman1_0.25m Bins</v>
      </c>
      <c r="C3591" t="str">
        <f>HYPERLINK("http://www.corstruth.com.au/Qld/CSV/1058_Mossman1.csv","1058_Mossman1_CSV File 1m Bins")</f>
        <v>1058_Mossman1_CSV File 1m Bins</v>
      </c>
      <c r="D3591">
        <v>1058</v>
      </c>
      <c r="E3591" t="s">
        <v>2193</v>
      </c>
      <c r="I3591">
        <v>-16.699400000000001</v>
      </c>
      <c r="J3591">
        <v>145.34</v>
      </c>
      <c r="K3591" t="str">
        <f>HYPERLINK("http://geology.information.qld.gov.au/NVCLDataServices/mosaic.html?datasetid=65ab95d3-4971-450d-aa72-76a4674bada","1058_Mossman1_Core Image")</f>
        <v>1058_Mossman1_Core Image</v>
      </c>
    </row>
    <row r="3592" spans="1:11" x14ac:dyDescent="0.25">
      <c r="A3592" t="str">
        <f>HYPERLINK("http://www.corstruth.com.au/Qld/11175_Plantagenet8_cs.png","11175_Plantagenet8_A4")</f>
        <v>11175_Plantagenet8_A4</v>
      </c>
      <c r="B3592" t="str">
        <f>HYPERLINK("http://www.corstruth.com.au/Qld/PNG2/11175_Plantagenet8_cs.png","11175_Plantagenet8_0.25m Bins")</f>
        <v>11175_Plantagenet8_0.25m Bins</v>
      </c>
      <c r="C3592" t="str">
        <f>HYPERLINK("http://www.corstruth.com.au/Qld/CSV/11175_Plantagenet8.csv","11175_Plantagenet8_CSV File 1m Bins")</f>
        <v>11175_Plantagenet8_CSV File 1m Bins</v>
      </c>
      <c r="D3592">
        <v>11175</v>
      </c>
      <c r="E3592" t="s">
        <v>2193</v>
      </c>
      <c r="I3592">
        <v>-23.517099999999999</v>
      </c>
      <c r="J3592">
        <v>147.95099999999999</v>
      </c>
      <c r="K3592" t="str">
        <f>HYPERLINK("http://geology.information.qld.gov.au/NVCLDataServices/mosaic.html?datasetid=d9997200-d2d6-4338-bf88-bfa7af17c8c","11175_Plantagenet8_Core Image")</f>
        <v>11175_Plantagenet8_Core Image</v>
      </c>
    </row>
    <row r="3593" spans="1:11" x14ac:dyDescent="0.25">
      <c r="A3593" t="str">
        <f>HYPERLINK("http://www.corstruth.com.au/Qld/11231_RutledgeNS1_cs.png","11231_RutledgeNS1_A4")</f>
        <v>11231_RutledgeNS1_A4</v>
      </c>
      <c r="B3593" t="str">
        <f>HYPERLINK("http://www.corstruth.com.au/Qld/PNG2/11231_RutledgeNS1_cs.png","11231_RutledgeNS1_0.25m Bins")</f>
        <v>11231_RutledgeNS1_0.25m Bins</v>
      </c>
      <c r="C3593" t="str">
        <f>HYPERLINK("http://www.corstruth.com.au/Qld/CSV/11231_RutledgeNS1.csv","11231_RutledgeNS1_CSV File 1m Bins")</f>
        <v>11231_RutledgeNS1_CSV File 1m Bins</v>
      </c>
      <c r="D3593">
        <v>11231</v>
      </c>
      <c r="E3593" t="s">
        <v>2193</v>
      </c>
      <c r="I3593">
        <v>-22.616599999999998</v>
      </c>
      <c r="J3593">
        <v>147.43100000000001</v>
      </c>
      <c r="K3593" t="str">
        <f>HYPERLINK("http://geology.information.qld.gov.au/NVCLDataServices/mosaic.html?datasetid=153652f1-dc2a-468d-b046-7fbc4d35ca9","11231_RutledgeNS1_Core Image")</f>
        <v>11231_RutledgeNS1_Core Image</v>
      </c>
    </row>
    <row r="3594" spans="1:11" x14ac:dyDescent="0.25">
      <c r="A3594" t="str">
        <f>HYPERLINK("http://www.corstruth.com.au/Qld/1133_Charleville1_cs.png","1133_Charleville1_A4")</f>
        <v>1133_Charleville1_A4</v>
      </c>
      <c r="D3594">
        <v>1133</v>
      </c>
      <c r="E3594" t="s">
        <v>2193</v>
      </c>
      <c r="I3594">
        <v>-26.3428</v>
      </c>
      <c r="J3594">
        <v>146.28100000000001</v>
      </c>
      <c r="K3594" t="str">
        <f>HYPERLINK("http://geology.information.qld.gov.au/NVCLDataServices/mosaic.html?datasetid=17bdd160-53be-48f9-bbce-92d8c5faf59","1133_Charleville1_Core Image")</f>
        <v>1133_Charleville1_Core Image</v>
      </c>
    </row>
    <row r="3595" spans="1:11" x14ac:dyDescent="0.25">
      <c r="A3595" t="str">
        <f>HYPERLINK("http://www.corstruth.com.au/Qld/1135_Baralaba1_cs.png","1135_Baralaba1_A4")</f>
        <v>1135_Baralaba1_A4</v>
      </c>
      <c r="B3595" t="str">
        <f>HYPERLINK("http://www.corstruth.com.au/Qld/PNG2/1135_Baralaba1_cs.png","1135_Baralaba1_0.25m Bins")</f>
        <v>1135_Baralaba1_0.25m Bins</v>
      </c>
      <c r="C3595" t="str">
        <f>HYPERLINK("http://www.corstruth.com.au/Qld/CSV/1135_Baralaba1.csv","1135_Baralaba1_CSV File 1m Bins")</f>
        <v>1135_Baralaba1_CSV File 1m Bins</v>
      </c>
      <c r="D3595">
        <v>1135</v>
      </c>
      <c r="E3595" t="s">
        <v>2193</v>
      </c>
      <c r="I3595">
        <v>-24.984100000000002</v>
      </c>
      <c r="J3595">
        <v>149.92099999999999</v>
      </c>
    </row>
    <row r="3596" spans="1:11" x14ac:dyDescent="0.25">
      <c r="A3596" t="str">
        <f>HYPERLINK("http://www.corstruth.com.au/Qld/1136_Taroom16_cs.png","1136_Taroom16_A4")</f>
        <v>1136_Taroom16_A4</v>
      </c>
      <c r="D3596">
        <v>1136</v>
      </c>
      <c r="E3596" t="s">
        <v>2193</v>
      </c>
      <c r="I3596">
        <v>-25.431899999999999</v>
      </c>
      <c r="J3596">
        <v>149.93100000000001</v>
      </c>
      <c r="K3596" t="str">
        <f>HYPERLINK("http://geology.information.qld.gov.au/NVCLDataServices/mosaic.html?datasetid=998704dd-9dc2-401d-8af5-fc191cbc9a6","1136_Taroom16_Core Image")</f>
        <v>1136_Taroom16_Core Image</v>
      </c>
    </row>
    <row r="3597" spans="1:11" x14ac:dyDescent="0.25">
      <c r="A3597" t="str">
        <f>HYPERLINK("http://www.corstruth.com.au/Qld/1138_Mundubbera10_cs.png","1138_Mundubbera10_A4")</f>
        <v>1138_Mundubbera10_A4</v>
      </c>
      <c r="B3597" t="str">
        <f>HYPERLINK("http://www.corstruth.com.au/Qld/PNG2/1138_Mundubbera10_cs.png","1138_Mundubbera10_0.25m Bins")</f>
        <v>1138_Mundubbera10_0.25m Bins</v>
      </c>
      <c r="C3597" t="str">
        <f>HYPERLINK("http://www.corstruth.com.au/Qld/CSV/1138_Mundubbera10.csv","1138_Mundubbera10_CSV File 1m Bins")</f>
        <v>1138_Mundubbera10_CSV File 1m Bins</v>
      </c>
      <c r="D3597">
        <v>1138</v>
      </c>
      <c r="E3597" t="s">
        <v>2193</v>
      </c>
      <c r="I3597">
        <v>-25.3659</v>
      </c>
      <c r="J3597">
        <v>150.27600000000001</v>
      </c>
    </row>
    <row r="3598" spans="1:11" x14ac:dyDescent="0.25">
      <c r="A3598" t="str">
        <f>HYPERLINK("http://www.corstruth.com.au/Qld/1139_Quilpie1_cs.png","1139_Quilpie1_A4")</f>
        <v>1139_Quilpie1_A4</v>
      </c>
      <c r="D3598">
        <v>1139</v>
      </c>
      <c r="E3598" t="s">
        <v>2193</v>
      </c>
      <c r="I3598" s="1">
        <v>-9.3040300000000001E+29</v>
      </c>
      <c r="J3598" s="2" t="s">
        <v>2194</v>
      </c>
      <c r="K3598" t="str">
        <f>HYPERLINK("http://geology.information.qld.gov.au/NVCLDataServices/mosaic.html?datasetid=NONE","1139_Quilpie1_Core Image")</f>
        <v>1139_Quilpie1_Core Image</v>
      </c>
    </row>
    <row r="3599" spans="1:11" x14ac:dyDescent="0.25">
      <c r="A3599" t="str">
        <f>HYPERLINK("http://www.corstruth.com.au/Qld/11477_RosewoodNS84_cs.png","11477_RosewoodNS84_A4")</f>
        <v>11477_RosewoodNS84_A4</v>
      </c>
      <c r="B3599" t="str">
        <f>HYPERLINK("http://www.corstruth.com.au/Qld/PNG2/11477_RosewoodNS84_cs.png","11477_RosewoodNS84_0.25m Bins")</f>
        <v>11477_RosewoodNS84_0.25m Bins</v>
      </c>
      <c r="C3599" t="str">
        <f>HYPERLINK("http://www.corstruth.com.au/Qld/CSV/11477_RosewoodNS84.csv","11477_RosewoodNS84_CSV File 1m Bins")</f>
        <v>11477_RosewoodNS84_CSV File 1m Bins</v>
      </c>
      <c r="D3599">
        <v>11477</v>
      </c>
      <c r="E3599" t="s">
        <v>2193</v>
      </c>
      <c r="I3599">
        <v>-27.666799999999999</v>
      </c>
      <c r="J3599">
        <v>152.60400000000001</v>
      </c>
      <c r="K3599" t="str">
        <f>HYPERLINK("http://geology.information.qld.gov.au/NVCLDataServices/mosaic.html?datasetid=NONE","11477_RosewoodNS84_Core Image")</f>
        <v>11477_RosewoodNS84_Core Image</v>
      </c>
    </row>
    <row r="3600" spans="1:11" x14ac:dyDescent="0.25">
      <c r="A3600" t="str">
        <f>HYPERLINK("http://www.corstruth.com.au/Qld/1229_Tinker1_cs.png","1229_Tinker1_A4")</f>
        <v>1229_Tinker1_A4</v>
      </c>
      <c r="B3600" t="str">
        <f>HYPERLINK("http://www.corstruth.com.au/Qld/PNG2/1229_Tinker1_cs.png","1229_Tinker1_0.25m Bins")</f>
        <v>1229_Tinker1_0.25m Bins</v>
      </c>
      <c r="C3600" t="str">
        <f>HYPERLINK("http://www.corstruth.com.au/Qld/CSV/1229_Tinker1.csv","1229_Tinker1_CSV File 1m Bins")</f>
        <v>1229_Tinker1_CSV File 1m Bins</v>
      </c>
      <c r="D3600">
        <v>1229</v>
      </c>
      <c r="E3600" t="s">
        <v>2193</v>
      </c>
      <c r="I3600">
        <v>-27.467700000000001</v>
      </c>
      <c r="J3600">
        <v>149.30699999999999</v>
      </c>
    </row>
    <row r="3601" spans="1:11" x14ac:dyDescent="0.25">
      <c r="A3601" t="str">
        <f>HYPERLINK("http://www.corstruth.com.au/Qld/1230_Tinker2_cs.png","1230_Tinker2_A4")</f>
        <v>1230_Tinker2_A4</v>
      </c>
      <c r="B3601" t="str">
        <f>HYPERLINK("http://www.corstruth.com.au/Qld/PNG2/1230_Tinker2_cs.png","1230_Tinker2_0.25m Bins")</f>
        <v>1230_Tinker2_0.25m Bins</v>
      </c>
      <c r="C3601" t="str">
        <f>HYPERLINK("http://www.corstruth.com.au/Qld/CSV/1230_Tinker2.csv","1230_Tinker2_CSV File 1m Bins")</f>
        <v>1230_Tinker2_CSV File 1m Bins</v>
      </c>
      <c r="D3601">
        <v>1230</v>
      </c>
      <c r="E3601" t="s">
        <v>2193</v>
      </c>
      <c r="I3601">
        <v>-27.4528</v>
      </c>
      <c r="J3601">
        <v>149.27099999999999</v>
      </c>
    </row>
    <row r="3602" spans="1:11" x14ac:dyDescent="0.25">
      <c r="A3602" t="str">
        <f>HYPERLINK("http://www.corstruth.com.au/Qld/1237_Mitchell2_cs.png","1237_Mitchell2_A4")</f>
        <v>1237_Mitchell2_A4</v>
      </c>
      <c r="B3602" t="str">
        <f>HYPERLINK("http://www.corstruth.com.au/Qld/PNG2/1237_Mitchell2_cs.png","1237_Mitchell2_0.25m Bins")</f>
        <v>1237_Mitchell2_0.25m Bins</v>
      </c>
      <c r="C3602" t="str">
        <f>HYPERLINK("http://www.corstruth.com.au/Qld/CSV/1237_Mitchell2.csv","1237_Mitchell2_CSV File 1m Bins")</f>
        <v>1237_Mitchell2_CSV File 1m Bins</v>
      </c>
      <c r="D3602">
        <v>1237</v>
      </c>
      <c r="E3602" t="s">
        <v>2193</v>
      </c>
      <c r="I3602">
        <v>-26.343699999999998</v>
      </c>
      <c r="J3602">
        <v>148.13300000000001</v>
      </c>
      <c r="K3602" t="str">
        <f>HYPERLINK("http://geology.information.qld.gov.au/NVCLDataServices/mosaic.html?datasetid=NONE","1237_Mitchell2_Core Image")</f>
        <v>1237_Mitchell2_Core Image</v>
      </c>
    </row>
    <row r="3603" spans="1:11" x14ac:dyDescent="0.25">
      <c r="A3603" t="str">
        <f>HYPERLINK("http://www.corstruth.com.au/Qld/1240_Chinchilla4_cs.png","1240_Chinchilla4_A4")</f>
        <v>1240_Chinchilla4_A4</v>
      </c>
      <c r="B3603" t="str">
        <f>HYPERLINK("http://www.corstruth.com.au/Qld/PNG2/1240_Chinchilla4_cs.png","1240_Chinchilla4_0.25m Bins")</f>
        <v>1240_Chinchilla4_0.25m Bins</v>
      </c>
      <c r="C3603" t="str">
        <f>HYPERLINK("http://www.corstruth.com.au/Qld/CSV/1240_Chinchilla4.csv","1240_Chinchilla4_CSV File 1m Bins")</f>
        <v>1240_Chinchilla4_CSV File 1m Bins</v>
      </c>
      <c r="D3603">
        <v>1240</v>
      </c>
      <c r="E3603" t="s">
        <v>2193</v>
      </c>
      <c r="I3603">
        <v>-26.727399999999999</v>
      </c>
      <c r="J3603">
        <v>150.202</v>
      </c>
      <c r="K3603" t="str">
        <f>HYPERLINK("http://geology.information.qld.gov.au/NVCLDataServices/mosaic.html?datasetid=58fd9910-5158-403b-a116-a2a7731640d","1240_Chinchilla4_Core Image")</f>
        <v>1240_Chinchilla4_Core Image</v>
      </c>
    </row>
    <row r="3604" spans="1:11" x14ac:dyDescent="0.25">
      <c r="A3604" t="str">
        <f>HYPERLINK("http://www.corstruth.com.au/Qld/1241_Duaringa6_cs.png","1241_Duaringa6_A4")</f>
        <v>1241_Duaringa6_A4</v>
      </c>
      <c r="B3604" t="str">
        <f>HYPERLINK("http://www.corstruth.com.au/Qld/PNG2/1241_Duaringa6_cs.png","1241_Duaringa6_0.25m Bins")</f>
        <v>1241_Duaringa6_0.25m Bins</v>
      </c>
      <c r="C3604" t="str">
        <f>HYPERLINK("http://www.corstruth.com.au/Qld/CSV/1241_Duaringa6.csv","1241_Duaringa6_CSV File 1m Bins")</f>
        <v>1241_Duaringa6_CSV File 1m Bins</v>
      </c>
      <c r="D3604">
        <v>1241</v>
      </c>
      <c r="E3604" t="s">
        <v>2193</v>
      </c>
      <c r="I3604">
        <v>-23.131900000000002</v>
      </c>
      <c r="J3604">
        <v>148.71799999999999</v>
      </c>
      <c r="K3604" t="str">
        <f>HYPERLINK("http://geology.information.qld.gov.au/NVCLDataServices/mosaic.html?datasetid=d1616dc3-a075-4dce-bb8b-3768e895d5d","1241_Duaringa6_Core Image")</f>
        <v>1241_Duaringa6_Core Image</v>
      </c>
    </row>
    <row r="3605" spans="1:11" x14ac:dyDescent="0.25">
      <c r="A3605" t="str">
        <f>HYPERLINK("http://www.corstruth.com.au/Qld/1242_Roma8_cs.png","1242_Roma8_A4")</f>
        <v>1242_Roma8_A4</v>
      </c>
      <c r="B3605" t="str">
        <f>HYPERLINK("http://www.corstruth.com.au/Qld/PNG2/1242_Roma8_cs.png","1242_Roma8_0.25m Bins")</f>
        <v>1242_Roma8_0.25m Bins</v>
      </c>
      <c r="C3605" t="str">
        <f>HYPERLINK("http://www.corstruth.com.au/Qld/CSV/1242_Roma8.csv","1242_Roma8_CSV File 1m Bins")</f>
        <v>1242_Roma8_CSV File 1m Bins</v>
      </c>
      <c r="D3605">
        <v>1242</v>
      </c>
      <c r="E3605" t="s">
        <v>2193</v>
      </c>
      <c r="I3605">
        <v>-26.5533</v>
      </c>
      <c r="J3605">
        <v>148.60400000000001</v>
      </c>
    </row>
    <row r="3606" spans="1:11" x14ac:dyDescent="0.25">
      <c r="A3606" t="str">
        <f>HYPERLINK("http://www.corstruth.com.au/Qld/1246_Taroom14_cs.png","1246_Taroom14_A4")</f>
        <v>1246_Taroom14_A4</v>
      </c>
      <c r="B3606" t="str">
        <f>HYPERLINK("http://www.corstruth.com.au/Qld/PNG2/1246_Taroom14_cs.png","1246_Taroom14_0.25m Bins")</f>
        <v>1246_Taroom14_0.25m Bins</v>
      </c>
      <c r="C3606" t="str">
        <f>HYPERLINK("http://www.corstruth.com.au/Qld/CSV/1246_Taroom14.csv","1246_Taroom14_CSV File 1m Bins")</f>
        <v>1246_Taroom14_CSV File 1m Bins</v>
      </c>
      <c r="D3606">
        <v>1246</v>
      </c>
      <c r="E3606" t="s">
        <v>2193</v>
      </c>
      <c r="I3606">
        <v>-25.119399999999999</v>
      </c>
      <c r="J3606">
        <v>149.143</v>
      </c>
      <c r="K3606" t="str">
        <f>HYPERLINK("http://geology.information.qld.gov.au/NVCLDataServices/mosaic.html?datasetid=0faeaa9a-22a2-423c-bcfc-7b6ada7be48","1246_Taroom14_Core Image")</f>
        <v>1246_Taroom14_Core Image</v>
      </c>
    </row>
    <row r="3607" spans="1:11" x14ac:dyDescent="0.25">
      <c r="A3607" t="str">
        <f>HYPERLINK("http://www.corstruth.com.au/Qld/1261_Oon_Mirintu1_cs.png","1261_Oon Mirintu1_A4")</f>
        <v>1261_Oon Mirintu1_A4</v>
      </c>
      <c r="B3607" t="str">
        <f>HYPERLINK("http://www.corstruth.com.au/Qld/PNG2/1261_Oon_Mirintu1_cs.png","1261_Oon Mirintu1_0.25m Bins")</f>
        <v>1261_Oon Mirintu1_0.25m Bins</v>
      </c>
      <c r="C3607" t="str">
        <f>HYPERLINK("http://www.corstruth.com.au/Qld/CSV/1261_Oon_Mirintu1.csv","1261_Oon Mirintu1_CSV File 1m Bins")</f>
        <v>1261_Oon Mirintu1_CSV File 1m Bins</v>
      </c>
      <c r="D3607">
        <v>1261</v>
      </c>
      <c r="E3607" t="s">
        <v>2193</v>
      </c>
      <c r="I3607">
        <v>-28.825600000000001</v>
      </c>
      <c r="J3607">
        <v>143.33099999999999</v>
      </c>
    </row>
    <row r="3608" spans="1:11" x14ac:dyDescent="0.25">
      <c r="A3608" t="str">
        <f>HYPERLINK("http://www.corstruth.com.au/Qld/1262_Nangway1_cs.png","1262_Nangway1_A4")</f>
        <v>1262_Nangway1_A4</v>
      </c>
      <c r="B3608" t="str">
        <f>HYPERLINK("http://www.corstruth.com.au/Qld/PNG2/1262_Nangway1_cs.png","1262_Nangway1_0.25m Bins")</f>
        <v>1262_Nangway1_0.25m Bins</v>
      </c>
      <c r="C3608" t="str">
        <f>HYPERLINK("http://www.corstruth.com.au/Qld/CSV/1262_Nangway1.csv","1262_Nangway1_CSV File 1m Bins")</f>
        <v>1262_Nangway1_CSV File 1m Bins</v>
      </c>
      <c r="D3608">
        <v>1262</v>
      </c>
      <c r="E3608" t="s">
        <v>2193</v>
      </c>
      <c r="I3608">
        <v>-27.779299999999999</v>
      </c>
      <c r="J3608">
        <v>150.95400000000001</v>
      </c>
      <c r="K3608" t="str">
        <f>HYPERLINK("http://geology.information.qld.gov.au/NVCLDataServices/mosaic.html?datasetid=8287719b-094f-4771-9273-78d9e9500a9","1262_Nangway1_Core Image")</f>
        <v>1262_Nangway1_Core Image</v>
      </c>
    </row>
    <row r="3609" spans="1:11" x14ac:dyDescent="0.25">
      <c r="A3609" t="str">
        <f>HYPERLINK("http://www.corstruth.com.au/Qld/1265_Yanda1_Core3_cs.png","1265_Yanda1_Core3_A4")</f>
        <v>1265_Yanda1_Core3_A4</v>
      </c>
      <c r="B3609" t="str">
        <f>HYPERLINK("http://www.corstruth.com.au/Qld/PNG2/1265_Yanda1_Core3_cs.png","1265_Yanda1_Core3_0.25m Bins")</f>
        <v>1265_Yanda1_Core3_0.25m Bins</v>
      </c>
      <c r="C3609" t="str">
        <f>HYPERLINK("http://www.corstruth.com.au/Qld/CSV/1265_Yanda1_Core3.csv","1265_Yanda1_Core3_CSV File 1m Bins")</f>
        <v>1265_Yanda1_Core3_CSV File 1m Bins</v>
      </c>
      <c r="D3609">
        <v>1265</v>
      </c>
      <c r="E3609" t="s">
        <v>2193</v>
      </c>
      <c r="I3609">
        <v>-27.456399999999999</v>
      </c>
      <c r="J3609">
        <v>141.81</v>
      </c>
    </row>
    <row r="3610" spans="1:11" x14ac:dyDescent="0.25">
      <c r="A3610" t="str">
        <f>HYPERLINK("http://www.corstruth.com.au/Qld/1265_Yanda1_Core4_cs.png","1265_Yanda1_Core4_A4")</f>
        <v>1265_Yanda1_Core4_A4</v>
      </c>
      <c r="B3610" t="str">
        <f>HYPERLINK("http://www.corstruth.com.au/Qld/PNG2/1265_Yanda1_Core4_cs.png","1265_Yanda1_Core4_0.25m Bins")</f>
        <v>1265_Yanda1_Core4_0.25m Bins</v>
      </c>
      <c r="C3610" t="str">
        <f>HYPERLINK("http://www.corstruth.com.au/Qld/CSV/1265_Yanda1_Core4.csv","1265_Yanda1_Core4_CSV File 1m Bins")</f>
        <v>1265_Yanda1_Core4_CSV File 1m Bins</v>
      </c>
      <c r="D3610">
        <v>1265</v>
      </c>
      <c r="E3610" t="s">
        <v>2193</v>
      </c>
      <c r="I3610">
        <v>-27.456399999999999</v>
      </c>
      <c r="J3610">
        <v>141.81</v>
      </c>
    </row>
    <row r="3611" spans="1:11" x14ac:dyDescent="0.25">
      <c r="A3611" t="str">
        <f>HYPERLINK("http://www.corstruth.com.au/Qld/1356_Thargomindah2_cs.png","1356_Thargomindah2_A4")</f>
        <v>1356_Thargomindah2_A4</v>
      </c>
      <c r="B3611" t="str">
        <f>HYPERLINK("http://www.corstruth.com.au/Qld/PNG2/1356_Thargomindah2_cs.png","1356_Thargomindah2_0.25m Bins")</f>
        <v>1356_Thargomindah2_0.25m Bins</v>
      </c>
      <c r="C3611" t="str">
        <f>HYPERLINK("http://www.corstruth.com.au/Qld/CSV/1356_Thargomindah2.csv","1356_Thargomindah2_CSV File 1m Bins")</f>
        <v>1356_Thargomindah2_CSV File 1m Bins</v>
      </c>
      <c r="D3611">
        <v>1356</v>
      </c>
      <c r="E3611" t="s">
        <v>2193</v>
      </c>
      <c r="I3611">
        <v>-27.7303</v>
      </c>
      <c r="J3611">
        <v>142.92400000000001</v>
      </c>
      <c r="K3611" t="str">
        <f>HYPERLINK("http://geology.information.qld.gov.au/NVCLDataServices/mosaic.html?datasetid=ce888336-e781-4f76-a11d-5c535e91a95","1356_Thargomindah2_Core Image")</f>
        <v>1356_Thargomindah2_Core Image</v>
      </c>
    </row>
    <row r="3612" spans="1:11" x14ac:dyDescent="0.25">
      <c r="A3612" t="str">
        <f>HYPERLINK("http://www.corstruth.com.au/Qld/1358_Bulloo1_cs.png","1358_Bulloo1_A4")</f>
        <v>1358_Bulloo1_A4</v>
      </c>
      <c r="D3612">
        <v>1358</v>
      </c>
      <c r="E3612" t="s">
        <v>2193</v>
      </c>
      <c r="I3612">
        <v>-28.400099999999998</v>
      </c>
      <c r="J3612">
        <v>143.76900000000001</v>
      </c>
      <c r="K3612" t="str">
        <f>HYPERLINK("http://geology.information.qld.gov.au/NVCLDataServices/mosaic.html?datasetid=304dc189-3daa-4e31-8b7e-d6a74993783","1358_Bulloo1_Core Image")</f>
        <v>1358_Bulloo1_Core Image</v>
      </c>
    </row>
    <row r="3613" spans="1:11" x14ac:dyDescent="0.25">
      <c r="A3613" t="str">
        <f>HYPERLINK("http://www.corstruth.com.au/Qld/1391_Cook1_cs.png","1391_Cook1_A4")</f>
        <v>1391_Cook1_A4</v>
      </c>
      <c r="B3613" t="str">
        <f>HYPERLINK("http://www.corstruth.com.au/Qld/PNG2/1391_Cook1_cs.png","1391_Cook1_0.25m Bins")</f>
        <v>1391_Cook1_0.25m Bins</v>
      </c>
      <c r="C3613" t="str">
        <f>HYPERLINK("http://www.corstruth.com.au/Qld/CSV/1391_Cook1.csv","1391_Cook1_CSV File 1m Bins")</f>
        <v>1391_Cook1_CSV File 1m Bins</v>
      </c>
      <c r="D3613">
        <v>1391</v>
      </c>
      <c r="E3613" t="s">
        <v>2193</v>
      </c>
      <c r="I3613">
        <v>-26.700299999999999</v>
      </c>
      <c r="J3613">
        <v>141.291</v>
      </c>
    </row>
    <row r="3614" spans="1:11" x14ac:dyDescent="0.25">
      <c r="A3614" t="str">
        <f>HYPERLINK("http://www.corstruth.com.au/Qld/1443_Blackall1_cs.png","1443_Blackall1_A4")</f>
        <v>1443_Blackall1_A4</v>
      </c>
      <c r="B3614" t="str">
        <f>HYPERLINK("http://www.corstruth.com.au/Qld/PNG2/1443_Blackall1_cs.png","1443_Blackall1_0.25m Bins")</f>
        <v>1443_Blackall1_0.25m Bins</v>
      </c>
      <c r="C3614" t="str">
        <f>HYPERLINK("http://www.corstruth.com.au/Qld/CSV/1443_Blackall1.csv","1443_Blackall1_CSV File 1m Bins")</f>
        <v>1443_Blackall1_CSV File 1m Bins</v>
      </c>
      <c r="D3614">
        <v>1443</v>
      </c>
      <c r="E3614" t="s">
        <v>2193</v>
      </c>
      <c r="I3614">
        <v>-24.360099999999999</v>
      </c>
      <c r="J3614">
        <v>145.34100000000001</v>
      </c>
      <c r="K3614" t="str">
        <f>HYPERLINK("http://geology.information.qld.gov.au/NVCLDataServices/mosaic.html?datasetid=NONE","1443_Blackall1_Core Image")</f>
        <v>1443_Blackall1_Core Image</v>
      </c>
    </row>
    <row r="3615" spans="1:11" x14ac:dyDescent="0.25">
      <c r="A3615" t="str">
        <f>HYPERLINK("http://www.corstruth.com.au/Qld/1463_Jundah1_cs.png","1463_Jundah1_A4")</f>
        <v>1463_Jundah1_A4</v>
      </c>
      <c r="B3615" t="str">
        <f>HYPERLINK("http://www.corstruth.com.au/Qld/PNG2/1463_Jundah1_cs.png","1463_Jundah1_0.25m Bins")</f>
        <v>1463_Jundah1_0.25m Bins</v>
      </c>
      <c r="C3615" t="str">
        <f>HYPERLINK("http://www.corstruth.com.au/Qld/CSV/1463_Jundah1.csv","1463_Jundah1_CSV File 1m Bins")</f>
        <v>1463_Jundah1_CSV File 1m Bins</v>
      </c>
      <c r="D3615">
        <v>1463</v>
      </c>
      <c r="E3615" t="s">
        <v>2193</v>
      </c>
      <c r="I3615">
        <v>-24.5305</v>
      </c>
      <c r="J3615">
        <v>142.70099999999999</v>
      </c>
    </row>
    <row r="3616" spans="1:11" x14ac:dyDescent="0.25">
      <c r="A3616" t="str">
        <f>HYPERLINK("http://www.corstruth.com.au/Qld/1471_Connemara1_cs.png","1471_Connemara1_A4")</f>
        <v>1471_Connemara1_A4</v>
      </c>
      <c r="B3616" t="str">
        <f>HYPERLINK("http://www.corstruth.com.au/Qld/PNG2/1471_Connemara1_cs.png","1471_Connemara1_0.25m Bins")</f>
        <v>1471_Connemara1_0.25m Bins</v>
      </c>
      <c r="C3616" t="str">
        <f>HYPERLINK("http://www.corstruth.com.au/Qld/CSV/1471_Connemara1.csv","1471_Connemara1_CSV File 1m Bins")</f>
        <v>1471_Connemara1_CSV File 1m Bins</v>
      </c>
      <c r="D3616">
        <v>1471</v>
      </c>
      <c r="E3616" t="s">
        <v>2193</v>
      </c>
      <c r="I3616">
        <v>-24.4986</v>
      </c>
      <c r="J3616">
        <v>141.39699999999999</v>
      </c>
    </row>
    <row r="3617" spans="1:11" x14ac:dyDescent="0.25">
      <c r="A3617" t="str">
        <f>HYPERLINK("http://www.corstruth.com.au/Qld/1472_MtCoolon1_cs.png","1472_MtCoolon1_A4")</f>
        <v>1472_MtCoolon1_A4</v>
      </c>
      <c r="B3617" t="str">
        <f>HYPERLINK("http://www.corstruth.com.au/Qld/PNG2/1472_MtCoolon1_cs.png","1472_MtCoolon1_0.25m Bins")</f>
        <v>1472_MtCoolon1_0.25m Bins</v>
      </c>
      <c r="C3617" t="str">
        <f>HYPERLINK("http://www.corstruth.com.au/Qld/CSV/1472_MtCoolon1.csv","1472_MtCoolon1_CSV File 1m Bins")</f>
        <v>1472_MtCoolon1_CSV File 1m Bins</v>
      </c>
      <c r="D3617">
        <v>1472</v>
      </c>
      <c r="E3617" t="s">
        <v>2193</v>
      </c>
      <c r="I3617">
        <v>-21.448499999999999</v>
      </c>
      <c r="J3617">
        <v>147.268</v>
      </c>
      <c r="K3617" t="str">
        <f>HYPERLINK("http://geology.information.qld.gov.au/NVCLDataServices/mosaic.html?datasetid=70e73e78-bf24-4079-b2ea-8c27633304a","1472_MtCoolon1_Core Image")</f>
        <v>1472_MtCoolon1_Core Image</v>
      </c>
    </row>
    <row r="3618" spans="1:11" x14ac:dyDescent="0.25">
      <c r="A3618" t="str">
        <f>HYPERLINK("http://www.corstruth.com.au/Qld/1473_MtCoolon2_cs.png","1473_MtCoolon2_A4")</f>
        <v>1473_MtCoolon2_A4</v>
      </c>
      <c r="B3618" t="str">
        <f>HYPERLINK("http://www.corstruth.com.au/Qld/PNG2/1473_MtCoolon2_cs.png","1473_MtCoolon2_0.25m Bins")</f>
        <v>1473_MtCoolon2_0.25m Bins</v>
      </c>
      <c r="C3618" t="str">
        <f>HYPERLINK("http://www.corstruth.com.au/Qld/CSV/1473_MtCoolon2.csv","1473_MtCoolon2_CSV File 1m Bins")</f>
        <v>1473_MtCoolon2_CSV File 1m Bins</v>
      </c>
      <c r="D3618">
        <v>1473</v>
      </c>
      <c r="E3618" t="s">
        <v>2193</v>
      </c>
      <c r="I3618">
        <v>-21.131900000000002</v>
      </c>
      <c r="J3618">
        <v>147.78399999999999</v>
      </c>
    </row>
    <row r="3619" spans="1:11" x14ac:dyDescent="0.25">
      <c r="A3619" t="str">
        <f>HYPERLINK("http://www.corstruth.com.au/Qld/1474_MtCoolon3_cs.png","1474_MtCoolon3_A4")</f>
        <v>1474_MtCoolon3_A4</v>
      </c>
      <c r="B3619" t="str">
        <f>HYPERLINK("http://www.corstruth.com.au/Qld/PNG2/1474_MtCoolon3_cs.png","1474_MtCoolon3_0.25m Bins")</f>
        <v>1474_MtCoolon3_0.25m Bins</v>
      </c>
      <c r="C3619" t="str">
        <f>HYPERLINK("http://www.corstruth.com.au/Qld/CSV/1474_MtCoolon3.csv","1474_MtCoolon3_CSV File 1m Bins")</f>
        <v>1474_MtCoolon3_CSV File 1m Bins</v>
      </c>
      <c r="D3619">
        <v>1474</v>
      </c>
      <c r="E3619" t="s">
        <v>2193</v>
      </c>
      <c r="I3619">
        <v>-21.5152</v>
      </c>
      <c r="J3619">
        <v>147.28399999999999</v>
      </c>
      <c r="K3619" t="str">
        <f>HYPERLINK("http://geology.information.qld.gov.au/NVCLDataServices/mosaic.html?datasetid=NONE","1474_MtCoolon3_Core Image")</f>
        <v>1474_MtCoolon3_Core Image</v>
      </c>
    </row>
    <row r="3620" spans="1:11" x14ac:dyDescent="0.25">
      <c r="A3620" t="str">
        <f>HYPERLINK("http://www.corstruth.com.au/Qld/1475_MtCoolon4_cs.png","1475_MtCoolon4_A4")</f>
        <v>1475_MtCoolon4_A4</v>
      </c>
      <c r="B3620" t="str">
        <f>HYPERLINK("http://www.corstruth.com.au/Qld/PNG2/1475_MtCoolon4_cs.png","1475_MtCoolon4_0.25m Bins")</f>
        <v>1475_MtCoolon4_0.25m Bins</v>
      </c>
      <c r="C3620" t="str">
        <f>HYPERLINK("http://www.corstruth.com.au/Qld/CSV/1475_MtCoolon4.csv","1475_MtCoolon4_CSV File 1m Bins")</f>
        <v>1475_MtCoolon4_CSV File 1m Bins</v>
      </c>
      <c r="D3620">
        <v>1475</v>
      </c>
      <c r="E3620" t="s">
        <v>2193</v>
      </c>
      <c r="I3620">
        <v>-21.548500000000001</v>
      </c>
      <c r="J3620">
        <v>147.251</v>
      </c>
      <c r="K3620" t="str">
        <f>HYPERLINK("http://geology.information.qld.gov.au/NVCLDataServices/mosaic.html?datasetid=7f143389-b70d-4dcd-b24d-d9187833876","1475_MtCoolon4_Core Image")</f>
        <v>1475_MtCoolon4_Core Image</v>
      </c>
    </row>
    <row r="3621" spans="1:11" x14ac:dyDescent="0.25">
      <c r="A3621" t="str">
        <f>HYPERLINK("http://www.corstruth.com.au/Qld/1476_MtCoolon5_cs.png","1476_MtCoolon5_A4")</f>
        <v>1476_MtCoolon5_A4</v>
      </c>
      <c r="B3621" t="str">
        <f>HYPERLINK("http://www.corstruth.com.au/Qld/PNG2/1476_MtCoolon5_cs.png","1476_MtCoolon5_0.25m Bins")</f>
        <v>1476_MtCoolon5_0.25m Bins</v>
      </c>
      <c r="C3621" t="str">
        <f>HYPERLINK("http://www.corstruth.com.au/Qld/CSV/1476_MtCoolon5.csv","1476_MtCoolon5_CSV File 1m Bins")</f>
        <v>1476_MtCoolon5_CSV File 1m Bins</v>
      </c>
      <c r="D3621">
        <v>1476</v>
      </c>
      <c r="E3621" t="s">
        <v>2193</v>
      </c>
      <c r="I3621">
        <v>-21.348500000000001</v>
      </c>
      <c r="J3621">
        <v>147.15100000000001</v>
      </c>
      <c r="K3621" t="str">
        <f>HYPERLINK("http://geology.information.qld.gov.au/NVCLDataServices/mosaic.html?datasetid=f2a793c1-c6cb-4441-8507-fb2ee4753fa","1476_MtCoolon5_Core Image")</f>
        <v>1476_MtCoolon5_Core Image</v>
      </c>
    </row>
    <row r="3622" spans="1:11" x14ac:dyDescent="0.25">
      <c r="A3622" t="str">
        <f>HYPERLINK("http://www.corstruth.com.au/Qld/1477_MtCoolon6_cs.png","1477_MtCoolon6_A4")</f>
        <v>1477_MtCoolon6_A4</v>
      </c>
      <c r="B3622" t="str">
        <f>HYPERLINK("http://www.corstruth.com.au/Qld/PNG2/1477_MtCoolon6_cs.png","1477_MtCoolon6_0.25m Bins")</f>
        <v>1477_MtCoolon6_0.25m Bins</v>
      </c>
      <c r="C3622" t="str">
        <f>HYPERLINK("http://www.corstruth.com.au/Qld/CSV/1477_MtCoolon6.csv","1477_MtCoolon6_CSV File 1m Bins")</f>
        <v>1477_MtCoolon6_CSV File 1m Bins</v>
      </c>
      <c r="D3622">
        <v>1477</v>
      </c>
      <c r="E3622" t="s">
        <v>2193</v>
      </c>
      <c r="I3622">
        <v>-21.148499999999999</v>
      </c>
      <c r="J3622">
        <v>147.20099999999999</v>
      </c>
      <c r="K3622" t="str">
        <f>HYPERLINK("http://geology.information.qld.gov.au/NVCLDataServices/mosaic.html?datasetid=b015c379-442f-44c7-8300-e05d0084330","1477_MtCoolon6_Core Image")</f>
        <v>1477_MtCoolon6_Core Image</v>
      </c>
    </row>
    <row r="3623" spans="1:11" x14ac:dyDescent="0.25">
      <c r="A3623" t="str">
        <f>HYPERLINK("http://www.corstruth.com.au/Qld/1486_Dalby1_cs.png","1486_Dalby1_A4")</f>
        <v>1486_Dalby1_A4</v>
      </c>
      <c r="D3623">
        <v>1486</v>
      </c>
      <c r="E3623" t="s">
        <v>2193</v>
      </c>
      <c r="I3623">
        <v>-27.339400000000001</v>
      </c>
      <c r="J3623">
        <v>150.74</v>
      </c>
      <c r="K3623" t="str">
        <f>HYPERLINK("http://geology.information.qld.gov.au/NVCLDataServices/mosaic.html?datasetid=54b7c025-cfb5-4e92-8c6f-c6306c41340","1486_Dalby1_Core Image")</f>
        <v>1486_Dalby1_Core Image</v>
      </c>
    </row>
    <row r="3624" spans="1:11" x14ac:dyDescent="0.25">
      <c r="A3624" t="str">
        <f>HYPERLINK("http://www.corstruth.com.au/Qld/1487_Chinchilla3_cs.png","1487_Chinchilla3_A4")</f>
        <v>1487_Chinchilla3_A4</v>
      </c>
      <c r="D3624">
        <v>1487</v>
      </c>
      <c r="E3624" t="s">
        <v>2193</v>
      </c>
      <c r="I3624">
        <v>-26.9377</v>
      </c>
      <c r="J3624">
        <v>150.36799999999999</v>
      </c>
      <c r="K3624" t="str">
        <f>HYPERLINK("http://geology.information.qld.gov.au/NVCLDataServices/mosaic.html?datasetid=40a619df-dd3c-4a24-bf72-5bee1a02d38","1487_Chinchilla3_Core Image")</f>
        <v>1487_Chinchilla3_Core Image</v>
      </c>
    </row>
    <row r="3625" spans="1:11" x14ac:dyDescent="0.25">
      <c r="A3625" t="str">
        <f>HYPERLINK("http://www.corstruth.com.au/Qld/1493_Clermont1_cs.png","1493_Clermont1_A4")</f>
        <v>1493_Clermont1_A4</v>
      </c>
      <c r="B3625" t="str">
        <f>HYPERLINK("http://www.corstruth.com.au/Qld/PNG2/1493_Clermont1_cs.png","1493_Clermont1_0.25m Bins")</f>
        <v>1493_Clermont1_0.25m Bins</v>
      </c>
      <c r="C3625" t="str">
        <f>HYPERLINK("http://www.corstruth.com.au/Qld/CSV/1493_Clermont1.csv","1493_Clermont1_CSV File 1m Bins")</f>
        <v>1493_Clermont1_CSV File 1m Bins</v>
      </c>
      <c r="D3625">
        <v>1493</v>
      </c>
      <c r="E3625" t="s">
        <v>2193</v>
      </c>
      <c r="I3625">
        <v>-22.387699999999999</v>
      </c>
      <c r="J3625">
        <v>147.54300000000001</v>
      </c>
      <c r="K3625" t="str">
        <f>HYPERLINK("http://geology.information.qld.gov.au/NVCLDataServices/mosaic.html?datasetid=e7ca4d37-5b9d-4510-86e0-57bd0a956a2","1493_Clermont1_Core Image")</f>
        <v>1493_Clermont1_Core Image</v>
      </c>
    </row>
    <row r="3626" spans="1:11" x14ac:dyDescent="0.25">
      <c r="A3626" t="str">
        <f>HYPERLINK("http://www.corstruth.com.au/Qld/1494_MtCoolon7_cs.png","1494_MtCoolon7_A4")</f>
        <v>1494_MtCoolon7_A4</v>
      </c>
      <c r="B3626" t="str">
        <f>HYPERLINK("http://www.corstruth.com.au/Qld/PNG2/1494_MtCoolon7_cs.png","1494_MtCoolon7_0.25m Bins")</f>
        <v>1494_MtCoolon7_0.25m Bins</v>
      </c>
      <c r="C3626" t="str">
        <f>HYPERLINK("http://www.corstruth.com.au/Qld/CSV/1494_MtCoolon7.csv","1494_MtCoolon7_CSV File 1m Bins")</f>
        <v>1494_MtCoolon7_CSV File 1m Bins</v>
      </c>
      <c r="D3626">
        <v>1494</v>
      </c>
      <c r="E3626" t="s">
        <v>2193</v>
      </c>
      <c r="I3626">
        <v>-21.835799999999999</v>
      </c>
      <c r="J3626">
        <v>147.85</v>
      </c>
      <c r="K3626" t="str">
        <f>HYPERLINK("http://geology.information.qld.gov.au/NVCLDataServices/mosaic.html?datasetid=7f774452-b9a1-4d30-84d2-be4eef3c3d9","1494_MtCoolon7_Core Image")</f>
        <v>1494_MtCoolon7_Core Image</v>
      </c>
    </row>
    <row r="3627" spans="1:11" x14ac:dyDescent="0.25">
      <c r="A3627" t="str">
        <f>HYPERLINK("http://www.corstruth.com.au/Qld/1495_MtCoolon8_cs.png","1495_MtCoolon8_A4")</f>
        <v>1495_MtCoolon8_A4</v>
      </c>
      <c r="B3627" t="str">
        <f>HYPERLINK("http://www.corstruth.com.au/Qld/PNG2/1495_MtCoolon8_cs.png","1495_MtCoolon8_0.25m Bins")</f>
        <v>1495_MtCoolon8_0.25m Bins</v>
      </c>
      <c r="C3627" t="str">
        <f>HYPERLINK("http://www.corstruth.com.au/Qld/CSV/1495_MtCoolon8.csv","1495_MtCoolon8_CSV File 1m Bins")</f>
        <v>1495_MtCoolon8_CSV File 1m Bins</v>
      </c>
      <c r="D3627">
        <v>1495</v>
      </c>
      <c r="E3627" t="s">
        <v>2193</v>
      </c>
      <c r="I3627">
        <v>-21.7971</v>
      </c>
      <c r="J3627">
        <v>147.81800000000001</v>
      </c>
      <c r="K3627" t="str">
        <f>HYPERLINK("http://geology.information.qld.gov.au/NVCLDataServices/mosaic.html?datasetid=63705b7c-a433-4805-8612-db77d15fc9e","1495_MtCoolon8_Core Image")</f>
        <v>1495_MtCoolon8_Core Image</v>
      </c>
    </row>
    <row r="3628" spans="1:11" x14ac:dyDescent="0.25">
      <c r="A3628" t="str">
        <f>HYPERLINK("http://www.corstruth.com.au/Qld/1496_MtCoolon9_cs.png","1496_MtCoolon9_A4")</f>
        <v>1496_MtCoolon9_A4</v>
      </c>
      <c r="B3628" t="str">
        <f>HYPERLINK("http://www.corstruth.com.au/Qld/PNG2/1496_MtCoolon9_cs.png","1496_MtCoolon9_0.25m Bins")</f>
        <v>1496_MtCoolon9_0.25m Bins</v>
      </c>
      <c r="C3628" t="str">
        <f>HYPERLINK("http://www.corstruth.com.au/Qld/CSV/1496_MtCoolon9.csv","1496_MtCoolon9_CSV File 1m Bins")</f>
        <v>1496_MtCoolon9_CSV File 1m Bins</v>
      </c>
      <c r="D3628">
        <v>1496</v>
      </c>
      <c r="E3628" t="s">
        <v>2193</v>
      </c>
      <c r="I3628">
        <v>-21.890799999999999</v>
      </c>
      <c r="J3628">
        <v>147.85</v>
      </c>
    </row>
    <row r="3629" spans="1:11" x14ac:dyDescent="0.25">
      <c r="A3629" t="str">
        <f>HYPERLINK("http://www.corstruth.com.au/Qld/1497_MtCoolon10_cs.png","1497_MtCoolon10_A4")</f>
        <v>1497_MtCoolon10_A4</v>
      </c>
      <c r="B3629" t="str">
        <f>HYPERLINK("http://www.corstruth.com.au/Qld/PNG2/1497_MtCoolon10_cs.png","1497_MtCoolon10_0.25m Bins")</f>
        <v>1497_MtCoolon10_0.25m Bins</v>
      </c>
      <c r="C3629" t="str">
        <f>HYPERLINK("http://www.corstruth.com.au/Qld/CSV/1497_MtCoolon10.csv","1497_MtCoolon10_CSV File 1m Bins")</f>
        <v>1497_MtCoolon10_CSV File 1m Bins</v>
      </c>
      <c r="D3629">
        <v>1497</v>
      </c>
      <c r="E3629" t="s">
        <v>2193</v>
      </c>
      <c r="I3629">
        <v>-21.490400000000001</v>
      </c>
      <c r="J3629">
        <v>147.792</v>
      </c>
      <c r="K3629" t="str">
        <f>HYPERLINK("http://geology.information.qld.gov.au/NVCLDataServices/mosaic.html?datasetid=8a1796be-7f03-4e45-ac7e-dd568c9859a","1497_MtCoolon10_Core Image")</f>
        <v>1497_MtCoolon10_Core Image</v>
      </c>
    </row>
    <row r="3630" spans="1:11" x14ac:dyDescent="0.25">
      <c r="A3630" t="str">
        <f>HYPERLINK("http://www.corstruth.com.au/Qld/1498_MtCoolon11_cs.png","1498_MtCoolon11_A4")</f>
        <v>1498_MtCoolon11_A4</v>
      </c>
      <c r="B3630" t="str">
        <f>HYPERLINK("http://www.corstruth.com.au/Qld/PNG2/1498_MtCoolon11_cs.png","1498_MtCoolon11_0.25m Bins")</f>
        <v>1498_MtCoolon11_0.25m Bins</v>
      </c>
      <c r="C3630" t="str">
        <f>HYPERLINK("http://www.corstruth.com.au/Qld/CSV/1498_MtCoolon11.csv","1498_MtCoolon11_CSV File 1m Bins")</f>
        <v>1498_MtCoolon11_CSV File 1m Bins</v>
      </c>
      <c r="D3630">
        <v>1498</v>
      </c>
      <c r="E3630" t="s">
        <v>2193</v>
      </c>
      <c r="I3630">
        <v>-21.441299999999998</v>
      </c>
      <c r="J3630">
        <v>147.76400000000001</v>
      </c>
    </row>
    <row r="3631" spans="1:11" x14ac:dyDescent="0.25">
      <c r="A3631" t="str">
        <f>HYPERLINK("http://www.corstruth.com.au/Qld/1499_MtCoolon12_cs.png","1499_MtCoolon12_A4")</f>
        <v>1499_MtCoolon12_A4</v>
      </c>
      <c r="B3631" t="str">
        <f>HYPERLINK("http://www.corstruth.com.au/Qld/PNG2/1499_MtCoolon12_cs.png","1499_MtCoolon12_0.25m Bins")</f>
        <v>1499_MtCoolon12_0.25m Bins</v>
      </c>
      <c r="C3631" t="str">
        <f>HYPERLINK("http://www.corstruth.com.au/Qld/CSV/1499_MtCoolon12.csv","1499_MtCoolon12_CSV File 1m Bins")</f>
        <v>1499_MtCoolon12_CSV File 1m Bins</v>
      </c>
      <c r="D3631">
        <v>1499</v>
      </c>
      <c r="E3631" t="s">
        <v>2193</v>
      </c>
      <c r="I3631">
        <v>-21.437999999999999</v>
      </c>
      <c r="J3631">
        <v>147.80099999999999</v>
      </c>
    </row>
    <row r="3632" spans="1:11" x14ac:dyDescent="0.25">
      <c r="A3632" t="str">
        <f>HYPERLINK("http://www.corstruth.com.au/Qld/1500_Machattie1_cs.png","1500_Machattie1_A4")</f>
        <v>1500_Machattie1_A4</v>
      </c>
      <c r="B3632" t="str">
        <f>HYPERLINK("http://www.corstruth.com.au/Qld/PNG2/1500_Machattie1_cs.png","1500_Machattie1_0.25m Bins")</f>
        <v>1500_Machattie1_0.25m Bins</v>
      </c>
      <c r="C3632" t="str">
        <f>HYPERLINK("http://www.corstruth.com.au/Qld/CSV/1500_Machattie1.csv","1500_Machattie1_CSV File 1m Bins")</f>
        <v>1500_Machattie1_CSV File 1m Bins</v>
      </c>
      <c r="D3632">
        <v>1500</v>
      </c>
      <c r="E3632" t="s">
        <v>2193</v>
      </c>
      <c r="I3632">
        <v>-24.815200000000001</v>
      </c>
      <c r="J3632">
        <v>140.31</v>
      </c>
      <c r="K3632" t="str">
        <f>HYPERLINK("http://geology.information.qld.gov.au/NVCLDataServices/mosaic.html?datasetid=66b68a27-bdb7-44b3-ae97-a4a5ff4dd6f","1500_Machattie1_Core Image")</f>
        <v>1500_Machattie1_Core Image</v>
      </c>
    </row>
    <row r="3633" spans="1:11" x14ac:dyDescent="0.25">
      <c r="A3633" t="str">
        <f>HYPERLINK("http://www.corstruth.com.au/Qld/1585_Normanton1_cs.png","1585_Normanton1_A4")</f>
        <v>1585_Normanton1_A4</v>
      </c>
      <c r="B3633" t="str">
        <f>HYPERLINK("http://www.corstruth.com.au/Qld/PNG2/1585_Normanton1_cs.png","1585_Normanton1_0.25m Bins")</f>
        <v>1585_Normanton1_0.25m Bins</v>
      </c>
      <c r="C3633" t="str">
        <f>HYPERLINK("http://www.corstruth.com.au/Qld/CSV/1585_Normanton1.csv","1585_Normanton1_CSV File 1m Bins")</f>
        <v>1585_Normanton1_CSV File 1m Bins</v>
      </c>
      <c r="D3633">
        <v>1585</v>
      </c>
      <c r="E3633" t="s">
        <v>2193</v>
      </c>
      <c r="I3633">
        <v>-17.715199999999999</v>
      </c>
      <c r="J3633">
        <v>141.03399999999999</v>
      </c>
    </row>
    <row r="3634" spans="1:11" x14ac:dyDescent="0.25">
      <c r="A3634" t="str">
        <f>HYPERLINK("http://www.corstruth.com.au/Qld/1603_Weipa1_cs.png","1603_Weipa1_A4")</f>
        <v>1603_Weipa1_A4</v>
      </c>
      <c r="B3634" t="str">
        <f>HYPERLINK("http://www.corstruth.com.au/Qld/PNG2/1603_Weipa1_cs.png","1603_Weipa1_0.25m Bins")</f>
        <v>1603_Weipa1_0.25m Bins</v>
      </c>
      <c r="C3634" t="str">
        <f>HYPERLINK("http://www.corstruth.com.au/Qld/CSV/1603_Weipa1.csv","1603_Weipa1_CSV File 1m Bins")</f>
        <v>1603_Weipa1_CSV File 1m Bins</v>
      </c>
      <c r="D3634">
        <v>1603</v>
      </c>
      <c r="E3634" t="s">
        <v>2193</v>
      </c>
      <c r="I3634">
        <v>-12.7851</v>
      </c>
      <c r="J3634">
        <v>142.405</v>
      </c>
      <c r="K3634" t="str">
        <f>HYPERLINK("http://geology.information.qld.gov.au/NVCLDataServices/mosaic.html?datasetid=247d0aa0-e196-4acc-8d8a-7e62725b94f","1603_Weipa1_Core Image")</f>
        <v>1603_Weipa1_Core Image</v>
      </c>
    </row>
    <row r="3635" spans="1:11" x14ac:dyDescent="0.25">
      <c r="A3635" t="str">
        <f>HYPERLINK("http://www.corstruth.com.au/Qld/1630_Challum4_cs.png","1630_Challum4_A4")</f>
        <v>1630_Challum4_A4</v>
      </c>
      <c r="B3635" t="str">
        <f>HYPERLINK("http://www.corstruth.com.au/Qld/PNG2/1630_Challum4_cs.png","1630_Challum4_0.25m Bins")</f>
        <v>1630_Challum4_0.25m Bins</v>
      </c>
      <c r="C3635" t="str">
        <f>HYPERLINK("http://www.corstruth.com.au/Qld/CSV/1630_Challum4.csv","1630_Challum4_CSV File 1m Bins")</f>
        <v>1630_Challum4_CSV File 1m Bins</v>
      </c>
      <c r="D3635">
        <v>1630</v>
      </c>
      <c r="E3635" t="s">
        <v>2193</v>
      </c>
      <c r="I3635">
        <v>-27.415700000000001</v>
      </c>
      <c r="J3635">
        <v>141.63999999999999</v>
      </c>
    </row>
    <row r="3636" spans="1:11" x14ac:dyDescent="0.25">
      <c r="A3636" t="str">
        <f>HYPERLINK("http://www.corstruth.com.au/Qld/1641_Namarah2_cs.png","1641_Namarah2_A4")</f>
        <v>1641_Namarah2_A4</v>
      </c>
      <c r="B3636" t="str">
        <f>HYPERLINK("http://www.corstruth.com.au/Qld/PNG2/1641_Namarah2_cs.png","1641_Namarah2_0.25m Bins")</f>
        <v>1641_Namarah2_0.25m Bins</v>
      </c>
      <c r="C3636" t="str">
        <f>HYPERLINK("http://www.corstruth.com.au/Qld/CSV/1641_Namarah2.csv","1641_Namarah2_CSV File 1m Bins")</f>
        <v>1641_Namarah2_CSV File 1m Bins</v>
      </c>
      <c r="D3636">
        <v>1641</v>
      </c>
      <c r="E3636" t="s">
        <v>2193</v>
      </c>
      <c r="I3636">
        <v>-27.361000000000001</v>
      </c>
      <c r="J3636">
        <v>149.34</v>
      </c>
      <c r="K3636" t="str">
        <f>HYPERLINK("http://geology.information.qld.gov.au/NVCLDataServices/mosaic.html?datasetid=NONE","1641_Namarah2_Core Image")</f>
        <v>1641_Namarah2_Core Image</v>
      </c>
    </row>
    <row r="3637" spans="1:11" x14ac:dyDescent="0.25">
      <c r="A3637" t="str">
        <f>HYPERLINK("http://www.corstruth.com.au/Qld/1760_BMR_Mt_Isa1_cs.png","1760_BMR Mt Isa1_A4")</f>
        <v>1760_BMR Mt Isa1_A4</v>
      </c>
      <c r="B3637" t="str">
        <f>HYPERLINK("http://www.corstruth.com.au/Qld/PNG2/1760_BMR_Mt_Isa1_cs.png","1760_BMR Mt Isa1_0.25m Bins")</f>
        <v>1760_BMR Mt Isa1_0.25m Bins</v>
      </c>
      <c r="C3637" t="str">
        <f>HYPERLINK("http://www.corstruth.com.au/Qld/CSV/1760_BMR_Mt_Isa1.csv","1760_BMR Mt Isa1_CSV File 1m Bins")</f>
        <v>1760_BMR Mt Isa1_CSV File 1m Bins</v>
      </c>
      <c r="D3637">
        <v>1760</v>
      </c>
      <c r="E3637" t="s">
        <v>2193</v>
      </c>
      <c r="I3637">
        <v>-20.0319</v>
      </c>
      <c r="J3637">
        <v>138.66800000000001</v>
      </c>
      <c r="K3637" t="str">
        <f>HYPERLINK("http://geology.information.qld.gov.au/NVCLDataServices/mosaic.html?datasetid=e26a7f2f-d6c2-476e-ae87-550cebe26ff","1760_BMR Mt Isa1_Core Image")</f>
        <v>1760_BMR Mt Isa1_Core Image</v>
      </c>
    </row>
    <row r="3638" spans="1:11" x14ac:dyDescent="0.25">
      <c r="A3638" t="str">
        <f>HYPERLINK("http://www.corstruth.com.au/Qld/18_Cherwondah1_cs.png","18_Cherwondah1_A4")</f>
        <v>18_Cherwondah1_A4</v>
      </c>
      <c r="B3638" t="str">
        <f>HYPERLINK("http://www.corstruth.com.au/Qld/PNG2/18_Cherwondah1_cs.png","18_Cherwondah1_0.25m Bins")</f>
        <v>18_Cherwondah1_0.25m Bins</v>
      </c>
      <c r="C3638" t="str">
        <f>HYPERLINK("http://www.corstruth.com.au/Qld/CSV/18_Cherwondah1.csv","18_Cherwondah1_CSV File 1m Bins")</f>
        <v>18_Cherwondah1_CSV File 1m Bins</v>
      </c>
      <c r="D3638">
        <v>18</v>
      </c>
      <c r="E3638" t="s">
        <v>2193</v>
      </c>
      <c r="I3638">
        <v>-26.263200000000001</v>
      </c>
      <c r="J3638">
        <v>149.92099999999999</v>
      </c>
    </row>
    <row r="3639" spans="1:11" x14ac:dyDescent="0.25">
      <c r="A3639" t="str">
        <f>HYPERLINK("http://www.corstruth.com.au/Qld/1984_Bradley1_cs.png","1984_Bradley1_A4")</f>
        <v>1984_Bradley1_A4</v>
      </c>
      <c r="B3639" t="str">
        <f>HYPERLINK("http://www.corstruth.com.au/Qld/PNG2/1984_Bradley1_cs.png","1984_Bradley1_0.25m Bins")</f>
        <v>1984_Bradley1_0.25m Bins</v>
      </c>
      <c r="C3639" t="str">
        <f>HYPERLINK("http://www.corstruth.com.au/Qld/CSV/1984_Bradley1.csv","1984_Bradley1_CSV File 1m Bins")</f>
        <v>1984_Bradley1_CSV File 1m Bins</v>
      </c>
      <c r="D3639">
        <v>1984</v>
      </c>
      <c r="E3639" t="s">
        <v>2193</v>
      </c>
      <c r="I3639">
        <v>-22.160900000000002</v>
      </c>
      <c r="J3639">
        <v>138.08600000000001</v>
      </c>
      <c r="K3639" t="str">
        <f>HYPERLINK("http://geology.information.qld.gov.au/NVCLDataServices/mosaic.html?datasetid=adbc38b4-4871-4431-9e63-a6244e3ed2d","1984_Bradley1_Core Image")</f>
        <v>1984_Bradley1_Core Image</v>
      </c>
    </row>
    <row r="3640" spans="1:11" x14ac:dyDescent="0.25">
      <c r="A3640" t="str">
        <f>HYPERLINK("http://www.corstruth.com.au/Qld/1989_Dobbyn1_cs.png","1989_Dobbyn1_A4")</f>
        <v>1989_Dobbyn1_A4</v>
      </c>
      <c r="B3640" t="str">
        <f>HYPERLINK("http://www.corstruth.com.au/Qld/PNG2/1989_Dobbyn1_cs.png","1989_Dobbyn1_0.25m Bins")</f>
        <v>1989_Dobbyn1_0.25m Bins</v>
      </c>
      <c r="C3640" t="str">
        <f>HYPERLINK("http://www.corstruth.com.au/Qld/CSV/1989_Dobbyn1.csv","1989_Dobbyn1_CSV File 1m Bins")</f>
        <v>1989_Dobbyn1_CSV File 1m Bins</v>
      </c>
      <c r="D3640">
        <v>1989</v>
      </c>
      <c r="E3640" t="s">
        <v>2193</v>
      </c>
      <c r="I3640">
        <v>-19.295500000000001</v>
      </c>
      <c r="J3640">
        <v>140.381</v>
      </c>
      <c r="K3640" t="str">
        <f>HYPERLINK("http://geology.information.qld.gov.au/NVCLDataServices/mosaic.html?datasetid=9ae7c564-aed9-4ed4-9d1b-256b50c783d","1989_Dobbyn1_Core Image")</f>
        <v>1989_Dobbyn1_Core Image</v>
      </c>
    </row>
    <row r="3641" spans="1:11" x14ac:dyDescent="0.25">
      <c r="A3641" t="str">
        <f>HYPERLINK("http://www.corstruth.com.au/Qld/2287_Cabawin3_cs.png","2287_Cabawin3_A4")</f>
        <v>2287_Cabawin3_A4</v>
      </c>
      <c r="D3641">
        <v>2287</v>
      </c>
      <c r="E3641" t="s">
        <v>2193</v>
      </c>
      <c r="I3641">
        <v>-27.4956</v>
      </c>
      <c r="J3641">
        <v>150.17599999999999</v>
      </c>
      <c r="K3641" t="str">
        <f>HYPERLINK("http://geology.information.qld.gov.au/NVCLDataServices/mosaic.html?datasetid=6875edec-883f-4856-b922-b12d3b55b6d","2287_Cabawin3_Core Image")</f>
        <v>2287_Cabawin3_Core Image</v>
      </c>
    </row>
    <row r="3642" spans="1:11" x14ac:dyDescent="0.25">
      <c r="A3642" t="str">
        <f>HYPERLINK("http://www.corstruth.com.au/Qld/2364_Moonie6_cs.png","2364_Moonie6_A4")</f>
        <v>2364_Moonie6_A4</v>
      </c>
      <c r="B3642" t="str">
        <f>HYPERLINK("http://www.corstruth.com.au/Qld/PNG2/2364_Moonie6_cs.png","2364_Moonie6_0.25m Bins")</f>
        <v>2364_Moonie6_0.25m Bins</v>
      </c>
      <c r="C3642" t="str">
        <f>HYPERLINK("http://www.corstruth.com.au/Qld/CSV/2364_Moonie6.csv","2364_Moonie6_CSV File 1m Bins")</f>
        <v>2364_Moonie6_CSV File 1m Bins</v>
      </c>
      <c r="D3642">
        <v>2364</v>
      </c>
      <c r="E3642" t="s">
        <v>2193</v>
      </c>
      <c r="I3642">
        <v>-27.761299999999999</v>
      </c>
      <c r="J3642">
        <v>150.25200000000001</v>
      </c>
      <c r="K3642" t="str">
        <f>HYPERLINK("http://geology.information.qld.gov.au/NVCLDataServices/mosaic.html?datasetid=e75cede2-2ab8-4703-ae4d-32e4ebfd3c4","2364_Moonie6_Core Image")</f>
        <v>2364_Moonie6_Core Image</v>
      </c>
    </row>
    <row r="3643" spans="1:11" x14ac:dyDescent="0.25">
      <c r="A3643" t="str">
        <f>HYPERLINK("http://www.corstruth.com.au/Qld/242_Cabawin1_cs.png","242_Cabawin1_A4")</f>
        <v>242_Cabawin1_A4</v>
      </c>
      <c r="B3643" t="str">
        <f>HYPERLINK("http://www.corstruth.com.au/Qld/PNG2/242_Cabawin1_cs.png","242_Cabawin1_0.25m Bins")</f>
        <v>242_Cabawin1_0.25m Bins</v>
      </c>
      <c r="C3643" t="str">
        <f>HYPERLINK("http://www.corstruth.com.au/Qld/CSV/242_Cabawin1.csv","242_Cabawin1_CSV File 1m Bins")</f>
        <v>242_Cabawin1_CSV File 1m Bins</v>
      </c>
      <c r="D3643">
        <v>242</v>
      </c>
      <c r="E3643" t="s">
        <v>2193</v>
      </c>
      <c r="I3643">
        <v>-27.494599999999998</v>
      </c>
      <c r="J3643">
        <v>150.191</v>
      </c>
      <c r="K3643" t="str">
        <f>HYPERLINK("http://geology.information.qld.gov.au/NVCLDataServices/mosaic.html?datasetid=e60663d2-d0d3-4c36-aa86-9e4c67b4d7c","242_Cabawin1_Core Image")</f>
        <v>242_Cabawin1_Core Image</v>
      </c>
    </row>
    <row r="3644" spans="1:11" x14ac:dyDescent="0.25">
      <c r="A3644" t="str">
        <f>HYPERLINK("http://www.corstruth.com.au/Qld/2550_WallumbillaSth5_cs.png","2550_WallumbillaSth5_A4")</f>
        <v>2550_WallumbillaSth5_A4</v>
      </c>
      <c r="B3644" t="str">
        <f>HYPERLINK("http://www.corstruth.com.au/Qld/PNG2/2550_WallumbillaSth5_cs.png","2550_WallumbillaSth5_0.25m Bins")</f>
        <v>2550_WallumbillaSth5_0.25m Bins</v>
      </c>
      <c r="C3644" t="str">
        <f>HYPERLINK("http://www.corstruth.com.au/Qld/CSV/2550_WallumbillaSth5.csv","2550_WallumbillaSth5_CSV File 1m Bins")</f>
        <v>2550_WallumbillaSth5_CSV File 1m Bins</v>
      </c>
      <c r="D3644">
        <v>2550</v>
      </c>
      <c r="E3644" t="s">
        <v>2193</v>
      </c>
      <c r="I3644">
        <v>-26.6601</v>
      </c>
      <c r="J3644">
        <v>149.19999999999999</v>
      </c>
    </row>
    <row r="3645" spans="1:11" x14ac:dyDescent="0.25">
      <c r="A3645" t="str">
        <f>HYPERLINK("http://www.corstruth.com.au/Qld/2800_Arcturus2_cs.png","2800_Arcturus2_A4")</f>
        <v>2800_Arcturus2_A4</v>
      </c>
      <c r="B3645" t="str">
        <f>HYPERLINK("http://www.corstruth.com.au/Qld/PNG2/2800_Arcturus2_cs.png","2800_Arcturus2_0.25m Bins")</f>
        <v>2800_Arcturus2_0.25m Bins</v>
      </c>
      <c r="C3645" t="str">
        <f>HYPERLINK("http://www.corstruth.com.au/Qld/CSV/2800_Arcturus2.csv","2800_Arcturus2_CSV File 1m Bins")</f>
        <v>2800_Arcturus2_CSV File 1m Bins</v>
      </c>
      <c r="D3645">
        <v>2800</v>
      </c>
      <c r="E3645" t="s">
        <v>2193</v>
      </c>
      <c r="I3645">
        <v>-24.035599999999999</v>
      </c>
      <c r="J3645">
        <v>148.47999999999999</v>
      </c>
    </row>
    <row r="3646" spans="1:11" x14ac:dyDescent="0.25">
      <c r="A3646" t="str">
        <f>HYPERLINK("http://www.corstruth.com.au/Qld/2845_Lawn_Hill_DDH83-1_cs.png","2845_Lawn Hill DDH83-1_A4")</f>
        <v>2845_Lawn Hill DDH83-1_A4</v>
      </c>
      <c r="B3646" t="str">
        <f>HYPERLINK("http://www.corstruth.com.au/Qld/PNG2/2845_Lawn_Hill_DDH83-1_cs.png","2845_Lawn Hill DDH83-1_0.25m Bins")</f>
        <v>2845_Lawn Hill DDH83-1_0.25m Bins</v>
      </c>
      <c r="C3646" t="str">
        <f>HYPERLINK("http://www.corstruth.com.au/Qld/CSV/2845_Lawn_Hill_DDH83-1.csv","2845_Lawn Hill DDH83-1_CSV File 1m Bins")</f>
        <v>2845_Lawn Hill DDH83-1_CSV File 1m Bins</v>
      </c>
      <c r="D3646">
        <v>2845</v>
      </c>
      <c r="E3646" t="s">
        <v>2193</v>
      </c>
      <c r="I3646">
        <v>-18.860199999999999</v>
      </c>
      <c r="J3646">
        <v>138.697</v>
      </c>
      <c r="K3646" t="str">
        <f>HYPERLINK("http://geology.information.qld.gov.au/NVCLDataServices/mosaic.html?datasetid=cee1be6b-58c7-4823-9372-e5b5d49c9fb","2845_Lawn Hill DDH83-1_Core Image")</f>
        <v>2845_Lawn Hill DDH83-1_Core Image</v>
      </c>
    </row>
    <row r="3647" spans="1:11" x14ac:dyDescent="0.25">
      <c r="A3647" t="str">
        <f>HYPERLINK("http://www.corstruth.com.au/Qld/2846_LawnHillDDH83-2_cs.png","2846_LawnHillDDH83-2_A4")</f>
        <v>2846_LawnHillDDH83-2_A4</v>
      </c>
      <c r="B3647" t="str">
        <f>HYPERLINK("http://www.corstruth.com.au/Qld/PNG2/2846_LawnHillDDH83-2_cs.png","2846_LawnHillDDH83-2_0.25m Bins")</f>
        <v>2846_LawnHillDDH83-2_0.25m Bins</v>
      </c>
      <c r="C3647" t="str">
        <f>HYPERLINK("http://www.corstruth.com.au/Qld/CSV/2846_LawnHillDDH83-2.csv","2846_LawnHillDDH83-2_CSV File 1m Bins")</f>
        <v>2846_LawnHillDDH83-2_CSV File 1m Bins</v>
      </c>
      <c r="D3647">
        <v>2846</v>
      </c>
      <c r="E3647" t="s">
        <v>2193</v>
      </c>
      <c r="I3647">
        <v>-18.722799999999999</v>
      </c>
      <c r="J3647">
        <v>138.53700000000001</v>
      </c>
      <c r="K3647" t="str">
        <f>HYPERLINK("http://geology.information.qld.gov.au/NVCLDataServices/mosaic.html?datasetid=a0f7bb60-e350-4cbc-92c4-4bc5bf809a9","2846_LawnHillDDH83-2_Core Image")</f>
        <v>2846_LawnHillDDH83-2_Core Image</v>
      </c>
    </row>
    <row r="3648" spans="1:11" x14ac:dyDescent="0.25">
      <c r="A3648" t="str">
        <f>HYPERLINK("http://www.corstruth.com.au/Qld/2847_Lawn_Hill_DDH83-3_cs.png","2847_Lawn Hill DDH83-3_A4")</f>
        <v>2847_Lawn Hill DDH83-3_A4</v>
      </c>
      <c r="B3648" t="str">
        <f>HYPERLINK("http://www.corstruth.com.au/Qld/PNG2/2847_Lawn_Hill_DDH83-3_cs.png","2847_Lawn Hill DDH83-3_0.25m Bins")</f>
        <v>2847_Lawn Hill DDH83-3_0.25m Bins</v>
      </c>
      <c r="C3648" t="str">
        <f>HYPERLINK("http://www.corstruth.com.au/Qld/CSV/2847_Lawn_Hill_DDH83-3.csv","2847_Lawn Hill DDH83-3_CSV File 1m Bins")</f>
        <v>2847_Lawn Hill DDH83-3_CSV File 1m Bins</v>
      </c>
      <c r="D3648">
        <v>2847</v>
      </c>
      <c r="E3648" t="s">
        <v>2193</v>
      </c>
      <c r="I3648">
        <v>-18.333300000000001</v>
      </c>
      <c r="J3648">
        <v>138.298</v>
      </c>
      <c r="K3648" t="str">
        <f>HYPERLINK("http://geology.information.qld.gov.au/NVCLDataServices/mosaic.html?datasetid=d932601b-90b4-4a6e-9805-be97d00d128","2847_Lawn Hill DDH83-3_Core Image")</f>
        <v>2847_Lawn Hill DDH83-3_Core Image</v>
      </c>
    </row>
    <row r="3649" spans="1:11" x14ac:dyDescent="0.25">
      <c r="A3649" t="str">
        <f>HYPERLINK("http://www.corstruth.com.au/Qld/2848_Lawn_Hill_DDH83-4_cs.png","2848_Lawn Hill DDH83-4_A4")</f>
        <v>2848_Lawn Hill DDH83-4_A4</v>
      </c>
      <c r="B3649" t="str">
        <f>HYPERLINK("http://www.corstruth.com.au/Qld/PNG2/2848_Lawn_Hill_DDH83-4_cs.png","2848_Lawn Hill DDH83-4_0.25m Bins")</f>
        <v>2848_Lawn Hill DDH83-4_0.25m Bins</v>
      </c>
      <c r="C3649" t="str">
        <f>HYPERLINK("http://www.corstruth.com.au/Qld/CSV/2848_Lawn_Hill_DDH83-4.csv","2848_Lawn Hill DDH83-4_CSV File 1m Bins")</f>
        <v>2848_Lawn Hill DDH83-4_CSV File 1m Bins</v>
      </c>
      <c r="D3649">
        <v>2848</v>
      </c>
      <c r="E3649" t="s">
        <v>2193</v>
      </c>
      <c r="I3649">
        <v>-17.8337</v>
      </c>
      <c r="J3649">
        <v>138.16200000000001</v>
      </c>
      <c r="K3649" t="str">
        <f>HYPERLINK("http://geology.information.qld.gov.au/NVCLDataServices/mosaic.html?datasetid=c27dfad1-a52c-4a0f-8c2c-5a176316731","2848_Lawn Hill DDH83-4_Core Image")</f>
        <v>2848_Lawn Hill DDH83-4_Core Image</v>
      </c>
    </row>
    <row r="3650" spans="1:11" x14ac:dyDescent="0.25">
      <c r="A3650" t="str">
        <f>HYPERLINK("http://www.corstruth.com.au/Qld/2852_Epsilon2_cs.png","2852_Epsilon2_A4")</f>
        <v>2852_Epsilon2_A4</v>
      </c>
      <c r="B3650" t="str">
        <f>HYPERLINK("http://www.corstruth.com.au/Qld/PNG2/2852_Epsilon2_cs.png","2852_Epsilon2_0.25m Bins")</f>
        <v>2852_Epsilon2_0.25m Bins</v>
      </c>
      <c r="C3650" t="str">
        <f>HYPERLINK("http://www.corstruth.com.au/Qld/CSV/2852_Epsilon2.csv","2852_Epsilon2_CSV File 1m Bins")</f>
        <v>2852_Epsilon2_CSV File 1m Bins</v>
      </c>
      <c r="D3650">
        <v>2852</v>
      </c>
      <c r="E3650" t="s">
        <v>2193</v>
      </c>
      <c r="I3650">
        <v>-28.142399999999999</v>
      </c>
      <c r="J3650">
        <v>141.13300000000001</v>
      </c>
    </row>
    <row r="3651" spans="1:11" x14ac:dyDescent="0.25">
      <c r="A3651" t="str">
        <f>HYPERLINK("http://www.corstruth.com.au/Qld/2910_Kenmore2_cs.png","2910_Kenmore2_A4")</f>
        <v>2910_Kenmore2_A4</v>
      </c>
      <c r="B3651" t="str">
        <f>HYPERLINK("http://www.corstruth.com.au/Qld/PNG2/2910_Kenmore2_cs.png","2910_Kenmore2_0.25m Bins")</f>
        <v>2910_Kenmore2_0.25m Bins</v>
      </c>
      <c r="C3651" t="str">
        <f>HYPERLINK("http://www.corstruth.com.au/Qld/CSV/2910_Kenmore2.csv","2910_Kenmore2_CSV File 1m Bins")</f>
        <v>2910_Kenmore2_CSV File 1m Bins</v>
      </c>
      <c r="D3651">
        <v>2910</v>
      </c>
      <c r="E3651" t="s">
        <v>2193</v>
      </c>
      <c r="I3651">
        <v>-26.659300000000002</v>
      </c>
      <c r="J3651">
        <v>143.43199999999999</v>
      </c>
      <c r="K3651" t="str">
        <f>HYPERLINK("http://geology.information.qld.gov.au/NVCLDataServices/mosaic.html?datasetid=3a0da571-2a5d-4928-8d6f-b4708ab8e7d","2910_Kenmore2_Core Image")</f>
        <v>2910_Kenmore2_Core Image</v>
      </c>
    </row>
    <row r="3652" spans="1:11" x14ac:dyDescent="0.25">
      <c r="A3652" t="str">
        <f>HYPERLINK("http://www.corstruth.com.au/Qld/2986_Yanda2_Core_2_cs.png","2986_Yanda2_Core 2_A4")</f>
        <v>2986_Yanda2_Core 2_A4</v>
      </c>
      <c r="B3652" t="str">
        <f>HYPERLINK("http://www.corstruth.com.au/Qld/PNG2/2986_Yanda2_Core_2_cs.png","2986_Yanda2_Core 2_0.25m Bins")</f>
        <v>2986_Yanda2_Core 2_0.25m Bins</v>
      </c>
      <c r="C3652" t="str">
        <f>HYPERLINK("http://www.corstruth.com.au/Qld/CSV/2986_Yanda2_Core_2.csv","2986_Yanda2_Core 2_CSV File 1m Bins")</f>
        <v>2986_Yanda2_Core 2_CSV File 1m Bins</v>
      </c>
      <c r="D3652">
        <v>2986</v>
      </c>
      <c r="E3652" t="s">
        <v>2193</v>
      </c>
      <c r="I3652">
        <v>-27.454899999999999</v>
      </c>
      <c r="J3652">
        <v>141.797</v>
      </c>
      <c r="K3652" t="str">
        <f>HYPERLINK("http://geology.information.qld.gov.au/NVCLDataServices/mosaic.html?datasetid=NONE","2986_Yanda2_Core 2_Core Image")</f>
        <v>2986_Yanda2_Core 2_Core Image</v>
      </c>
    </row>
    <row r="3653" spans="1:11" x14ac:dyDescent="0.25">
      <c r="A3653" t="str">
        <f>HYPERLINK("http://www.corstruth.com.au/Qld/2986_Yanda2_Core3_cs.png","2986_Yanda2_Core3_A4")</f>
        <v>2986_Yanda2_Core3_A4</v>
      </c>
      <c r="B3653" t="str">
        <f>HYPERLINK("http://www.corstruth.com.au/Qld/PNG2/2986_Yanda2_Core3_cs.png","2986_Yanda2_Core3_0.25m Bins")</f>
        <v>2986_Yanda2_Core3_0.25m Bins</v>
      </c>
      <c r="C3653" t="str">
        <f>HYPERLINK("http://www.corstruth.com.au/Qld/CSV/2986_Yanda2_Core3.csv","2986_Yanda2_Core3_CSV File 1m Bins")</f>
        <v>2986_Yanda2_Core3_CSV File 1m Bins</v>
      </c>
      <c r="D3653">
        <v>2986</v>
      </c>
      <c r="E3653" t="s">
        <v>2193</v>
      </c>
      <c r="I3653">
        <v>-27.454899999999999</v>
      </c>
      <c r="J3653">
        <v>141.797</v>
      </c>
    </row>
    <row r="3654" spans="1:11" x14ac:dyDescent="0.25">
      <c r="A3654" t="str">
        <f>HYPERLINK("http://www.corstruth.com.au/Qld/3019_Warrinilla6_cs.png","3019_Warrinilla6_A4")</f>
        <v>3019_Warrinilla6_A4</v>
      </c>
      <c r="B3654" t="str">
        <f>HYPERLINK("http://www.corstruth.com.au/Qld/PNG2/3019_Warrinilla6_cs.png","3019_Warrinilla6_0.25m Bins")</f>
        <v>3019_Warrinilla6_0.25m Bins</v>
      </c>
      <c r="C3654" t="str">
        <f>HYPERLINK("http://www.corstruth.com.au/Qld/CSV/3019_Warrinilla6.csv","3019_Warrinilla6_CSV File 1m Bins")</f>
        <v>3019_Warrinilla6_CSV File 1m Bins</v>
      </c>
      <c r="D3654">
        <v>3019</v>
      </c>
      <c r="E3654" t="s">
        <v>2193</v>
      </c>
      <c r="I3654">
        <v>-25.060600000000001</v>
      </c>
      <c r="J3654">
        <v>148.55199999999999</v>
      </c>
    </row>
    <row r="3655" spans="1:11" x14ac:dyDescent="0.25">
      <c r="A3655" t="str">
        <f>HYPERLINK("http://www.corstruth.com.au/Qld/3083_Namarah3_cs.png","3083_Namarah3_A4")</f>
        <v>3083_Namarah3_A4</v>
      </c>
      <c r="B3655" t="str">
        <f>HYPERLINK("http://www.corstruth.com.au/Qld/PNG2/3083_Namarah3_cs.png","3083_Namarah3_0.25m Bins")</f>
        <v>3083_Namarah3_0.25m Bins</v>
      </c>
      <c r="C3655" t="str">
        <f>HYPERLINK("http://www.corstruth.com.au/Qld/CSV/3083_Namarah3.csv","3083_Namarah3_CSV File 1m Bins")</f>
        <v>3083_Namarah3_CSV File 1m Bins</v>
      </c>
      <c r="D3655">
        <v>3083</v>
      </c>
      <c r="E3655" t="s">
        <v>2193</v>
      </c>
      <c r="I3655">
        <v>-27.380500000000001</v>
      </c>
      <c r="J3655">
        <v>149.33699999999999</v>
      </c>
      <c r="K3655" t="str">
        <f>HYPERLINK("http://geology.information.qld.gov.au/NVCLDataServices/mosaic.html?datasetid=NONE","3083_Namarah3_Core Image")</f>
        <v>3083_Namarah3_Core Image</v>
      </c>
    </row>
    <row r="3656" spans="1:11" x14ac:dyDescent="0.25">
      <c r="A3656" t="str">
        <f>HYPERLINK("http://www.corstruth.com.au/Qld/3091_Todd1_cs.png","3091_Todd1_A4")</f>
        <v>3091_Todd1_A4</v>
      </c>
      <c r="B3656" t="str">
        <f>HYPERLINK("http://www.corstruth.com.au/Qld/PNG2/3091_Todd1_cs.png","3091_Todd1_0.25m Bins")</f>
        <v>3091_Todd1_0.25m Bins</v>
      </c>
      <c r="C3656" t="str">
        <f>HYPERLINK("http://www.corstruth.com.au/Qld/CSV/3091_Todd1.csv","3091_Todd1_CSV File 1m Bins")</f>
        <v>3091_Todd1_CSV File 1m Bins</v>
      </c>
      <c r="D3656">
        <v>3091</v>
      </c>
      <c r="E3656" t="s">
        <v>2193</v>
      </c>
      <c r="I3656">
        <v>-22.856400000000001</v>
      </c>
      <c r="J3656">
        <v>138.46100000000001</v>
      </c>
      <c r="K3656" t="str">
        <f>HYPERLINK("http://geology.information.qld.gov.au/NVCLDataServices/mosaic.html?datasetid=bc16dd6f-0083-4a0e-9059-297358f335b","3091_Todd1_Core Image")</f>
        <v>3091_Todd1_Core Image</v>
      </c>
    </row>
    <row r="3657" spans="1:11" x14ac:dyDescent="0.25">
      <c r="A3657" t="str">
        <f>HYPERLINK("http://www.corstruth.com.au/Qld/3195_Munkah4_cs.png","3195_Munkah4_A4")</f>
        <v>3195_Munkah4_A4</v>
      </c>
      <c r="B3657" t="str">
        <f>HYPERLINK("http://www.corstruth.com.au/Qld/PNG2/3195_Munkah4_cs.png","3195_Munkah4_0.25m Bins")</f>
        <v>3195_Munkah4_0.25m Bins</v>
      </c>
      <c r="C3657" t="str">
        <f>HYPERLINK("http://www.corstruth.com.au/Qld/CSV/3195_Munkah4.csv","3195_Munkah4_CSV File 1m Bins")</f>
        <v>3195_Munkah4_CSV File 1m Bins</v>
      </c>
      <c r="D3657">
        <v>3195</v>
      </c>
      <c r="E3657" t="s">
        <v>2193</v>
      </c>
      <c r="I3657">
        <v>-27.430700000000002</v>
      </c>
      <c r="J3657">
        <v>141.90600000000001</v>
      </c>
    </row>
    <row r="3658" spans="1:11" x14ac:dyDescent="0.25">
      <c r="A3658" t="str">
        <f>HYPERLINK("http://www.corstruth.com.au/Qld/3196_Munkah5_Core1_cs.png","3196_Munkah5_Core1_A4")</f>
        <v>3196_Munkah5_Core1_A4</v>
      </c>
      <c r="B3658" t="str">
        <f>HYPERLINK("http://www.corstruth.com.au/Qld/PNG2/3196_Munkah5_Core1_cs.png","3196_Munkah5_Core1_0.25m Bins")</f>
        <v>3196_Munkah5_Core1_0.25m Bins</v>
      </c>
      <c r="C3658" t="str">
        <f>HYPERLINK("http://www.corstruth.com.au/Qld/CSV/3196_Munkah5_Core1.csv","3196_Munkah5_Core1_CSV File 1m Bins")</f>
        <v>3196_Munkah5_Core1_CSV File 1m Bins</v>
      </c>
      <c r="D3658">
        <v>3196</v>
      </c>
      <c r="E3658" t="s">
        <v>2193</v>
      </c>
      <c r="I3658">
        <v>-27.4116</v>
      </c>
      <c r="J3658">
        <v>141.916</v>
      </c>
    </row>
    <row r="3659" spans="1:11" x14ac:dyDescent="0.25">
      <c r="A3659" t="str">
        <f>HYPERLINK("http://www.corstruth.com.au/Qld/3196_Munkah5_Core2_cs.png","3196_Munkah5_Core2_A4")</f>
        <v>3196_Munkah5_Core2_A4</v>
      </c>
      <c r="B3659" t="str">
        <f>HYPERLINK("http://www.corstruth.com.au/Qld/PNG2/3196_Munkah5_Core2_cs.png","3196_Munkah5_Core2_0.25m Bins")</f>
        <v>3196_Munkah5_Core2_0.25m Bins</v>
      </c>
      <c r="C3659" t="str">
        <f>HYPERLINK("http://www.corstruth.com.au/Qld/CSV/3196_Munkah5_Core2.csv","3196_Munkah5_Core2_CSV File 1m Bins")</f>
        <v>3196_Munkah5_Core2_CSV File 1m Bins</v>
      </c>
      <c r="D3659">
        <v>3196</v>
      </c>
      <c r="E3659" t="s">
        <v>2193</v>
      </c>
      <c r="I3659">
        <v>-27.4116</v>
      </c>
      <c r="J3659">
        <v>141.916</v>
      </c>
      <c r="K3659" t="str">
        <f>HYPERLINK("http://geology.information.qld.gov.au/NVCLDataServices/mosaic.html?datasetid=NONE","3196_Munkah5_Core2_Core Image")</f>
        <v>3196_Munkah5_Core2_Core Image</v>
      </c>
    </row>
    <row r="3660" spans="1:11" x14ac:dyDescent="0.25">
      <c r="A3660" t="str">
        <f>HYPERLINK("http://www.corstruth.com.au/Qld/3201_Stokes2_cs.png","3201_Stokes2_A4")</f>
        <v>3201_Stokes2_A4</v>
      </c>
      <c r="B3660" t="str">
        <f>HYPERLINK("http://www.corstruth.com.au/Qld/PNG2/3201_Stokes2_cs.png","3201_Stokes2_0.25m Bins")</f>
        <v>3201_Stokes2_0.25m Bins</v>
      </c>
      <c r="C3660" t="str">
        <f>HYPERLINK("http://www.corstruth.com.au/Qld/CSV/3201_Stokes2.csv","3201_Stokes2_CSV File 1m Bins")</f>
        <v>3201_Stokes2_CSV File 1m Bins</v>
      </c>
      <c r="D3660">
        <v>3201</v>
      </c>
      <c r="E3660" t="s">
        <v>2193</v>
      </c>
      <c r="I3660">
        <v>-28.352</v>
      </c>
      <c r="J3660">
        <v>141.05199999999999</v>
      </c>
      <c r="K3660" t="str">
        <f>HYPERLINK("http://geology.information.qld.gov.au/NVCLDataServices/mosaic.html?datasetid=NONE","3201_Stokes2_Core Image")</f>
        <v>3201_Stokes2_Core Image</v>
      </c>
    </row>
    <row r="3661" spans="1:11" x14ac:dyDescent="0.25">
      <c r="A3661" t="str">
        <f>HYPERLINK("http://www.corstruth.com.au/Qld/374_Waggamba1_cs.png","374_Waggamba1_A4")</f>
        <v>374_Waggamba1_A4</v>
      </c>
      <c r="B3661" t="str">
        <f>HYPERLINK("http://www.corstruth.com.au/Qld/PNG2/374_Waggamba1_cs.png","374_Waggamba1_0.25m Bins")</f>
        <v>374_Waggamba1_0.25m Bins</v>
      </c>
      <c r="C3661" t="str">
        <f>HYPERLINK("http://www.corstruth.com.au/Qld/CSV/374_Waggamba1.csv","374_Waggamba1_CSV File 1m Bins")</f>
        <v>374_Waggamba1_CSV File 1m Bins</v>
      </c>
      <c r="D3661">
        <v>374</v>
      </c>
      <c r="E3661" t="s">
        <v>2193</v>
      </c>
      <c r="I3661">
        <v>-27.661799999999999</v>
      </c>
      <c r="J3661">
        <v>149.46</v>
      </c>
      <c r="K3661" t="str">
        <f>HYPERLINK("http://geology.information.qld.gov.au/NVCLDataServices/mosaic.html?datasetid=NONE","374_Waggamba1_Core Image")</f>
        <v>374_Waggamba1_Core Image</v>
      </c>
    </row>
    <row r="3662" spans="1:11" x14ac:dyDescent="0.25">
      <c r="A3662" t="str">
        <f>HYPERLINK("http://www.corstruth.com.au/Qld/382_GlenFosslyn1_cs.png","382_GlenFosslyn1_A4")</f>
        <v>382_GlenFosslyn1_A4</v>
      </c>
      <c r="B3662" t="str">
        <f>HYPERLINK("http://www.corstruth.com.au/Qld/PNG2/382_GlenFosslyn1_cs.png","382_GlenFosslyn1_0.25m Bins")</f>
        <v>382_GlenFosslyn1_0.25m Bins</v>
      </c>
      <c r="C3662" t="str">
        <f>HYPERLINK("http://www.corstruth.com.au/Qld/CSV/382_GlenFosslyn1.csv","382_GlenFosslyn1_CSV File 1m Bins")</f>
        <v>382_GlenFosslyn1_CSV File 1m Bins</v>
      </c>
      <c r="D3662">
        <v>382</v>
      </c>
      <c r="E3662" t="s">
        <v>2193</v>
      </c>
      <c r="I3662">
        <v>-27.492899999999999</v>
      </c>
      <c r="J3662">
        <v>149.28299999999999</v>
      </c>
    </row>
    <row r="3663" spans="1:11" x14ac:dyDescent="0.25">
      <c r="A3663" t="str">
        <f>HYPERLINK("http://www.corstruth.com.au/Qld/389_Parknook1_cs.png","389_Parknook1_A4")</f>
        <v>389_Parknook1_A4</v>
      </c>
      <c r="B3663" t="str">
        <f>HYPERLINK("http://www.corstruth.com.au/Qld/PNG2/389_Parknook1_cs.png","389_Parknook1_0.25m Bins")</f>
        <v>389_Parknook1_0.25m Bins</v>
      </c>
      <c r="C3663" t="str">
        <f>HYPERLINK("http://www.corstruth.com.au/Qld/CSV/389_Parknook1.csv","389_Parknook1_CSV File 1m Bins")</f>
        <v>389_Parknook1_CSV File 1m Bins</v>
      </c>
      <c r="D3663">
        <v>389</v>
      </c>
      <c r="E3663" t="s">
        <v>2193</v>
      </c>
      <c r="I3663">
        <v>-27.3246</v>
      </c>
      <c r="J3663">
        <v>149.27699999999999</v>
      </c>
    </row>
    <row r="3664" spans="1:11" x14ac:dyDescent="0.25">
      <c r="A3664" t="str">
        <f>HYPERLINK("http://www.corstruth.com.au/Qld/397_Flinton1_cs.png","397_Flinton1_A4")</f>
        <v>397_Flinton1_A4</v>
      </c>
      <c r="D3664">
        <v>397</v>
      </c>
      <c r="E3664" t="s">
        <v>2193</v>
      </c>
      <c r="I3664">
        <v>-27.9129</v>
      </c>
      <c r="J3664">
        <v>149.67099999999999</v>
      </c>
      <c r="K3664" t="str">
        <f>HYPERLINK("http://geology.information.qld.gov.au/NVCLDataServices/mosaic.html?datasetid=3a0da571-2a5d-4928-8d6f-b4708ab8e7d","397_Flinton1_Core Image")</f>
        <v>397_Flinton1_Core Image</v>
      </c>
    </row>
    <row r="3665" spans="1:11" x14ac:dyDescent="0.25">
      <c r="A3665" t="str">
        <f>HYPERLINK("http://www.corstruth.com.au/Qld/401_Charters_Towers1_cs.png","401_Charters Towers1_A4")</f>
        <v>401_Charters Towers1_A4</v>
      </c>
      <c r="B3665" t="str">
        <f>HYPERLINK("http://www.corstruth.com.au/Qld/PNG2/401_Charters_Towers1_cs.png","401_Charters Towers1_0.25m Bins")</f>
        <v>401_Charters Towers1_0.25m Bins</v>
      </c>
      <c r="C3665" t="str">
        <f>HYPERLINK("http://www.corstruth.com.au/Qld/CSV/401_Charters_Towers1.csv","401_Charters Towers1_CSV File 1m Bins")</f>
        <v>401_Charters Towers1_CSV File 1m Bins</v>
      </c>
      <c r="D3665">
        <v>401</v>
      </c>
      <c r="E3665" t="s">
        <v>2193</v>
      </c>
      <c r="I3665">
        <v>-20.214700000000001</v>
      </c>
      <c r="J3665">
        <v>145.91499999999999</v>
      </c>
      <c r="K3665" t="str">
        <f>HYPERLINK("http://geology.information.qld.gov.au/NVCLDataServices/mosaic.html?datasetid=fa09cf84-3af2-489f-bc4b-808b5d9b67e","401_Charters Towers1_Core Image")</f>
        <v>401_Charters Towers1_Core Image</v>
      </c>
    </row>
    <row r="3666" spans="1:11" x14ac:dyDescent="0.25">
      <c r="A3666" t="str">
        <f>HYPERLINK("http://www.corstruth.com.au/Qld/402_Chinchilla1_cs.png","402_Chinchilla1_A4")</f>
        <v>402_Chinchilla1_A4</v>
      </c>
      <c r="B3666" t="str">
        <f>HYPERLINK("http://www.corstruth.com.au/Qld/PNG2/402_Chinchilla1_cs.png","402_Chinchilla1_0.25m Bins")</f>
        <v>402_Chinchilla1_0.25m Bins</v>
      </c>
      <c r="C3666" t="str">
        <f>HYPERLINK("http://www.corstruth.com.au/Qld/CSV/402_Chinchilla1.csv","402_Chinchilla1_CSV File 1m Bins")</f>
        <v>402_Chinchilla1_CSV File 1m Bins</v>
      </c>
      <c r="D3666">
        <v>402</v>
      </c>
      <c r="E3666" t="s">
        <v>2193</v>
      </c>
      <c r="I3666">
        <v>-26.277699999999999</v>
      </c>
      <c r="J3666">
        <v>150.71100000000001</v>
      </c>
      <c r="K3666" t="str">
        <f>HYPERLINK("http://geology.information.qld.gov.au/NVCLDataServices/mosaic.html?datasetid=82cccbdc-d10a-41b6-950c-88627b24a3c","402_Chinchilla1_Core Image")</f>
        <v>402_Chinchilla1_Core Image</v>
      </c>
    </row>
    <row r="3667" spans="1:11" x14ac:dyDescent="0.25">
      <c r="A3667" t="str">
        <f>HYPERLINK("http://www.corstruth.com.au/Qld/403_Chinchilla2_cs.png","403_Chinchilla2_A4")</f>
        <v>403_Chinchilla2_A4</v>
      </c>
      <c r="B3667" t="str">
        <f>HYPERLINK("http://www.corstruth.com.au/Qld/PNG2/403_Chinchilla2_cs.png","403_Chinchilla2_0.25m Bins")</f>
        <v>403_Chinchilla2_0.25m Bins</v>
      </c>
      <c r="C3667" t="str">
        <f>HYPERLINK("http://www.corstruth.com.au/Qld/CSV/403_Chinchilla2.csv","403_Chinchilla2_CSV File 1m Bins")</f>
        <v>403_Chinchilla2_CSV File 1m Bins</v>
      </c>
      <c r="D3667">
        <v>403</v>
      </c>
      <c r="E3667" t="s">
        <v>2193</v>
      </c>
      <c r="I3667">
        <v>-26.398499999999999</v>
      </c>
      <c r="J3667">
        <v>150.684</v>
      </c>
      <c r="K3667" t="str">
        <f>HYPERLINK("http://geology.information.qld.gov.au/NVCLDataServices/mosaic.html?datasetid=6bdac019-6109-4268-9721-0a2bda14d1d","403_Chinchilla2_Core Image")</f>
        <v>403_Chinchilla2_Core Image</v>
      </c>
    </row>
    <row r="3668" spans="1:11" x14ac:dyDescent="0.25">
      <c r="A3668" t="str">
        <f>HYPERLINK("http://www.corstruth.com.au/Qld/40_Muggleton1_cs.png","40_Muggleton1_A4")</f>
        <v>40_Muggleton1_A4</v>
      </c>
      <c r="D3668">
        <v>40</v>
      </c>
      <c r="E3668" t="s">
        <v>2193</v>
      </c>
      <c r="I3668">
        <v>-26.404</v>
      </c>
      <c r="J3668">
        <v>149.30699999999999</v>
      </c>
      <c r="K3668" t="str">
        <f>HYPERLINK("http://geology.information.qld.gov.au/NVCLDataServices/mosaic.html?datasetid=NONE","40_Muggleton1_Core Image")</f>
        <v>40_Muggleton1_Core Image</v>
      </c>
    </row>
    <row r="3669" spans="1:11" x14ac:dyDescent="0.25">
      <c r="A3669" t="str">
        <f>HYPERLINK("http://www.corstruth.com.au/Qld/419_Ipswich25_cs.png","419_Ipswich25_A4")</f>
        <v>419_Ipswich25_A4</v>
      </c>
      <c r="B3669" t="str">
        <f>HYPERLINK("http://www.corstruth.com.au/Qld/PNG2/419_Ipswich25_cs.png","419_Ipswich25_0.25m Bins")</f>
        <v>419_Ipswich25_0.25m Bins</v>
      </c>
      <c r="C3669" t="str">
        <f>HYPERLINK("http://www.corstruth.com.au/Qld/CSV/419_Ipswich25.csv","419_Ipswich25_CSV File 1m Bins")</f>
        <v>419_Ipswich25_CSV File 1m Bins</v>
      </c>
      <c r="D3669">
        <v>419</v>
      </c>
      <c r="E3669" t="s">
        <v>2193</v>
      </c>
      <c r="I3669">
        <v>-27.694299999999998</v>
      </c>
      <c r="J3669">
        <v>152.95099999999999</v>
      </c>
      <c r="K3669" t="str">
        <f>HYPERLINK("http://geology.information.qld.gov.au/NVCLDataServices/mosaic.html?datasetid=7852d605-49d8-4295-a365-ac31d97a604","419_Ipswich25_Core Image")</f>
        <v>419_Ipswich25_Core Image</v>
      </c>
    </row>
    <row r="3670" spans="1:11" x14ac:dyDescent="0.25">
      <c r="A3670" t="str">
        <f>HYPERLINK("http://www.corstruth.com.au/Qld/420_Ipswich26_cs.png","420_Ipswich26_A4")</f>
        <v>420_Ipswich26_A4</v>
      </c>
      <c r="B3670" t="str">
        <f>HYPERLINK("http://www.corstruth.com.au/Qld/PNG2/420_Ipswich26_cs.png","420_Ipswich26_0.25m Bins")</f>
        <v>420_Ipswich26_0.25m Bins</v>
      </c>
      <c r="C3670" t="str">
        <f>HYPERLINK("http://www.corstruth.com.au/Qld/CSV/420_Ipswich26.csv","420_Ipswich26_CSV File 1m Bins")</f>
        <v>420_Ipswich26_CSV File 1m Bins</v>
      </c>
      <c r="D3670">
        <v>420</v>
      </c>
      <c r="E3670" t="s">
        <v>2193</v>
      </c>
      <c r="I3670">
        <v>-27.6968</v>
      </c>
      <c r="J3670">
        <v>152.887</v>
      </c>
      <c r="K3670" t="str">
        <f>HYPERLINK("http://geology.information.qld.gov.au/NVCLDataServices/mosaic.html?datasetid=1795412f-9fa8-4669-afc7-2fce40de610","420_Ipswich26_Core Image")</f>
        <v>420_Ipswich26_Core Image</v>
      </c>
    </row>
    <row r="3671" spans="1:11" x14ac:dyDescent="0.25">
      <c r="A3671" t="str">
        <f>HYPERLINK("http://www.corstruth.com.au/Qld/438_Mitchell_1_cs.png","438_Mitchell_1_A4")</f>
        <v>438_Mitchell_1_A4</v>
      </c>
      <c r="B3671" t="str">
        <f>HYPERLINK("http://www.corstruth.com.au/Qld/PNG2/438_Mitchell_1_cs.png","438_Mitchell_1_0.25m Bins")</f>
        <v>438_Mitchell_1_0.25m Bins</v>
      </c>
      <c r="C3671" t="str">
        <f>HYPERLINK("http://www.corstruth.com.au/Qld/CSV/438_Mitchell_1.csv","438_Mitchell_1_CSV File 1m Bins")</f>
        <v>438_Mitchell_1_CSV File 1m Bins</v>
      </c>
      <c r="D3671">
        <v>438</v>
      </c>
      <c r="E3671" t="s">
        <v>2193</v>
      </c>
      <c r="I3671">
        <v>-26.415199999999999</v>
      </c>
      <c r="J3671">
        <v>147.11799999999999</v>
      </c>
      <c r="K3671" t="str">
        <f>HYPERLINK("http://geology.information.qld.gov.au/NVCLDataServices/mosaic.html?datasetid=NONE","438_Mitchell_1_Core Image")</f>
        <v>438_Mitchell_1_Core Image</v>
      </c>
    </row>
    <row r="3672" spans="1:11" x14ac:dyDescent="0.25">
      <c r="A3672" t="str">
        <f>HYPERLINK("http://www.corstruth.com.au/Qld/442_MtWhelan1_cs.png","442_MtWhelan1_A4")</f>
        <v>442_MtWhelan1_A4</v>
      </c>
      <c r="B3672" t="str">
        <f>HYPERLINK("http://www.corstruth.com.au/Qld/PNG2/442_MtWhelan1_cs.png","442_MtWhelan1_0.25m Bins")</f>
        <v>442_MtWhelan1_0.25m Bins</v>
      </c>
      <c r="C3672" t="str">
        <f>HYPERLINK("http://www.corstruth.com.au/Qld/CSV/442_MtWhelan1.csv","442_MtWhelan1_CSV File 1m Bins")</f>
        <v>442_MtWhelan1_CSV File 1m Bins</v>
      </c>
      <c r="D3672">
        <v>442</v>
      </c>
      <c r="E3672" t="s">
        <v>2193</v>
      </c>
      <c r="I3672">
        <v>-23.308599999999998</v>
      </c>
      <c r="J3672">
        <v>138.87799999999999</v>
      </c>
      <c r="K3672" t="str">
        <f>HYPERLINK("http://geology.information.qld.gov.au/NVCLDataServices/mosaic.html?datasetid=f043d95f-a5ce-4568-99f2-122a4033043","442_MtWhelan1_Core Image")</f>
        <v>442_MtWhelan1_Core Image</v>
      </c>
    </row>
    <row r="3673" spans="1:11" x14ac:dyDescent="0.25">
      <c r="A3673" t="str">
        <f>HYPERLINK("http://www.corstruth.com.au/Qld/443_MtWhelan2_cs.png","443_MtWhelan2_A4")</f>
        <v>443_MtWhelan2_A4</v>
      </c>
      <c r="B3673" t="str">
        <f>HYPERLINK("http://www.corstruth.com.au/Qld/PNG2/443_MtWhelan2_cs.png","443_MtWhelan2_0.25m Bins")</f>
        <v>443_MtWhelan2_0.25m Bins</v>
      </c>
      <c r="C3673" t="str">
        <f>HYPERLINK("http://www.corstruth.com.au/Qld/CSV/443_MtWhelan2.csv","443_MtWhelan2_CSV File 1m Bins")</f>
        <v>443_MtWhelan2_CSV File 1m Bins</v>
      </c>
      <c r="D3673">
        <v>443</v>
      </c>
      <c r="E3673" t="s">
        <v>2193</v>
      </c>
      <c r="I3673">
        <v>-23.476900000000001</v>
      </c>
      <c r="J3673">
        <v>138.68</v>
      </c>
      <c r="K3673" t="str">
        <f>HYPERLINK("http://geology.information.qld.gov.au/NVCLDataServices/mosaic.html?datasetid=14b4d0b1-ec1b-4a39-85c5-fbb25631306","443_MtWhelan2_Core Image")</f>
        <v>443_MtWhelan2_Core Image</v>
      </c>
    </row>
    <row r="3674" spans="1:11" x14ac:dyDescent="0.25">
      <c r="A3674" t="str">
        <f>HYPERLINK("http://www.corstruth.com.au/Qld/445_Mundubbera6_cs.png","445_Mundubbera6_A4")</f>
        <v>445_Mundubbera6_A4</v>
      </c>
      <c r="B3674" t="str">
        <f>HYPERLINK("http://www.corstruth.com.au/Qld/PNG2/445_Mundubbera6_cs.png","445_Mundubbera6_0.25m Bins")</f>
        <v>445_Mundubbera6_0.25m Bins</v>
      </c>
      <c r="C3674" t="str">
        <f>HYPERLINK("http://www.corstruth.com.au/Qld/CSV/445_Mundubbera6.csv","445_Mundubbera6_CSV File 1m Bins")</f>
        <v>445_Mundubbera6_CSV File 1m Bins</v>
      </c>
      <c r="D3674">
        <v>445</v>
      </c>
      <c r="E3674" t="s">
        <v>2193</v>
      </c>
      <c r="I3674">
        <v>-25.2485</v>
      </c>
      <c r="J3674">
        <v>150.20099999999999</v>
      </c>
      <c r="K3674" t="str">
        <f>HYPERLINK("http://geology.information.qld.gov.au/NVCLDataServices/mosaic.html?datasetid=6fd0d7a4-42bc-42f3-b174-136e9730001","445_Mundubbera6_Core Image")</f>
        <v>445_Mundubbera6_Core Image</v>
      </c>
    </row>
    <row r="3675" spans="1:11" x14ac:dyDescent="0.25">
      <c r="A3675" t="str">
        <f>HYPERLINK("http://www.corstruth.com.au/Qld/447_Mundubbera_8_cs.png","447_Mundubbera 8_A4")</f>
        <v>447_Mundubbera 8_A4</v>
      </c>
      <c r="B3675" t="str">
        <f>HYPERLINK("http://www.corstruth.com.au/Qld/PNG2/447_Mundubbera_8_cs.png","447_Mundubbera 8_0.25m Bins")</f>
        <v>447_Mundubbera 8_0.25m Bins</v>
      </c>
      <c r="C3675" t="str">
        <f>HYPERLINK("http://www.corstruth.com.au/Qld/CSV/447_Mundubbera_8.csv","447_Mundubbera 8_CSV File 1m Bins")</f>
        <v>447_Mundubbera 8_CSV File 1m Bins</v>
      </c>
      <c r="D3675">
        <v>447</v>
      </c>
      <c r="E3675" t="s">
        <v>2193</v>
      </c>
      <c r="I3675">
        <v>-25.2318</v>
      </c>
      <c r="J3675">
        <v>150.23400000000001</v>
      </c>
    </row>
    <row r="3676" spans="1:11" x14ac:dyDescent="0.25">
      <c r="A3676" t="str">
        <f>HYPERLINK("http://www.corstruth.com.au/Qld/44801_SBH3_cs.png","44801_SBH3_A4")</f>
        <v>44801_SBH3_A4</v>
      </c>
      <c r="D3676">
        <v>44801</v>
      </c>
      <c r="E3676" t="s">
        <v>2193</v>
      </c>
      <c r="I3676">
        <v>-19.996400000000001</v>
      </c>
      <c r="J3676">
        <v>139.58199999999999</v>
      </c>
      <c r="K3676" t="str">
        <f>HYPERLINK("http://geology.information.qld.gov.au/NVCLDataServices/mosaic.html?datasetid=1795412f-9fa8-4669-afc7-2fce40de610","44801_SBH3_Core Image")</f>
        <v>44801_SBH3_Core Image</v>
      </c>
    </row>
    <row r="3677" spans="1:11" x14ac:dyDescent="0.25">
      <c r="A3677" t="str">
        <f>HYPERLINK("http://www.corstruth.com.au/Qld/44956_SBH4_cs.png","44956_SBH4_A4")</f>
        <v>44956_SBH4_A4</v>
      </c>
      <c r="D3677">
        <v>44956</v>
      </c>
      <c r="E3677" t="s">
        <v>2193</v>
      </c>
      <c r="I3677">
        <v>-20.0092</v>
      </c>
      <c r="J3677">
        <v>139.596</v>
      </c>
      <c r="K3677" t="str">
        <f>HYPERLINK("http://geology.information.qld.gov.au/NVCLDataServices/mosaic.html?datasetid=NONE","44956_SBH4_Core Image")</f>
        <v>44956_SBH4_Core Image</v>
      </c>
    </row>
    <row r="3678" spans="1:11" x14ac:dyDescent="0.25">
      <c r="A3678" t="str">
        <f>HYPERLINK("http://www.corstruth.com.au/Qld/44957_SBH6_cs.png","44957_SBH6_A4")</f>
        <v>44957_SBH6_A4</v>
      </c>
      <c r="D3678">
        <v>44957</v>
      </c>
      <c r="E3678" t="s">
        <v>2193</v>
      </c>
      <c r="I3678">
        <v>-20.0045</v>
      </c>
      <c r="J3678">
        <v>139.59</v>
      </c>
      <c r="K3678" t="str">
        <f>HYPERLINK("http://geology.information.qld.gov.au/NVCLDataServices/mosaic.html?datasetid=NONE","44957_SBH6_Core Image")</f>
        <v>44957_SBH6_Core Image</v>
      </c>
    </row>
    <row r="3679" spans="1:11" x14ac:dyDescent="0.25">
      <c r="A3679" t="str">
        <f>HYPERLINK("http://www.corstruth.com.au/Qld/451_Rockhampton2_cs.png","451_Rockhampton2_A4")</f>
        <v>451_Rockhampton2_A4</v>
      </c>
      <c r="B3679" t="str">
        <f>HYPERLINK("http://www.corstruth.com.au/Qld/PNG2/451_Rockhampton2_cs.png","451_Rockhampton2_0.25m Bins")</f>
        <v>451_Rockhampton2_0.25m Bins</v>
      </c>
      <c r="C3679" t="str">
        <f>HYPERLINK("http://www.corstruth.com.au/Qld/CSV/451_Rockhampton2.csv","451_Rockhampton2_CSV File 1m Bins")</f>
        <v>451_Rockhampton2_CSV File 1m Bins</v>
      </c>
      <c r="D3679">
        <v>451</v>
      </c>
      <c r="E3679" t="s">
        <v>2193</v>
      </c>
      <c r="I3679">
        <v>-23.827100000000002</v>
      </c>
      <c r="J3679">
        <v>151.16800000000001</v>
      </c>
      <c r="K3679" t="str">
        <f>HYPERLINK("http://geology.information.qld.gov.au/NVCLDataServices/mosaic.html?datasetid=ca037771-11f0-4cd3-95a1-32d3578932e","451_Rockhampton2_Core Image")</f>
        <v>451_Rockhampton2_Core Image</v>
      </c>
    </row>
    <row r="3680" spans="1:11" x14ac:dyDescent="0.25">
      <c r="A3680" t="str">
        <f>HYPERLINK("http://www.corstruth.com.au/Qld/453_Roma1_cs.png","453_Roma1_A4")</f>
        <v>453_Roma1_A4</v>
      </c>
      <c r="B3680" t="str">
        <f>HYPERLINK("http://www.corstruth.com.au/Qld/PNG2/453_Roma1_cs.png","453_Roma1_0.25m Bins")</f>
        <v>453_Roma1_0.25m Bins</v>
      </c>
      <c r="C3680" t="str">
        <f>HYPERLINK("http://www.corstruth.com.au/Qld/CSV/453_Roma1.csv","453_Roma1_CSV File 1m Bins")</f>
        <v>453_Roma1_CSV File 1m Bins</v>
      </c>
      <c r="D3680">
        <v>453</v>
      </c>
      <c r="E3680" t="s">
        <v>2193</v>
      </c>
      <c r="I3680">
        <v>-25.9985</v>
      </c>
      <c r="J3680">
        <v>149.98400000000001</v>
      </c>
    </row>
    <row r="3681" spans="1:11" x14ac:dyDescent="0.25">
      <c r="A3681" t="str">
        <f>HYPERLINK("http://www.corstruth.com.au/Qld/454_Roma5_cs.png","454_Roma5_A4")</f>
        <v>454_Roma5_A4</v>
      </c>
      <c r="D3681">
        <v>454</v>
      </c>
      <c r="E3681" t="s">
        <v>2193</v>
      </c>
      <c r="I3681">
        <v>-26.0319</v>
      </c>
      <c r="J3681">
        <v>149.40100000000001</v>
      </c>
      <c r="K3681" t="str">
        <f>HYPERLINK("http://geology.information.qld.gov.au/NVCLDataServices/mosaic.html?datasetid=fd0af7a1-cdeb-4b06-b670-433f2814d46","454_Roma5_Core Image")</f>
        <v>454_Roma5_Core Image</v>
      </c>
    </row>
    <row r="3682" spans="1:11" x14ac:dyDescent="0.25">
      <c r="A3682" t="str">
        <f>HYPERLINK("http://www.corstruth.com.au/Qld/455_Roma6_cs.png","455_Roma6_A4")</f>
        <v>455_Roma6_A4</v>
      </c>
      <c r="B3682" t="str">
        <f>HYPERLINK("http://www.corstruth.com.au/Qld/PNG2/455_Roma6_cs.png","455_Roma6_0.25m Bins")</f>
        <v>455_Roma6_0.25m Bins</v>
      </c>
      <c r="C3682" t="str">
        <f>HYPERLINK("http://www.corstruth.com.au/Qld/CSV/455_Roma6.csv","455_Roma6_CSV File 1m Bins")</f>
        <v>455_Roma6_CSV File 1m Bins</v>
      </c>
      <c r="D3682">
        <v>455</v>
      </c>
      <c r="E3682" t="s">
        <v>2193</v>
      </c>
      <c r="I3682">
        <v>-26.115200000000002</v>
      </c>
      <c r="J3682">
        <v>149.41800000000001</v>
      </c>
      <c r="K3682" t="str">
        <f>HYPERLINK("http://geology.information.qld.gov.au/NVCLDataServices/mosaic.html?datasetid=172811a7-8400-43e6-8111-0b59e6a6c81","455_Roma6_Core Image")</f>
        <v>455_Roma6_Core Image</v>
      </c>
    </row>
    <row r="3683" spans="1:11" x14ac:dyDescent="0.25">
      <c r="A3683" t="str">
        <f>HYPERLINK("http://www.corstruth.com.au/Qld/456_Roma7_cs.png","456_Roma7_A4")</f>
        <v>456_Roma7_A4</v>
      </c>
      <c r="B3683" t="str">
        <f>HYPERLINK("http://www.corstruth.com.au/Qld/PNG2/456_Roma7_cs.png","456_Roma7_0.25m Bins")</f>
        <v>456_Roma7_0.25m Bins</v>
      </c>
      <c r="C3683" t="str">
        <f>HYPERLINK("http://www.corstruth.com.au/Qld/CSV/456_Roma7.csv","456_Roma7_CSV File 1m Bins")</f>
        <v>456_Roma7_CSV File 1m Bins</v>
      </c>
      <c r="D3683">
        <v>456</v>
      </c>
      <c r="E3683" t="s">
        <v>2193</v>
      </c>
      <c r="I3683">
        <v>-26.2485</v>
      </c>
      <c r="J3683">
        <v>149.38399999999999</v>
      </c>
      <c r="K3683" t="str">
        <f>HYPERLINK("http://geology.information.qld.gov.au/NVCLDataServices/mosaic.html?datasetid=e00c3970-ad87-4059-9c43-9d204b1f583","456_Roma7_Core Image")</f>
        <v>456_Roma7_Core Image</v>
      </c>
    </row>
    <row r="3684" spans="1:11" x14ac:dyDescent="0.25">
      <c r="A3684" t="str">
        <f>HYPERLINK("http://www.corstruth.com.au/Qld/459_Springsure2_cs.png","459_Springsure2_A4")</f>
        <v>459_Springsure2_A4</v>
      </c>
      <c r="B3684" t="str">
        <f>HYPERLINK("http://www.corstruth.com.au/Qld/PNG2/459_Springsure2_cs.png","459_Springsure2_0.25m Bins")</f>
        <v>459_Springsure2_0.25m Bins</v>
      </c>
      <c r="C3684" t="str">
        <f>HYPERLINK("http://www.corstruth.com.au/Qld/CSV/459_Springsure2.csv","459_Springsure2_CSV File 1m Bins")</f>
        <v>459_Springsure2_CSV File 1m Bins</v>
      </c>
      <c r="D3684">
        <v>459</v>
      </c>
      <c r="E3684" t="s">
        <v>2193</v>
      </c>
      <c r="I3684">
        <v>-24.631900000000002</v>
      </c>
      <c r="J3684">
        <v>148.45099999999999</v>
      </c>
      <c r="K3684" t="str">
        <f>HYPERLINK("http://geology.information.qld.gov.au/NVCLDataServices/mosaic.html?datasetid=8a87ba7f-5631-4540-8801-1472dfc1a55","459_Springsure2_Core Image")</f>
        <v>459_Springsure2_Core Image</v>
      </c>
    </row>
    <row r="3685" spans="1:11" x14ac:dyDescent="0.25">
      <c r="A3685" t="str">
        <f>HYPERLINK("http://www.corstruth.com.au/Qld/460_Springsure3_cs.png","460_Springsure3_A4")</f>
        <v>460_Springsure3_A4</v>
      </c>
      <c r="B3685" t="str">
        <f>HYPERLINK("http://www.corstruth.com.au/Qld/PNG2/460_Springsure3_cs.png","460_Springsure3_0.25m Bins")</f>
        <v>460_Springsure3_0.25m Bins</v>
      </c>
      <c r="C3685" t="str">
        <f>HYPERLINK("http://www.corstruth.com.au/Qld/CSV/460_Springsure3.csv","460_Springsure3_CSV File 1m Bins")</f>
        <v>460_Springsure3_CSV File 1m Bins</v>
      </c>
      <c r="D3685">
        <v>460</v>
      </c>
      <c r="E3685" t="s">
        <v>2193</v>
      </c>
      <c r="I3685">
        <v>-24.631900000000002</v>
      </c>
      <c r="J3685">
        <v>148.434</v>
      </c>
      <c r="K3685" t="str">
        <f>HYPERLINK("http://geology.information.qld.gov.au/NVCLDataServices/mosaic.html?datasetid=24ad0a74-86e7-436f-a73c-6cc10075351","460_Springsure3_Core Image")</f>
        <v>460_Springsure3_Core Image</v>
      </c>
    </row>
    <row r="3686" spans="1:11" x14ac:dyDescent="0.25">
      <c r="A3686" t="str">
        <f>HYPERLINK("http://www.corstruth.com.au/Qld/461_Springsure4_cs.png","461_Springsure4_A4")</f>
        <v>461_Springsure4_A4</v>
      </c>
      <c r="B3686" t="str">
        <f>HYPERLINK("http://www.corstruth.com.au/Qld/PNG2/461_Springsure4_cs.png","461_Springsure4_0.25m Bins")</f>
        <v>461_Springsure4_0.25m Bins</v>
      </c>
      <c r="C3686" t="str">
        <f>HYPERLINK("http://www.corstruth.com.au/Qld/CSV/461_Springsure4.csv","461_Springsure4_CSV File 1m Bins")</f>
        <v>461_Springsure4_CSV File 1m Bins</v>
      </c>
      <c r="D3686">
        <v>461</v>
      </c>
      <c r="E3686" t="s">
        <v>2193</v>
      </c>
      <c r="I3686">
        <v>-24.631900000000002</v>
      </c>
      <c r="J3686">
        <v>148.41800000000001</v>
      </c>
    </row>
    <row r="3687" spans="1:11" x14ac:dyDescent="0.25">
      <c r="A3687" t="str">
        <f>HYPERLINK("http://www.corstruth.com.au/Qld/462_Springsure5_cs.png","462_Springsure5_A4")</f>
        <v>462_Springsure5_A4</v>
      </c>
      <c r="B3687" t="str">
        <f>HYPERLINK("http://www.corstruth.com.au/Qld/PNG2/462_Springsure5_cs.png","462_Springsure5_0.25m Bins")</f>
        <v>462_Springsure5_0.25m Bins</v>
      </c>
      <c r="C3687" t="str">
        <f>HYPERLINK("http://www.corstruth.com.au/Qld/CSV/462_Springsure5.csv","462_Springsure5_CSV File 1m Bins")</f>
        <v>462_Springsure5_CSV File 1m Bins</v>
      </c>
      <c r="D3687">
        <v>462</v>
      </c>
      <c r="E3687" t="s">
        <v>2193</v>
      </c>
      <c r="I3687">
        <v>-24.5596</v>
      </c>
      <c r="J3687">
        <v>148.38999999999999</v>
      </c>
    </row>
    <row r="3688" spans="1:11" x14ac:dyDescent="0.25">
      <c r="A3688" t="str">
        <f>HYPERLINK("http://www.corstruth.com.au/Qld/464_Springsure8_cs.png","464_Springsure8_A4")</f>
        <v>464_Springsure8_A4</v>
      </c>
      <c r="D3688">
        <v>464</v>
      </c>
      <c r="E3688" t="s">
        <v>2193</v>
      </c>
      <c r="I3688">
        <v>-24.2651</v>
      </c>
      <c r="J3688">
        <v>148.21799999999999</v>
      </c>
      <c r="K3688" t="str">
        <f>HYPERLINK("http://geology.information.qld.gov.au/NVCLDataServices/mosaic.html?datasetid=NONE","464_Springsure8_Core Image")</f>
        <v>464_Springsure8_Core Image</v>
      </c>
    </row>
    <row r="3689" spans="1:11" x14ac:dyDescent="0.25">
      <c r="A3689" t="str">
        <f>HYPERLINK("http://www.corstruth.com.au/Qld/466_Springsure10_cs.png","466_Springsure10_A4")</f>
        <v>466_Springsure10_A4</v>
      </c>
      <c r="B3689" t="str">
        <f>HYPERLINK("http://www.corstruth.com.au/Qld/PNG2/466_Springsure10_cs.png","466_Springsure10_0.25m Bins")</f>
        <v>466_Springsure10_0.25m Bins</v>
      </c>
      <c r="C3689" t="str">
        <f>HYPERLINK("http://www.corstruth.com.au/Qld/CSV/466_Springsure10.csv","466_Springsure10_CSV File 1m Bins")</f>
        <v>466_Springsure10_CSV File 1m Bins</v>
      </c>
      <c r="D3689">
        <v>466</v>
      </c>
      <c r="E3689" t="s">
        <v>2193</v>
      </c>
      <c r="I3689">
        <v>-24.415199999999999</v>
      </c>
      <c r="J3689">
        <v>148.16800000000001</v>
      </c>
    </row>
    <row r="3690" spans="1:11" x14ac:dyDescent="0.25">
      <c r="A3690" t="str">
        <f>HYPERLINK("http://www.corstruth.com.au/Qld/471_Springsure15_cs.png","471_Springsure15_A4")</f>
        <v>471_Springsure15_A4</v>
      </c>
      <c r="B3690" t="str">
        <f>HYPERLINK("http://www.corstruth.com.au/Qld/PNG2/471_Springsure15_cs.png","471_Springsure15_0.25m Bins")</f>
        <v>471_Springsure15_0.25m Bins</v>
      </c>
      <c r="C3690" t="str">
        <f>HYPERLINK("http://www.corstruth.com.au/Qld/CSV/471_Springsure15.csv","471_Springsure15_CSV File 1m Bins")</f>
        <v>471_Springsure15_CSV File 1m Bins</v>
      </c>
      <c r="D3690">
        <v>471</v>
      </c>
      <c r="E3690" t="s">
        <v>2193</v>
      </c>
      <c r="I3690">
        <v>-24.046900000000001</v>
      </c>
      <c r="J3690">
        <v>148.18899999999999</v>
      </c>
      <c r="K3690" t="str">
        <f>HYPERLINK("http://geology.information.qld.gov.au/NVCLDataServices/mosaic.html?datasetid=fd3e637a-9bd6-4dc4-bd3c-6da65c5c0ed","471_Springsure15_Core Image")</f>
        <v>471_Springsure15_Core Image</v>
      </c>
    </row>
    <row r="3691" spans="1:11" x14ac:dyDescent="0.25">
      <c r="A3691" t="str">
        <f>HYPERLINK("http://www.corstruth.com.au/Qld/473_Springsure17_cs.png","473_Springsure17_A4")</f>
        <v>473_Springsure17_A4</v>
      </c>
      <c r="B3691" t="str">
        <f>HYPERLINK("http://www.corstruth.com.au/Qld/PNG2/473_Springsure17_cs.png","473_Springsure17_0.25m Bins")</f>
        <v>473_Springsure17_0.25m Bins</v>
      </c>
      <c r="C3691" t="str">
        <f>HYPERLINK("http://www.corstruth.com.au/Qld/CSV/473_Springsure17.csv","473_Springsure17_CSV File 1m Bins")</f>
        <v>473_Springsure17_CSV File 1m Bins</v>
      </c>
      <c r="D3691">
        <v>473</v>
      </c>
      <c r="E3691" t="s">
        <v>2193</v>
      </c>
      <c r="I3691">
        <v>-24.026700000000002</v>
      </c>
      <c r="J3691">
        <v>148.25399999999999</v>
      </c>
    </row>
    <row r="3692" spans="1:11" x14ac:dyDescent="0.25">
      <c r="A3692" t="str">
        <f>HYPERLINK("http://www.corstruth.com.au/Qld/475_Springsure_19_cs.png","475_Springsure 19_A4")</f>
        <v>475_Springsure 19_A4</v>
      </c>
      <c r="D3692">
        <v>475</v>
      </c>
      <c r="E3692" t="s">
        <v>2193</v>
      </c>
      <c r="I3692">
        <v>166021</v>
      </c>
      <c r="J3692" s="2" t="s">
        <v>2195</v>
      </c>
      <c r="K3692" t="str">
        <f>HYPERLINK("http://geology.information.qld.gov.au/NVCLDataServices/mosaic.html?datasetid=e4a84158-78d8-4fd4-9ad5-21e8a6b6357","475_Springsure 19_Core Image")</f>
        <v>475_Springsure 19_Core Image</v>
      </c>
    </row>
    <row r="3693" spans="1:11" x14ac:dyDescent="0.25">
      <c r="A3693" t="str">
        <f>HYPERLINK("http://www.corstruth.com.au/Qld/476_Tambo1_cs.png","476_Tambo1_A4")</f>
        <v>476_Tambo1_A4</v>
      </c>
      <c r="B3693" t="str">
        <f>HYPERLINK("http://www.corstruth.com.au/Qld/PNG2/476_Tambo1_cs.png","476_Tambo1_0.25m Bins")</f>
        <v>476_Tambo1_0.25m Bins</v>
      </c>
      <c r="C3693" t="str">
        <f>HYPERLINK("http://www.corstruth.com.au/Qld/CSV/476_Tambo1.csv","476_Tambo1_CSV File 1m Bins")</f>
        <v>476_Tambo1_CSV File 1m Bins</v>
      </c>
      <c r="D3693">
        <v>476</v>
      </c>
      <c r="E3693" t="s">
        <v>2193</v>
      </c>
      <c r="I3693">
        <v>-24.5318</v>
      </c>
      <c r="J3693">
        <v>146.601</v>
      </c>
      <c r="K3693" t="str">
        <f>HYPERLINK("http://geology.information.qld.gov.au/NVCLDataServices/mosaic.html?datasetid=NONE","476_Tambo1_Core Image")</f>
        <v>476_Tambo1_Core Image</v>
      </c>
    </row>
    <row r="3694" spans="1:11" x14ac:dyDescent="0.25">
      <c r="A3694" t="str">
        <f>HYPERLINK("http://www.corstruth.com.au/Qld/476_Tambo1A_cs.png","476_Tambo1A_A4")</f>
        <v>476_Tambo1A_A4</v>
      </c>
      <c r="B3694" t="str">
        <f>HYPERLINK("http://www.corstruth.com.au/Qld/PNG2/476_Tambo1A_cs.png","476_Tambo1A_0.25m Bins")</f>
        <v>476_Tambo1A_0.25m Bins</v>
      </c>
      <c r="C3694" t="str">
        <f>HYPERLINK("http://www.corstruth.com.au/Qld/CSV/476_Tambo1A.csv","476_Tambo1A_CSV File 1m Bins")</f>
        <v>476_Tambo1A_CSV File 1m Bins</v>
      </c>
      <c r="D3694">
        <v>476</v>
      </c>
      <c r="E3694" t="s">
        <v>2193</v>
      </c>
      <c r="I3694">
        <v>-24.5318</v>
      </c>
      <c r="J3694">
        <v>146.601</v>
      </c>
      <c r="K3694" t="str">
        <f>HYPERLINK("http://geology.information.qld.gov.au/NVCLDataServices/mosaic.html?datasetid=NONE","476_Tambo1A_Core Image")</f>
        <v>476_Tambo1A_Core Image</v>
      </c>
    </row>
    <row r="3695" spans="1:11" x14ac:dyDescent="0.25">
      <c r="A3695" t="str">
        <f>HYPERLINK("http://www.corstruth.com.au/Qld/479_Taroom1_cs.png","479_Taroom1_A4")</f>
        <v>479_Taroom1_A4</v>
      </c>
      <c r="B3695" t="str">
        <f>HYPERLINK("http://www.corstruth.com.au/Qld/PNG2/479_Taroom1_cs.png","479_Taroom1_0.25m Bins")</f>
        <v>479_Taroom1_0.25m Bins</v>
      </c>
      <c r="C3695" t="str">
        <f>HYPERLINK("http://www.corstruth.com.au/Qld/CSV/479_Taroom1.csv","479_Taroom1_CSV File 1m Bins")</f>
        <v>479_Taroom1_CSV File 1m Bins</v>
      </c>
      <c r="D3695">
        <v>479</v>
      </c>
      <c r="E3695" t="s">
        <v>2193</v>
      </c>
      <c r="I3695">
        <v>-25.7319</v>
      </c>
      <c r="J3695">
        <v>149.768</v>
      </c>
      <c r="K3695" t="str">
        <f>HYPERLINK("http://geology.information.qld.gov.au/NVCLDataServices/mosaic.html?datasetid=11a6cc35-cb97-4087-9f7e-defa272062f","479_Taroom1_Core Image")</f>
        <v>479_Taroom1_Core Image</v>
      </c>
    </row>
    <row r="3696" spans="1:11" x14ac:dyDescent="0.25">
      <c r="A3696" t="str">
        <f>HYPERLINK("http://www.corstruth.com.au/Qld/481_Taroom3_cs.png","481_Taroom3_A4")</f>
        <v>481_Taroom3_A4</v>
      </c>
      <c r="B3696" t="str">
        <f>HYPERLINK("http://www.corstruth.com.au/Qld/PNG2/481_Taroom3_cs.png","481_Taroom3_0.25m Bins")</f>
        <v>481_Taroom3_0.25m Bins</v>
      </c>
      <c r="C3696" t="str">
        <f>HYPERLINK("http://www.corstruth.com.au/Qld/CSV/481_Taroom3.csv","481_Taroom3_CSV File 1m Bins")</f>
        <v>481_Taroom3_CSV File 1m Bins</v>
      </c>
      <c r="D3696">
        <v>481</v>
      </c>
      <c r="E3696" t="s">
        <v>2193</v>
      </c>
      <c r="I3696">
        <v>-25.615200000000002</v>
      </c>
      <c r="J3696">
        <v>149.63399999999999</v>
      </c>
      <c r="K3696" t="str">
        <f>HYPERLINK("http://geology.information.qld.gov.au/NVCLDataServices/mosaic.html?datasetid=1a8537cb-c859-4d28-8a08-afe5d701f3f","481_Taroom3_Core Image")</f>
        <v>481_Taroom3_Core Image</v>
      </c>
    </row>
    <row r="3697" spans="1:11" x14ac:dyDescent="0.25">
      <c r="A3697" t="str">
        <f>HYPERLINK("http://www.corstruth.com.au/Qld/488_Taroom10_cs.png","488_Taroom10_A4")</f>
        <v>488_Taroom10_A4</v>
      </c>
      <c r="B3697" t="str">
        <f>HYPERLINK("http://www.corstruth.com.au/Qld/PNG2/488_Taroom10_cs.png","488_Taroom10_0.25m Bins")</f>
        <v>488_Taroom10_0.25m Bins</v>
      </c>
      <c r="C3697" t="str">
        <f>HYPERLINK("http://www.corstruth.com.au/Qld/CSV/488_Taroom10.csv","488_Taroom10_CSV File 1m Bins")</f>
        <v>488_Taroom10_CSV File 1m Bins</v>
      </c>
      <c r="D3697">
        <v>488</v>
      </c>
      <c r="E3697" t="s">
        <v>2193</v>
      </c>
      <c r="I3697">
        <v>-25.215199999999999</v>
      </c>
      <c r="J3697">
        <v>148.78399999999999</v>
      </c>
      <c r="K3697" t="str">
        <f>HYPERLINK("http://geology.information.qld.gov.au/NVCLDataServices/mosaic.html?datasetid=c55165b4-43c4-451d-aa33-c048e62370e","488_Taroom10_Core Image")</f>
        <v>488_Taroom10_Core Image</v>
      </c>
    </row>
    <row r="3698" spans="1:11" x14ac:dyDescent="0.25">
      <c r="A3698" t="str">
        <f>HYPERLINK("http://www.corstruth.com.au/Qld/490_Taroom12_12A_cs.png","490_Taroom12_12A_A4")</f>
        <v>490_Taroom12_12A_A4</v>
      </c>
      <c r="B3698" t="str">
        <f>HYPERLINK("http://www.corstruth.com.au/Qld/PNG2/490_Taroom12_12A_cs.png","490_Taroom12_12A_0.25m Bins")</f>
        <v>490_Taroom12_12A_0.25m Bins</v>
      </c>
      <c r="C3698" t="str">
        <f>HYPERLINK("http://www.corstruth.com.au/Qld/CSV/490_Taroom12_12A.csv","490_Taroom12_12A_CSV File 1m Bins")</f>
        <v>490_Taroom12_12A_CSV File 1m Bins</v>
      </c>
      <c r="D3698">
        <v>490</v>
      </c>
      <c r="E3698" t="s">
        <v>2193</v>
      </c>
      <c r="I3698">
        <v>-25.798400000000001</v>
      </c>
      <c r="J3698">
        <v>148.518</v>
      </c>
      <c r="K3698" t="str">
        <f>HYPERLINK("http://geology.information.qld.gov.au/NVCLDataServices/mosaic.html?datasetid=NONE","490_Taroom12_12A_Core Image")</f>
        <v>490_Taroom12_12A_Core Image</v>
      </c>
    </row>
    <row r="3699" spans="1:11" x14ac:dyDescent="0.25">
      <c r="A3699" t="str">
        <f>HYPERLINK("http://www.corstruth.com.au/Qld/50135_Judga2_cs.png","50135_Judga2_A4")</f>
        <v>50135_Judga2_A4</v>
      </c>
      <c r="B3699" t="str">
        <f>HYPERLINK("http://www.corstruth.com.au/Qld/PNG2/50135_Judga2_cs.png","50135_Judga2_0.25m Bins")</f>
        <v>50135_Judga2_0.25m Bins</v>
      </c>
      <c r="C3699" t="str">
        <f>HYPERLINK("http://www.corstruth.com.au/Qld/CSV/50135_Judga2.csv","50135_Judga2_CSV File 1m Bins")</f>
        <v>50135_Judga2_CSV File 1m Bins</v>
      </c>
      <c r="D3699">
        <v>50135</v>
      </c>
      <c r="E3699" t="s">
        <v>2193</v>
      </c>
      <c r="I3699">
        <v>-27.432200000000002</v>
      </c>
      <c r="J3699">
        <v>142.02600000000001</v>
      </c>
    </row>
    <row r="3700" spans="1:11" x14ac:dyDescent="0.25">
      <c r="A3700" t="str">
        <f>HYPERLINK("http://www.corstruth.com.au/Qld/50181_Parknook5_cs.png","50181_Parknook5_A4")</f>
        <v>50181_Parknook5_A4</v>
      </c>
      <c r="B3700" t="str">
        <f>HYPERLINK("http://www.corstruth.com.au/Qld/PNG2/50181_Parknook5_cs.png","50181_Parknook5_0.25m Bins")</f>
        <v>50181_Parknook5_0.25m Bins</v>
      </c>
      <c r="C3700" t="str">
        <f>HYPERLINK("http://www.corstruth.com.au/Qld/CSV/50181_Parknook5.csv","50181_Parknook5_CSV File 1m Bins")</f>
        <v>50181_Parknook5_CSV File 1m Bins</v>
      </c>
      <c r="D3700">
        <v>50181</v>
      </c>
      <c r="E3700" t="s">
        <v>2193</v>
      </c>
      <c r="I3700">
        <v>-27.333300000000001</v>
      </c>
      <c r="J3700">
        <v>149.321</v>
      </c>
      <c r="K3700" t="str">
        <f>HYPERLINK("http://geology.information.qld.gov.au/NVCLDataServices/mosaic.html?datasetid=3588add5-dc75-45de-8ec7-9100ca0ebfa","50181_Parknook5_Core Image")</f>
        <v>50181_Parknook5_Core Image</v>
      </c>
    </row>
    <row r="3701" spans="1:11" x14ac:dyDescent="0.25">
      <c r="A3701" t="str">
        <f>HYPERLINK("http://www.corstruth.com.au/Qld/50350_StokesNorth1_cs.png","50350_StokesNorth1_A4")</f>
        <v>50350_StokesNorth1_A4</v>
      </c>
      <c r="B3701" t="str">
        <f>HYPERLINK("http://www.corstruth.com.au/Qld/PNG2/50350_StokesNorth1_cs.png","50350_StokesNorth1_0.25m Bins")</f>
        <v>50350_StokesNorth1_0.25m Bins</v>
      </c>
      <c r="C3701" t="str">
        <f>HYPERLINK("http://www.corstruth.com.au/Qld/CSV/50350_StokesNorth1.csv","50350_StokesNorth1_CSV File 1m Bins")</f>
        <v>50350_StokesNorth1_CSV File 1m Bins</v>
      </c>
      <c r="D3701">
        <v>50350</v>
      </c>
      <c r="E3701" t="s">
        <v>2193</v>
      </c>
      <c r="I3701">
        <v>-28.3018</v>
      </c>
      <c r="J3701">
        <v>141.03899999999999</v>
      </c>
      <c r="K3701" t="str">
        <f>HYPERLINK("http://geology.information.qld.gov.au/NVCLDataServices/mosaic.html?datasetid=NONE","50350_StokesNorth1_Core Image")</f>
        <v>50350_StokesNorth1_Core Image</v>
      </c>
    </row>
    <row r="3702" spans="1:11" x14ac:dyDescent="0.25">
      <c r="A3702" t="str">
        <f>HYPERLINK("http://www.corstruth.com.au/Qld/50405_BlackRidge_2_cs.png","50405_BlackRidge_2_A4")</f>
        <v>50405_BlackRidge_2_A4</v>
      </c>
      <c r="D3702">
        <v>50405</v>
      </c>
      <c r="E3702" t="s">
        <v>2193</v>
      </c>
      <c r="I3702">
        <v>-22.635000000000002</v>
      </c>
      <c r="J3702">
        <v>147.56700000000001</v>
      </c>
      <c r="K3702" t="str">
        <f>HYPERLINK("http://geology.information.qld.gov.au/NVCLDataServices/mosaic.html?datasetid=NONE","50405_BlackRidge_2_Core Image")</f>
        <v>50405_BlackRidge_2_Core Image</v>
      </c>
    </row>
    <row r="3703" spans="1:11" x14ac:dyDescent="0.25">
      <c r="A3703" t="str">
        <f>HYPERLINK("http://www.corstruth.com.au/Qld/50406_BlackRidge_7_(OS)_cs.png","50406_BlackRidge_7 (OS)_A4")</f>
        <v>50406_BlackRidge_7 (OS)_A4</v>
      </c>
      <c r="D3703">
        <v>50406</v>
      </c>
      <c r="E3703" t="s">
        <v>2193</v>
      </c>
      <c r="I3703">
        <v>-22.613800000000001</v>
      </c>
      <c r="J3703">
        <v>147.55500000000001</v>
      </c>
      <c r="K3703" t="str">
        <f>HYPERLINK("http://geology.information.qld.gov.au/NVCLDataServices/mosaic.html?datasetid=NONE","50406_BlackRidge_7 (OS)_Core Image")</f>
        <v>50406_BlackRidge_7 (OS)_Core Image</v>
      </c>
    </row>
    <row r="3704" spans="1:11" x14ac:dyDescent="0.25">
      <c r="A3704" t="str">
        <f>HYPERLINK("http://www.corstruth.com.au/Qld/50526_ChillagoeNS6_cs.png","50526_ChillagoeNS6_A4")</f>
        <v>50526_ChillagoeNS6_A4</v>
      </c>
      <c r="D3704">
        <v>50526</v>
      </c>
      <c r="E3704" t="s">
        <v>2193</v>
      </c>
      <c r="I3704">
        <v>-17.2468</v>
      </c>
      <c r="J3704">
        <v>144.65700000000001</v>
      </c>
      <c r="K3704" t="str">
        <f>HYPERLINK("http://geology.information.qld.gov.au/NVCLDataServices/mosaic.html?datasetid=7e59b99a-2c5b-4ed0-8967-74bacb5b37d","50526_ChillagoeNS6_Core Image")</f>
        <v>50526_ChillagoeNS6_Core Image</v>
      </c>
    </row>
    <row r="3705" spans="1:11" x14ac:dyDescent="0.25">
      <c r="A3705" t="str">
        <f>HYPERLINK("http://www.corstruth.com.au/Qld/50527_ChillagoeNS7_cs.png","50527_ChillagoeNS7_A4")</f>
        <v>50527_ChillagoeNS7_A4</v>
      </c>
      <c r="D3705">
        <v>50527</v>
      </c>
      <c r="E3705" t="s">
        <v>2193</v>
      </c>
      <c r="I3705">
        <v>-17.2468</v>
      </c>
      <c r="J3705">
        <v>144.65600000000001</v>
      </c>
      <c r="K3705" t="str">
        <f>HYPERLINK("http://geology.information.qld.gov.au/NVCLDataServices/mosaic.html?datasetid=bcf12c72-7acf-47a5-82b0-50bfc45c724","50527_ChillagoeNS7_Core Image")</f>
        <v>50527_ChillagoeNS7_Core Image</v>
      </c>
    </row>
    <row r="3706" spans="1:11" x14ac:dyDescent="0.25">
      <c r="A3706" t="str">
        <f>HYPERLINK("http://www.corstruth.com.au/Qld/50528_ChillagoeNS8_cs.png","50528_ChillagoeNS8_A4")</f>
        <v>50528_ChillagoeNS8_A4</v>
      </c>
      <c r="D3706">
        <v>50528</v>
      </c>
      <c r="E3706" t="s">
        <v>2193</v>
      </c>
      <c r="I3706">
        <v>-17.247199999999999</v>
      </c>
      <c r="J3706">
        <v>144.65600000000001</v>
      </c>
      <c r="K3706" t="str">
        <f>HYPERLINK("http://geology.information.qld.gov.au/NVCLDataServices/mosaic.html?datasetid=543d84cf-c65d-40ac-81ec-2b85cd1566f","50528_ChillagoeNS8_Core Image")</f>
        <v>50528_ChillagoeNS8_Core Image</v>
      </c>
    </row>
    <row r="3707" spans="1:11" x14ac:dyDescent="0.25">
      <c r="A3707" t="str">
        <f>HYPERLINK("http://www.corstruth.com.au/Qld/50532_Chillagoe_NS13_cs.png","50532_Chillagoe_NS13_A4")</f>
        <v>50532_Chillagoe_NS13_A4</v>
      </c>
      <c r="D3707">
        <v>50532</v>
      </c>
      <c r="E3707" t="s">
        <v>2193</v>
      </c>
      <c r="I3707">
        <v>-17.2483</v>
      </c>
      <c r="J3707">
        <v>144.654</v>
      </c>
      <c r="K3707" t="str">
        <f>HYPERLINK("http://geology.information.qld.gov.au/NVCLDataServices/mosaic.html?datasetid=NONE","50532_Chillagoe_NS13_Core Image")</f>
        <v>50532_Chillagoe_NS13_Core Image</v>
      </c>
    </row>
    <row r="3708" spans="1:11" x14ac:dyDescent="0.25">
      <c r="A3708" t="str">
        <f>HYPERLINK("http://www.corstruth.com.au/Qld/50752_Cracow_NS8_cs.png","50752_Cracow_NS8_A4")</f>
        <v>50752_Cracow_NS8_A4</v>
      </c>
      <c r="D3708">
        <v>50752</v>
      </c>
      <c r="E3708" t="s">
        <v>2193</v>
      </c>
      <c r="I3708">
        <v>-25.288799999999998</v>
      </c>
      <c r="J3708">
        <v>150.28899999999999</v>
      </c>
    </row>
    <row r="3709" spans="1:11" x14ac:dyDescent="0.25">
      <c r="A3709" t="str">
        <f>HYPERLINK("http://www.corstruth.com.au/Qld/50753_Cracow_NS28_cs.png","50753_Cracow_NS28_A4")</f>
        <v>50753_Cracow_NS28_A4</v>
      </c>
      <c r="D3709">
        <v>50753</v>
      </c>
      <c r="E3709" t="s">
        <v>2193</v>
      </c>
      <c r="I3709">
        <v>-25.265699999999999</v>
      </c>
      <c r="J3709">
        <v>150.26300000000001</v>
      </c>
      <c r="K3709" t="str">
        <f>HYPERLINK("http://geology.information.qld.gov.au/NVCLDataServices/mosaic.html?datasetid=NONE","50753_Cracow_NS28_Core Image")</f>
        <v>50753_Cracow_NS28_Core Image</v>
      </c>
    </row>
    <row r="3710" spans="1:11" x14ac:dyDescent="0.25">
      <c r="A3710" t="str">
        <f>HYPERLINK("http://www.corstruth.com.au/Qld/50754_Cracow_NS46_cs.png","50754_Cracow_NS46_A4")</f>
        <v>50754_Cracow_NS46_A4</v>
      </c>
      <c r="D3710">
        <v>50754</v>
      </c>
      <c r="E3710" t="s">
        <v>2193</v>
      </c>
      <c r="I3710">
        <v>-25.2864</v>
      </c>
      <c r="J3710">
        <v>150.29400000000001</v>
      </c>
      <c r="K3710" t="str">
        <f>HYPERLINK("http://geology.information.qld.gov.au/NVCLDataServices/mosaic.html?datasetid=NONE","50754_Cracow_NS46_Core Image")</f>
        <v>50754_Cracow_NS46_Core Image</v>
      </c>
    </row>
    <row r="3711" spans="1:11" x14ac:dyDescent="0.25">
      <c r="A3711" t="str">
        <f>HYPERLINK("http://www.corstruth.com.au/Qld/50837_ElaineDorothyDD1-DD11_cs.png","50837_ElaineDorothyDD1-DD11_A4")</f>
        <v>50837_ElaineDorothyDD1-DD11_A4</v>
      </c>
      <c r="B3711" t="str">
        <f>HYPERLINK("http://www.corstruth.com.au/Qld/PNG2/50837_ElaineDorothyDD1-DD11_cs.png","50837_ElaineDorothyDD1-DD11_0.25m Bins")</f>
        <v>50837_ElaineDorothyDD1-DD11_0.25m Bins</v>
      </c>
      <c r="C3711" t="str">
        <f>HYPERLINK("http://www.corstruth.com.au/Qld/CSV/50837_ElaineDorothyDD1-DD11.csv","50837_ElaineDorothyDD1-DD11_CSV File 1m Bins")</f>
        <v>50837_ElaineDorothyDD1-DD11_CSV File 1m Bins</v>
      </c>
      <c r="D3711">
        <v>50837</v>
      </c>
      <c r="E3711" t="s">
        <v>2193</v>
      </c>
      <c r="I3711">
        <v>-20.803699999999999</v>
      </c>
      <c r="J3711">
        <v>140.029</v>
      </c>
    </row>
    <row r="3712" spans="1:11" x14ac:dyDescent="0.25">
      <c r="A3712" t="str">
        <f>HYPERLINK("http://www.corstruth.com.au/Qld/508_Dawson_River_DRD-22_cs.png","508_Dawson River DRD-22_A4")</f>
        <v>508_Dawson River DRD-22_A4</v>
      </c>
      <c r="B3712" t="str">
        <f>HYPERLINK("http://www.corstruth.com.au/Qld/PNG2/508_Dawson_River_DRD-22_cs.png","508_Dawson River DRD-22_0.25m Bins")</f>
        <v>508_Dawson River DRD-22_0.25m Bins</v>
      </c>
      <c r="C3712" t="str">
        <f>HYPERLINK("http://www.corstruth.com.au/Qld/CSV/508_Dawson_River_DRD-22.csv","508_Dawson River DRD-22_CSV File 1m Bins")</f>
        <v>508_Dawson River DRD-22_CSV File 1m Bins</v>
      </c>
      <c r="D3712">
        <v>508</v>
      </c>
      <c r="E3712" t="s">
        <v>2193</v>
      </c>
      <c r="I3712">
        <v>-26.065200000000001</v>
      </c>
      <c r="J3712">
        <v>148.851</v>
      </c>
      <c r="K3712" t="str">
        <f>HYPERLINK("http://geology.information.qld.gov.au/NVCLDataServices/mosaic.html?datasetid=1240435b-052c-45d0-8c63-99825b21c98","508_Dawson River DRD-22_Core Image")</f>
        <v>508_Dawson River DRD-22_Core Image</v>
      </c>
    </row>
    <row r="3713" spans="1:11" x14ac:dyDescent="0.25">
      <c r="A3713" t="str">
        <f>HYPERLINK("http://www.corstruth.com.au/Qld/51129_Kidston_KD8_cs.png","51129_Kidston KD8_A4")</f>
        <v>51129_Kidston KD8_A4</v>
      </c>
      <c r="B3713" t="str">
        <f>HYPERLINK("http://www.corstruth.com.au/Qld/PNG2/51129_Kidston_KD8_cs.png","51129_Kidston KD8_0.25m Bins")</f>
        <v>51129_Kidston KD8_0.25m Bins</v>
      </c>
      <c r="C3713" t="str">
        <f>HYPERLINK("http://www.corstruth.com.au/Qld/CSV/51129_Kidston_KD8.csv","51129_Kidston KD8_CSV File 1m Bins")</f>
        <v>51129_Kidston KD8_CSV File 1m Bins</v>
      </c>
      <c r="D3713">
        <v>51129</v>
      </c>
      <c r="E3713" t="s">
        <v>2193</v>
      </c>
      <c r="I3713">
        <v>-18.872699999999998</v>
      </c>
      <c r="J3713">
        <v>144.15600000000001</v>
      </c>
      <c r="K3713" t="str">
        <f>HYPERLINK("http://geology.information.qld.gov.au/NVCLDataServices/mosaic.html?datasetid=d70f445b-647d-4dca-9e16-e638a76b659","51129_Kidston KD8_Core Image")</f>
        <v>51129_Kidston KD8_Core Image</v>
      </c>
    </row>
    <row r="3714" spans="1:11" x14ac:dyDescent="0.25">
      <c r="A3714" t="str">
        <f>HYPERLINK("http://www.corstruth.com.au/Qld/51137_Kilkivan_(Lug-e-nor)_NS2_cs.png","51137_Kilkivan (Lug-e-nor) NS2_A4")</f>
        <v>51137_Kilkivan (Lug-e-nor) NS2_A4</v>
      </c>
      <c r="D3714">
        <v>51137</v>
      </c>
      <c r="E3714" t="s">
        <v>2193</v>
      </c>
      <c r="I3714">
        <v>-25.874300000000002</v>
      </c>
      <c r="J3714">
        <v>152.22800000000001</v>
      </c>
      <c r="K3714" t="str">
        <f>HYPERLINK("http://geology.information.qld.gov.au/NVCLDataServices/mosaic.html?datasetid=NONE","51137_Kilkivan (Lug-e-nor) NS2_Core Image")</f>
        <v>51137_Kilkivan (Lug-e-nor) NS2_Core Image</v>
      </c>
    </row>
    <row r="3715" spans="1:11" x14ac:dyDescent="0.25">
      <c r="A3715" t="str">
        <f>HYPERLINK("http://www.corstruth.com.au/Qld/51138_Kilkivan_(Lug-e-nor)_NS3_cs.png","51138_Kilkivan (Lug-e-nor) NS3_A4")</f>
        <v>51138_Kilkivan (Lug-e-nor) NS3_A4</v>
      </c>
      <c r="D3715">
        <v>51138</v>
      </c>
      <c r="E3715" t="s">
        <v>2193</v>
      </c>
      <c r="I3715">
        <v>-25.873799999999999</v>
      </c>
      <c r="J3715">
        <v>152.22900000000001</v>
      </c>
      <c r="K3715" t="str">
        <f>HYPERLINK("http://geology.information.qld.gov.au/NVCLDataServices/mosaic.html?datasetid=NONE","51138_Kilkivan (Lug-e-nor) NS3_Core Image")</f>
        <v>51138_Kilkivan (Lug-e-nor) NS3_Core Image</v>
      </c>
    </row>
    <row r="3716" spans="1:11" x14ac:dyDescent="0.25">
      <c r="A3716" t="str">
        <f>HYPERLINK("http://www.corstruth.com.au/Qld/51139_Kilkivan_NS4_cs.png","51139_Kilkivan NS4_A4")</f>
        <v>51139_Kilkivan NS4_A4</v>
      </c>
      <c r="D3716">
        <v>51139</v>
      </c>
      <c r="E3716" t="s">
        <v>2193</v>
      </c>
      <c r="I3716">
        <v>-25.8721</v>
      </c>
      <c r="J3716">
        <v>152.227</v>
      </c>
      <c r="K3716" t="str">
        <f>HYPERLINK("http://geology.information.qld.gov.au/NVCLDataServices/mosaic.html?datasetid=NONE","51139_Kilkivan NS4_Core Image")</f>
        <v>51139_Kilkivan NS4_Core Image</v>
      </c>
    </row>
    <row r="3717" spans="1:11" x14ac:dyDescent="0.25">
      <c r="A3717" t="str">
        <f>HYPERLINK("http://www.corstruth.com.au/Qld/51141_Kilkivan_(Knight_of_Gwyn)_NS7_cs.png","51141_Kilkivan (Knight of Gwyn) NS7_A4")</f>
        <v>51141_Kilkivan (Knight of Gwyn) NS7_A4</v>
      </c>
      <c r="D3717">
        <v>51141</v>
      </c>
      <c r="E3717" t="s">
        <v>2193</v>
      </c>
      <c r="I3717">
        <v>-25.868600000000001</v>
      </c>
      <c r="J3717">
        <v>152.22900000000001</v>
      </c>
      <c r="K3717" t="str">
        <f>HYPERLINK("http://geology.information.qld.gov.au/NVCLDataServices/mosaic.html?datasetid=NONE","51141_Kilkivan (Knight of Gwyn) NS7_Core Image")</f>
        <v>51141_Kilkivan (Knight of Gwyn) NS7_Core Image</v>
      </c>
    </row>
    <row r="3718" spans="1:11" x14ac:dyDescent="0.25">
      <c r="A3718" t="str">
        <f>HYPERLINK("http://www.corstruth.com.au/Qld/51143_Kilkivan_(Knight_of_Gwyn)_NS9_cs.png","51143_Kilkivan (Knight of Gwyn) NS9_A4")</f>
        <v>51143_Kilkivan (Knight of Gwyn) NS9_A4</v>
      </c>
      <c r="D3718">
        <v>51143</v>
      </c>
      <c r="E3718" t="s">
        <v>2193</v>
      </c>
      <c r="I3718">
        <v>-25.868400000000001</v>
      </c>
      <c r="J3718">
        <v>152.22900000000001</v>
      </c>
      <c r="K3718" t="str">
        <f>HYPERLINK("http://geology.information.qld.gov.au/NVCLDataServices/mosaic.html?datasetid=NONE","51143_Kilkivan (Knight of Gwyn) NS9_Core Image")</f>
        <v>51143_Kilkivan (Knight of Gwyn) NS9_Core Image</v>
      </c>
    </row>
    <row r="3719" spans="1:11" x14ac:dyDescent="0.25">
      <c r="A3719" t="str">
        <f>HYPERLINK("http://www.corstruth.com.au/Qld/51144_Kilkivan_(Knight_of_Gwyn)_NS10_cs.png","51144_Kilkivan (Knight of Gwyn) NS10_A4")</f>
        <v>51144_Kilkivan (Knight of Gwyn) NS10_A4</v>
      </c>
      <c r="D3719">
        <v>51144</v>
      </c>
      <c r="E3719" t="s">
        <v>2193</v>
      </c>
      <c r="I3719">
        <v>-25.868600000000001</v>
      </c>
      <c r="J3719">
        <v>152.22900000000001</v>
      </c>
      <c r="K3719" t="str">
        <f>HYPERLINK("http://geology.information.qld.gov.au/NVCLDataServices/mosaic.html?datasetid=NONE","51144_Kilkivan (Knight of Gwyn) NS10_Core Image")</f>
        <v>51144_Kilkivan (Knight of Gwyn) NS10_Core Image</v>
      </c>
    </row>
    <row r="3720" spans="1:11" x14ac:dyDescent="0.25">
      <c r="A3720" t="str">
        <f>HYPERLINK("http://www.corstruth.com.au/Qld/51168_Kilkivan_(Knight_of_GwynCalgoa)_NS34_cs.png","51168_Kilkivan (Knight of GwynCalgoa) NS34_A4")</f>
        <v>51168_Kilkivan (Knight of GwynCalgoa) NS34_A4</v>
      </c>
      <c r="D3720">
        <v>51168</v>
      </c>
      <c r="E3720" t="s">
        <v>2193</v>
      </c>
      <c r="I3720">
        <v>-25.868600000000001</v>
      </c>
      <c r="J3720">
        <v>152.22999999999999</v>
      </c>
      <c r="K3720" t="str">
        <f>HYPERLINK("http://geology.information.qld.gov.au/NVCLDataServices/mosaic.html?datasetid=NONE","51168_Kilkivan (Knight of GwynCalgoa) NS34_Core Image")</f>
        <v>51168_Kilkivan (Knight of GwynCalgoa) NS34_Core Image</v>
      </c>
    </row>
    <row r="3721" spans="1:11" x14ac:dyDescent="0.25">
      <c r="A3721" t="str">
        <f>HYPERLINK("http://www.corstruth.com.au/Qld/51172_Kilkivan_(Knight_of_Gwyn)_NS39_cs.png","51172_Kilkivan (Knight of Gwyn) NS39_A4")</f>
        <v>51172_Kilkivan (Knight of Gwyn) NS39_A4</v>
      </c>
      <c r="D3721">
        <v>51172</v>
      </c>
      <c r="E3721" t="s">
        <v>2193</v>
      </c>
      <c r="I3721">
        <v>-25.868600000000001</v>
      </c>
      <c r="J3721">
        <v>152.22900000000001</v>
      </c>
      <c r="K3721" t="str">
        <f>HYPERLINK("http://geology.information.qld.gov.au/NVCLDataServices/mosaic.html?datasetid=4fba438a-41af-4e6c-9957-328c15dc59b","51172_Kilkivan (Knight of Gwyn) NS39_Core Image")</f>
        <v>51172_Kilkivan (Knight of Gwyn) NS39_Core Image</v>
      </c>
    </row>
    <row r="3722" spans="1:11" x14ac:dyDescent="0.25">
      <c r="A3722" t="str">
        <f>HYPERLINK("http://www.corstruth.com.au/Qld/51175_Kilkivan_(Knight_of_Gwyn)_NS42_cs.png","51175_Kilkivan (Knight of Gwyn) NS42_A4")</f>
        <v>51175_Kilkivan (Knight of Gwyn) NS42_A4</v>
      </c>
      <c r="D3722">
        <v>51175</v>
      </c>
      <c r="E3722" t="s">
        <v>2193</v>
      </c>
      <c r="I3722">
        <v>-25.874700000000001</v>
      </c>
      <c r="J3722">
        <v>152.227</v>
      </c>
      <c r="K3722" t="str">
        <f>HYPERLINK("http://geology.information.qld.gov.au/NVCLDataServices/mosaic.html?datasetid=NONE","51175_Kilkivan (Knight of Gwyn) NS42_Core Image")</f>
        <v>51175_Kilkivan (Knight of Gwyn) NS42_Core Image</v>
      </c>
    </row>
    <row r="3723" spans="1:11" x14ac:dyDescent="0.25">
      <c r="A3723" t="str">
        <f>HYPERLINK("http://www.corstruth.com.au/Qld/51176_Kilkivan_(Knight_of_Gwyn)_NS45_cs.png","51176_Kilkivan (Knight of Gwyn) NS45_A4")</f>
        <v>51176_Kilkivan (Knight of Gwyn) NS45_A4</v>
      </c>
      <c r="D3723">
        <v>51176</v>
      </c>
      <c r="E3723" t="s">
        <v>2193</v>
      </c>
      <c r="I3723">
        <v>-25.874700000000001</v>
      </c>
      <c r="J3723">
        <v>152.227</v>
      </c>
      <c r="K3723" t="str">
        <f>HYPERLINK("http://geology.information.qld.gov.au/NVCLDataServices/mosaic.html?datasetid=NONE","51176_Kilkivan (Knight of Gwyn) NS45_Core Image")</f>
        <v>51176_Kilkivan (Knight of Gwyn) NS45_Core Image</v>
      </c>
    </row>
    <row r="3724" spans="1:11" x14ac:dyDescent="0.25">
      <c r="A3724" t="str">
        <f>HYPERLINK("http://www.corstruth.com.au/Qld/51177_Kilkivan_(Knight_of_Gwyn)_NS46_cs.png","51177_Kilkivan (Knight of Gwyn) NS46_A4")</f>
        <v>51177_Kilkivan (Knight of Gwyn) NS46_A4</v>
      </c>
      <c r="D3724">
        <v>51177</v>
      </c>
      <c r="E3724" t="s">
        <v>2193</v>
      </c>
      <c r="I3724">
        <v>-25.869599999999998</v>
      </c>
      <c r="J3724">
        <v>152.22900000000001</v>
      </c>
      <c r="K3724" t="str">
        <f>HYPERLINK("http://geology.information.qld.gov.au/NVCLDataServices/mosaic.html?datasetid=NONE","51177_Kilkivan (Knight of Gwyn) NS46_Core Image")</f>
        <v>51177_Kilkivan (Knight of Gwyn) NS46_Core Image</v>
      </c>
    </row>
    <row r="3725" spans="1:11" x14ac:dyDescent="0.25">
      <c r="A3725" t="str">
        <f>HYPERLINK("http://www.corstruth.com.au/Qld/51178_Kilkivan_(Knight_of_GwynCalgoa)_NS47_cs.png","51178_Kilkivan (Knight of GwynCalgoa) NS47_A4")</f>
        <v>51178_Kilkivan (Knight of GwynCalgoa) NS47_A4</v>
      </c>
      <c r="D3725">
        <v>51178</v>
      </c>
      <c r="E3725" t="s">
        <v>2193</v>
      </c>
      <c r="I3725">
        <v>-25.8691</v>
      </c>
      <c r="J3725">
        <v>152.227</v>
      </c>
      <c r="K3725" t="str">
        <f>HYPERLINK("http://geology.information.qld.gov.au/NVCLDataServices/mosaic.html?datasetid=NONE","51178_Kilkivan (Knight of GwynCalgoa) NS47_Core Image")</f>
        <v>51178_Kilkivan (Knight of GwynCalgoa) NS47_Core Image</v>
      </c>
    </row>
    <row r="3726" spans="1:11" x14ac:dyDescent="0.25">
      <c r="A3726" t="str">
        <f>HYPERLINK("http://www.corstruth.com.au/Qld/51239_Milo_DDH2_cs.png","51239_Milo DDH2_A4")</f>
        <v>51239_Milo DDH2_A4</v>
      </c>
      <c r="D3726">
        <v>51239</v>
      </c>
      <c r="E3726" t="s">
        <v>2193</v>
      </c>
      <c r="I3726">
        <v>-20.757899999999999</v>
      </c>
      <c r="J3726">
        <v>140.221</v>
      </c>
      <c r="K3726" t="str">
        <f>HYPERLINK("http://geology.information.qld.gov.au/NVCLDataServices/mosaic.html?datasetid=NONE","51239_Milo DDH2_Core Image")</f>
        <v>51239_Milo DDH2_Core Image</v>
      </c>
    </row>
    <row r="3727" spans="1:11" x14ac:dyDescent="0.25">
      <c r="A3727" t="str">
        <f>HYPERLINK("http://www.corstruth.com.au/Qld/51240_Milo_DDH3_cs.png","51240_Milo DDH3_A4")</f>
        <v>51240_Milo DDH3_A4</v>
      </c>
      <c r="D3727">
        <v>51240</v>
      </c>
      <c r="E3727" t="s">
        <v>2193</v>
      </c>
      <c r="I3727">
        <v>-20.757400000000001</v>
      </c>
      <c r="J3727">
        <v>140.221</v>
      </c>
      <c r="K3727" t="str">
        <f>HYPERLINK("http://geology.information.qld.gov.au/NVCLDataServices/mosaic.html?datasetid=fca5e989-6d9d-4c10-8221-420be010da3","51240_Milo DDH3_Core Image")</f>
        <v>51240_Milo DDH3_Core Image</v>
      </c>
    </row>
    <row r="3728" spans="1:11" x14ac:dyDescent="0.25">
      <c r="A3728" t="str">
        <f>HYPERLINK("http://www.corstruth.com.au/Qld/51249_MolyKing_DDH2_cs.png","51249_MolyKing DDH2_A4")</f>
        <v>51249_MolyKing DDH2_A4</v>
      </c>
      <c r="B3728" t="str">
        <f>HYPERLINK("http://www.corstruth.com.au/Qld/PNG2/51249_MolyKing_DDH2_cs.png","51249_MolyKing DDH2_0.25m Bins")</f>
        <v>51249_MolyKing DDH2_0.25m Bins</v>
      </c>
      <c r="C3728" t="str">
        <f>HYPERLINK("http://www.corstruth.com.au/Qld/CSV/51249_MolyKing_DDH2.csv","51249_MolyKing DDH2_CSV File 1m Bins")</f>
        <v>51249_MolyKing DDH2_CSV File 1m Bins</v>
      </c>
      <c r="D3728">
        <v>51249</v>
      </c>
      <c r="E3728" t="s">
        <v>2193</v>
      </c>
      <c r="I3728">
        <v>-28.900200000000002</v>
      </c>
      <c r="J3728">
        <v>151.94</v>
      </c>
    </row>
    <row r="3729" spans="1:11" x14ac:dyDescent="0.25">
      <c r="A3729" t="str">
        <f>HYPERLINK("http://www.corstruth.com.au/Qld/51259_MountCobalt_DDH4_cs.png","51259_MountCobalt_DDH4_A4")</f>
        <v>51259_MountCobalt_DDH4_A4</v>
      </c>
      <c r="B3729" t="str">
        <f>HYPERLINK("http://www.corstruth.com.au/Qld/PNG2/51259_MountCobalt_DDH4_cs.png","51259_MountCobalt_DDH4_0.25m Bins")</f>
        <v>51259_MountCobalt_DDH4_0.25m Bins</v>
      </c>
      <c r="C3729" t="str">
        <f>HYPERLINK("http://www.corstruth.com.au/Qld/CSV/51259_MountCobalt_DDH4.csv","51259_MountCobalt_DDH4_CSV File 1m Bins")</f>
        <v>51259_MountCobalt_DDH4_CSV File 1m Bins</v>
      </c>
      <c r="D3729">
        <v>51259</v>
      </c>
      <c r="E3729" t="s">
        <v>2193</v>
      </c>
      <c r="I3729">
        <v>-21.735099999999999</v>
      </c>
      <c r="J3729">
        <v>140.494</v>
      </c>
    </row>
    <row r="3730" spans="1:11" x14ac:dyDescent="0.25">
      <c r="A3730" t="str">
        <f>HYPERLINK("http://www.corstruth.com.au/Qld/51260_MountCobalt_DDH6_cs.png","51260_MountCobalt_DDH6_A4")</f>
        <v>51260_MountCobalt_DDH6_A4</v>
      </c>
      <c r="B3730" t="str">
        <f>HYPERLINK("http://www.corstruth.com.au/Qld/PNG2/51260_MountCobalt_DDH6_cs.png","51260_MountCobalt_DDH6_0.25m Bins")</f>
        <v>51260_MountCobalt_DDH6_0.25m Bins</v>
      </c>
      <c r="C3730" t="str">
        <f>HYPERLINK("http://www.corstruth.com.au/Qld/CSV/51260_MountCobalt_DDH6.csv","51260_MountCobalt_DDH6_CSV File 1m Bins")</f>
        <v>51260_MountCobalt_DDH6_CSV File 1m Bins</v>
      </c>
      <c r="D3730">
        <v>51260</v>
      </c>
      <c r="E3730" t="s">
        <v>2193</v>
      </c>
      <c r="I3730">
        <v>-21.734200000000001</v>
      </c>
      <c r="J3730">
        <v>140.494</v>
      </c>
    </row>
    <row r="3731" spans="1:11" x14ac:dyDescent="0.25">
      <c r="A3731" t="str">
        <f>HYPERLINK("http://www.corstruth.com.au/Qld/51261_MountCobalt_DDH7_cs.png","51261_MountCobalt_DDH7_A4")</f>
        <v>51261_MountCobalt_DDH7_A4</v>
      </c>
      <c r="B3731" t="str">
        <f>HYPERLINK("http://www.corstruth.com.au/Qld/PNG2/51261_MountCobalt_DDH7_cs.png","51261_MountCobalt_DDH7_0.25m Bins")</f>
        <v>51261_MountCobalt_DDH7_0.25m Bins</v>
      </c>
      <c r="C3731" t="str">
        <f>HYPERLINK("http://www.corstruth.com.au/Qld/CSV/51261_MountCobalt_DDH7.csv","51261_MountCobalt_DDH7_CSV File 1m Bins")</f>
        <v>51261_MountCobalt_DDH7_CSV File 1m Bins</v>
      </c>
      <c r="D3731">
        <v>51261</v>
      </c>
      <c r="E3731" t="s">
        <v>2193</v>
      </c>
      <c r="I3731">
        <v>-21.734200000000001</v>
      </c>
      <c r="J3731">
        <v>140.494</v>
      </c>
    </row>
    <row r="3732" spans="1:11" x14ac:dyDescent="0.25">
      <c r="A3732" t="str">
        <f>HYPERLINK("http://www.corstruth.com.au/Qld/512_DRD26_cs.png","512_DRD26_A4")</f>
        <v>512_DRD26_A4</v>
      </c>
      <c r="B3732" t="str">
        <f>HYPERLINK("http://www.corstruth.com.au/Qld/PNG2/512_DRD26_cs.png","512_DRD26_0.25m Bins")</f>
        <v>512_DRD26_0.25m Bins</v>
      </c>
      <c r="C3732" t="str">
        <f>HYPERLINK("http://www.corstruth.com.au/Qld/CSV/512_DRD26.csv","512_DRD26_CSV File 1m Bins")</f>
        <v>512_DRD26_CSV File 1m Bins</v>
      </c>
      <c r="D3732">
        <v>512</v>
      </c>
      <c r="E3732" t="s">
        <v>2193</v>
      </c>
      <c r="I3732">
        <v>-26.381900000000002</v>
      </c>
      <c r="J3732">
        <v>148.61799999999999</v>
      </c>
      <c r="K3732" t="str">
        <f>HYPERLINK("http://geology.information.qld.gov.au/NVCLDataServices/mosaic.html?datasetid=36632f1a-e1c4-4dc2-b6e8-643735c07c2","512_DRD26_Core Image")</f>
        <v>512_DRD26_Core Image</v>
      </c>
    </row>
    <row r="3733" spans="1:11" x14ac:dyDescent="0.25">
      <c r="A3733" t="str">
        <f>HYPERLINK("http://www.corstruth.com.au/Qld/51501_Mount_Elliott_UMED2_cs.png","51501_Mount Elliott UMED2_A4")</f>
        <v>51501_Mount Elliott UMED2_A4</v>
      </c>
      <c r="B3733" t="str">
        <f>HYPERLINK("http://www.corstruth.com.au/Qld/PNG2/51501_Mount_Elliott_UMED2_cs.png","51501_Mount Elliott UMED2_0.25m Bins")</f>
        <v>51501_Mount Elliott UMED2_0.25m Bins</v>
      </c>
      <c r="C3733" t="str">
        <f>HYPERLINK("http://www.corstruth.com.au/Qld/CSV/51501_Mount_Elliott_UMED2.csv","51501_Mount Elliott UMED2_CSV File 1m Bins")</f>
        <v>51501_Mount Elliott UMED2_CSV File 1m Bins</v>
      </c>
      <c r="D3733">
        <v>51501</v>
      </c>
      <c r="E3733" t="s">
        <v>2193</v>
      </c>
      <c r="I3733">
        <v>-21.536799999999999</v>
      </c>
      <c r="J3733">
        <v>140.499</v>
      </c>
      <c r="K3733" t="str">
        <f>HYPERLINK("http://geology.information.qld.gov.au/NVCLDataServices/mosaic.html?datasetid=NONE","51501_Mount Elliott UMED2_Core Image")</f>
        <v>51501_Mount Elliott UMED2_Core Image</v>
      </c>
    </row>
    <row r="3734" spans="1:11" x14ac:dyDescent="0.25">
      <c r="A3734" t="str">
        <f>HYPERLINK("http://www.corstruth.com.au/Qld/51502_Mount_Elliott_UMED3_cs.png","51502_Mount Elliott UMED3_A4")</f>
        <v>51502_Mount Elliott UMED3_A4</v>
      </c>
      <c r="B3734" t="str">
        <f>HYPERLINK("http://www.corstruth.com.au/Qld/PNG2/51502_Mount_Elliott_UMED3_cs.png","51502_Mount Elliott UMED3_0.25m Bins")</f>
        <v>51502_Mount Elliott UMED3_0.25m Bins</v>
      </c>
      <c r="C3734" t="str">
        <f>HYPERLINK("http://www.corstruth.com.au/Qld/CSV/51502_Mount_Elliott_UMED3.csv","51502_Mount Elliott UMED3_CSV File 1m Bins")</f>
        <v>51502_Mount Elliott UMED3_CSV File 1m Bins</v>
      </c>
      <c r="D3734">
        <v>51502</v>
      </c>
      <c r="E3734" t="s">
        <v>2193</v>
      </c>
      <c r="I3734">
        <v>-21.5413</v>
      </c>
      <c r="J3734">
        <v>140.495</v>
      </c>
    </row>
    <row r="3735" spans="1:11" x14ac:dyDescent="0.25">
      <c r="A3735" t="str">
        <f>HYPERLINK("http://www.corstruth.com.au/Qld/51503_Mount_Elliott_UMED4_cs.png","51503_Mount Elliott UMED4_A4")</f>
        <v>51503_Mount Elliott UMED4_A4</v>
      </c>
      <c r="B3735" t="str">
        <f>HYPERLINK("http://www.corstruth.com.au/Qld/PNG2/51503_Mount_Elliott_UMED4_cs.png","51503_Mount Elliott UMED4_0.25m Bins")</f>
        <v>51503_Mount Elliott UMED4_0.25m Bins</v>
      </c>
      <c r="C3735" t="str">
        <f>HYPERLINK("http://www.corstruth.com.au/Qld/CSV/51503_Mount_Elliott_UMED4.csv","51503_Mount Elliott UMED4_CSV File 1m Bins")</f>
        <v>51503_Mount Elliott UMED4_CSV File 1m Bins</v>
      </c>
      <c r="D3735">
        <v>51503</v>
      </c>
      <c r="E3735" t="s">
        <v>2193</v>
      </c>
      <c r="I3735">
        <v>-21.541899999999998</v>
      </c>
      <c r="J3735">
        <v>140.49600000000001</v>
      </c>
    </row>
    <row r="3736" spans="1:11" x14ac:dyDescent="0.25">
      <c r="A3736" t="str">
        <f>HYPERLINK("http://www.corstruth.com.au/Qld/51504_Mount_Elliott_UMED7_cs.png","51504_Mount Elliott UMED7_A4")</f>
        <v>51504_Mount Elliott UMED7_A4</v>
      </c>
      <c r="B3736" t="str">
        <f>HYPERLINK("http://www.corstruth.com.au/Qld/PNG2/51504_Mount_Elliott_UMED7_cs.png","51504_Mount Elliott UMED7_0.25m Bins")</f>
        <v>51504_Mount Elliott UMED7_0.25m Bins</v>
      </c>
      <c r="C3736" t="str">
        <f>HYPERLINK("http://www.corstruth.com.au/Qld/CSV/51504_Mount_Elliott_UMED7.csv","51504_Mount Elliott UMED7_CSV File 1m Bins")</f>
        <v>51504_Mount Elliott UMED7_CSV File 1m Bins</v>
      </c>
      <c r="D3736">
        <v>51504</v>
      </c>
      <c r="E3736" t="s">
        <v>2193</v>
      </c>
      <c r="I3736">
        <v>-21.5397</v>
      </c>
      <c r="J3736">
        <v>140.494</v>
      </c>
    </row>
    <row r="3737" spans="1:11" x14ac:dyDescent="0.25">
      <c r="A3737" t="str">
        <f>HYPERLINK("http://www.corstruth.com.au/Qld/51505_Mount_Elliott_UMED11_cs.png","51505_Mount Elliott UMED11_A4")</f>
        <v>51505_Mount Elliott UMED11_A4</v>
      </c>
      <c r="B3737" t="str">
        <f>HYPERLINK("http://www.corstruth.com.au/Qld/PNG2/51505_Mount_Elliott_UMED11_cs.png","51505_Mount Elliott UMED11_0.25m Bins")</f>
        <v>51505_Mount Elliott UMED11_0.25m Bins</v>
      </c>
      <c r="C3737" t="str">
        <f>HYPERLINK("http://www.corstruth.com.au/Qld/CSV/51505_Mount_Elliott_UMED11.csv","51505_Mount Elliott UMED11_CSV File 1m Bins")</f>
        <v>51505_Mount Elliott UMED11_CSV File 1m Bins</v>
      </c>
      <c r="D3737">
        <v>51505</v>
      </c>
      <c r="E3737" t="s">
        <v>2193</v>
      </c>
      <c r="I3737">
        <v>-21.5398</v>
      </c>
      <c r="J3737">
        <v>140.495</v>
      </c>
    </row>
    <row r="3738" spans="1:11" x14ac:dyDescent="0.25">
      <c r="A3738" t="str">
        <f>HYPERLINK("http://www.corstruth.com.au/Qld/516_Ipswich3_cs.png","516_Ipswich3_A4")</f>
        <v>516_Ipswich3_A4</v>
      </c>
      <c r="B3738" t="str">
        <f>HYPERLINK("http://www.corstruth.com.au/Qld/PNG2/516_Ipswich3_cs.png","516_Ipswich3_0.25m Bins")</f>
        <v>516_Ipswich3_0.25m Bins</v>
      </c>
      <c r="C3738" t="str">
        <f>HYPERLINK("http://www.corstruth.com.au/Qld/CSV/516_Ipswich3.csv","516_Ipswich3_CSV File 1m Bins")</f>
        <v>516_Ipswich3_CSV File 1m Bins</v>
      </c>
      <c r="D3738">
        <v>516</v>
      </c>
      <c r="E3738" t="s">
        <v>2193</v>
      </c>
      <c r="I3738">
        <v>-27.431799999999999</v>
      </c>
      <c r="J3738">
        <v>152.53399999999999</v>
      </c>
      <c r="K3738" t="str">
        <f>HYPERLINK("http://geology.information.qld.gov.au/NVCLDataServices/mosaic.html?datasetid=NONE","516_Ipswich3_Core Image")</f>
        <v>516_Ipswich3_Core Image</v>
      </c>
    </row>
    <row r="3739" spans="1:11" x14ac:dyDescent="0.25">
      <c r="A3739" t="str">
        <f>HYPERLINK("http://www.corstruth.com.au/Qld/517_Ipswich4_cs.png","517_Ipswich4_A4")</f>
        <v>517_Ipswich4_A4</v>
      </c>
      <c r="B3739" t="str">
        <f>HYPERLINK("http://www.corstruth.com.au/Qld/PNG2/517_Ipswich4_cs.png","517_Ipswich4_0.25m Bins")</f>
        <v>517_Ipswich4_0.25m Bins</v>
      </c>
      <c r="C3739" t="str">
        <f>HYPERLINK("http://www.corstruth.com.au/Qld/CSV/517_Ipswich4.csv","517_Ipswich4_CSV File 1m Bins")</f>
        <v>517_Ipswich4_CSV File 1m Bins</v>
      </c>
      <c r="D3739">
        <v>517</v>
      </c>
      <c r="E3739" t="s">
        <v>2193</v>
      </c>
      <c r="I3739">
        <v>-27.381799999999998</v>
      </c>
      <c r="J3739">
        <v>152.518</v>
      </c>
    </row>
    <row r="3740" spans="1:11" x14ac:dyDescent="0.25">
      <c r="A3740" t="str">
        <f>HYPERLINK("http://www.corstruth.com.au/Qld/518_Ipswich5_cs.png","518_Ipswich5_A4")</f>
        <v>518_Ipswich5_A4</v>
      </c>
      <c r="B3740" t="str">
        <f>HYPERLINK("http://www.corstruth.com.au/Qld/PNG2/518_Ipswich5_cs.png","518_Ipswich5_0.25m Bins")</f>
        <v>518_Ipswich5_0.25m Bins</v>
      </c>
      <c r="C3740" t="str">
        <f>HYPERLINK("http://www.corstruth.com.au/Qld/CSV/518_Ipswich5.csv","518_Ipswich5_CSV File 1m Bins")</f>
        <v>518_Ipswich5_CSV File 1m Bins</v>
      </c>
      <c r="D3740">
        <v>518</v>
      </c>
      <c r="E3740" t="s">
        <v>2193</v>
      </c>
      <c r="I3740">
        <v>-27.4818</v>
      </c>
      <c r="J3740">
        <v>152.56800000000001</v>
      </c>
    </row>
    <row r="3741" spans="1:11" x14ac:dyDescent="0.25">
      <c r="A3741" t="str">
        <f>HYPERLINK("http://www.corstruth.com.au/Qld/519_Ipswich6_cs.png","519_Ipswich6_A4")</f>
        <v>519_Ipswich6_A4</v>
      </c>
      <c r="B3741" t="str">
        <f>HYPERLINK("http://www.corstruth.com.au/Qld/PNG2/519_Ipswich6_cs.png","519_Ipswich6_0.25m Bins")</f>
        <v>519_Ipswich6_0.25m Bins</v>
      </c>
      <c r="C3741" t="str">
        <f>HYPERLINK("http://www.corstruth.com.au/Qld/CSV/519_Ipswich6.csv","519_Ipswich6_CSV File 1m Bins")</f>
        <v>519_Ipswich6_CSV File 1m Bins</v>
      </c>
      <c r="D3741">
        <v>519</v>
      </c>
      <c r="E3741" t="s">
        <v>2193</v>
      </c>
      <c r="I3741">
        <v>-27.565200000000001</v>
      </c>
      <c r="J3741">
        <v>152.56800000000001</v>
      </c>
    </row>
    <row r="3742" spans="1:11" x14ac:dyDescent="0.25">
      <c r="A3742" t="str">
        <f>HYPERLINK("http://www.corstruth.com.au/Qld/523_Ipswich10_cs.png","523_Ipswich10_A4")</f>
        <v>523_Ipswich10_A4</v>
      </c>
      <c r="D3742">
        <v>523</v>
      </c>
      <c r="E3742" t="s">
        <v>2193</v>
      </c>
      <c r="I3742">
        <v>-27.648499999999999</v>
      </c>
      <c r="J3742">
        <v>152.06800000000001</v>
      </c>
      <c r="K3742" t="str">
        <f>HYPERLINK("http://geology.information.qld.gov.au/NVCLDataServices/mosaic.html?datasetid=693f80dc-a566-46de-bf77-0bd5df319c9","523_Ipswich10_Core Image")</f>
        <v>523_Ipswich10_Core Image</v>
      </c>
    </row>
    <row r="3743" spans="1:11" x14ac:dyDescent="0.25">
      <c r="A3743" t="str">
        <f>HYPERLINK("http://www.corstruth.com.au/Qld/525_Ipswich12_cs.png","525_Ipswich12_A4")</f>
        <v>525_Ipswich12_A4</v>
      </c>
      <c r="D3743">
        <v>525</v>
      </c>
      <c r="E3743" t="s">
        <v>2193</v>
      </c>
      <c r="I3743">
        <v>-27.065200000000001</v>
      </c>
      <c r="J3743">
        <v>151.86799999999999</v>
      </c>
      <c r="K3743" t="str">
        <f>HYPERLINK("http://geology.information.qld.gov.au/NVCLDataServices/mosaic.html?datasetid=705244f8-e5f9-4bed-b4cd-a4629107472","525_Ipswich12_Core Image")</f>
        <v>525_Ipswich12_Core Image</v>
      </c>
    </row>
    <row r="3744" spans="1:11" x14ac:dyDescent="0.25">
      <c r="A3744" t="str">
        <f>HYPERLINK("http://www.corstruth.com.au/Qld/527_Ipswich14_cs.png","527_Ipswich14_A4")</f>
        <v>527_Ipswich14_A4</v>
      </c>
      <c r="D3744">
        <v>527</v>
      </c>
      <c r="E3744" t="s">
        <v>2193</v>
      </c>
      <c r="I3744">
        <v>-27.131900000000002</v>
      </c>
      <c r="J3744">
        <v>151.768</v>
      </c>
      <c r="K3744" t="str">
        <f>HYPERLINK("http://geology.information.qld.gov.au/NVCLDataServices/mosaic.html?datasetid=5483491c-ebe0-4ff4-b99a-0f4d1edee5c","527_Ipswich14_Core Image")</f>
        <v>527_Ipswich14_Core Image</v>
      </c>
    </row>
    <row r="3745" spans="1:11" x14ac:dyDescent="0.25">
      <c r="A3745" t="str">
        <f>HYPERLINK("http://www.corstruth.com.au/Qld/530_Mundubbera1_cs.png","530_Mundubbera1_A4")</f>
        <v>530_Mundubbera1_A4</v>
      </c>
      <c r="B3745" t="str">
        <f>HYPERLINK("http://www.corstruth.com.au/Qld/PNG2/530_Mundubbera1_cs.png","530_Mundubbera1_0.25m Bins")</f>
        <v>530_Mundubbera1_0.25m Bins</v>
      </c>
      <c r="C3745" t="str">
        <f>HYPERLINK("http://www.corstruth.com.au/Qld/CSV/530_Mundubbera1.csv","530_Mundubbera1_CSV File 1m Bins")</f>
        <v>530_Mundubbera1_CSV File 1m Bins</v>
      </c>
      <c r="D3745">
        <v>530</v>
      </c>
      <c r="E3745" t="s">
        <v>2193</v>
      </c>
      <c r="I3745">
        <v>-25.900500000000001</v>
      </c>
      <c r="J3745">
        <v>150.02699999999999</v>
      </c>
    </row>
    <row r="3746" spans="1:11" x14ac:dyDescent="0.25">
      <c r="A3746" t="str">
        <f>HYPERLINK("http://www.corstruth.com.au/Qld/531_Mundubbera2_cs.png","531_Mundubbera2_A4")</f>
        <v>531_Mundubbera2_A4</v>
      </c>
      <c r="B3746" t="str">
        <f>HYPERLINK("http://www.corstruth.com.au/Qld/PNG2/531_Mundubbera2_cs.png","531_Mundubbera2_0.25m Bins")</f>
        <v>531_Mundubbera2_0.25m Bins</v>
      </c>
      <c r="C3746" t="str">
        <f>HYPERLINK("http://www.corstruth.com.au/Qld/CSV/531_Mundubbera2.csv","531_Mundubbera2_CSV File 1m Bins")</f>
        <v>531_Mundubbera2_CSV File 1m Bins</v>
      </c>
      <c r="D3746">
        <v>531</v>
      </c>
      <c r="E3746" t="s">
        <v>2193</v>
      </c>
      <c r="I3746">
        <v>-25.131799999999998</v>
      </c>
      <c r="J3746">
        <v>151.11799999999999</v>
      </c>
    </row>
    <row r="3747" spans="1:11" x14ac:dyDescent="0.25">
      <c r="A3747" t="str">
        <f>HYPERLINK("http://www.corstruth.com.au/Qld/532_Mundubbera3_cs.png","532_Mundubbera3_A4")</f>
        <v>532_Mundubbera3_A4</v>
      </c>
      <c r="B3747" t="str">
        <f>HYPERLINK("http://www.corstruth.com.au/Qld/PNG2/532_Mundubbera3_cs.png","532_Mundubbera3_0.25m Bins")</f>
        <v>532_Mundubbera3_0.25m Bins</v>
      </c>
      <c r="C3747" t="str">
        <f>HYPERLINK("http://www.corstruth.com.au/Qld/CSV/532_Mundubbera3.csv","532_Mundubbera3_CSV File 1m Bins")</f>
        <v>532_Mundubbera3_CSV File 1m Bins</v>
      </c>
      <c r="D3747">
        <v>532</v>
      </c>
      <c r="E3747" t="s">
        <v>2193</v>
      </c>
      <c r="I3747">
        <v>-25.2652</v>
      </c>
      <c r="J3747">
        <v>151.184</v>
      </c>
    </row>
    <row r="3748" spans="1:11" x14ac:dyDescent="0.25">
      <c r="A3748" t="str">
        <f>HYPERLINK("http://www.corstruth.com.au/Qld/533_Mundubbera4_cs.png","533_Mundubbera4_A4")</f>
        <v>533_Mundubbera4_A4</v>
      </c>
      <c r="B3748" t="str">
        <f>HYPERLINK("http://www.corstruth.com.au/Qld/PNG2/533_Mundubbera4_cs.png","533_Mundubbera4_0.25m Bins")</f>
        <v>533_Mundubbera4_0.25m Bins</v>
      </c>
      <c r="C3748" t="str">
        <f>HYPERLINK("http://www.corstruth.com.au/Qld/CSV/533_Mundubbera4.csv","533_Mundubbera4_CSV File 1m Bins")</f>
        <v>533_Mundubbera4_CSV File 1m Bins</v>
      </c>
      <c r="D3748">
        <v>533</v>
      </c>
      <c r="E3748" t="s">
        <v>2193</v>
      </c>
      <c r="I3748">
        <v>-25.665199999999999</v>
      </c>
      <c r="J3748">
        <v>151.16800000000001</v>
      </c>
    </row>
    <row r="3749" spans="1:11" x14ac:dyDescent="0.25">
      <c r="A3749" t="str">
        <f>HYPERLINK("http://www.corstruth.com.au/Qld/534_Roma2_cs.png","534_Roma2_A4")</f>
        <v>534_Roma2_A4</v>
      </c>
      <c r="B3749" t="str">
        <f>HYPERLINK("http://www.corstruth.com.au/Qld/PNG2/534_Roma2_cs.png","534_Roma2_0.25m Bins")</f>
        <v>534_Roma2_0.25m Bins</v>
      </c>
      <c r="C3749" t="str">
        <f>HYPERLINK("http://www.corstruth.com.au/Qld/CSV/534_Roma2.csv","534_Roma2_CSV File 1m Bins")</f>
        <v>534_Roma2_CSV File 1m Bins</v>
      </c>
      <c r="D3749">
        <v>534</v>
      </c>
      <c r="E3749" t="s">
        <v>2193</v>
      </c>
      <c r="I3749">
        <v>-26.348500000000001</v>
      </c>
      <c r="J3749">
        <v>149.73400000000001</v>
      </c>
    </row>
    <row r="3750" spans="1:11" x14ac:dyDescent="0.25">
      <c r="A3750" t="str">
        <f>HYPERLINK("http://www.corstruth.com.au/Qld/535_Roma3_cs.png","535_Roma3_A4")</f>
        <v>535_Roma3_A4</v>
      </c>
      <c r="D3750">
        <v>535</v>
      </c>
      <c r="E3750" t="s">
        <v>2193</v>
      </c>
      <c r="I3750">
        <v>-26.4985</v>
      </c>
      <c r="J3750">
        <v>149.63499999999999</v>
      </c>
      <c r="K3750" t="str">
        <f>HYPERLINK("http://geology.information.qld.gov.au/NVCLDataServices/mosaic.html?datasetid=7d524981-27ee-4d78-8fe6-e852c09f2c7","535_Roma3_Core Image")</f>
        <v>535_Roma3_Core Image</v>
      </c>
    </row>
    <row r="3751" spans="1:11" x14ac:dyDescent="0.25">
      <c r="A3751" t="str">
        <f>HYPERLINK("http://www.corstruth.com.au/Qld/536_Roma4_cs.png","536_Roma4_A4")</f>
        <v>536_Roma4_A4</v>
      </c>
      <c r="B3751" t="str">
        <f>HYPERLINK("http://www.corstruth.com.au/Qld/PNG2/536_Roma4_cs.png","536_Roma4_0.25m Bins")</f>
        <v>536_Roma4_0.25m Bins</v>
      </c>
      <c r="C3751" t="str">
        <f>HYPERLINK("http://www.corstruth.com.au/Qld/CSV/536_Roma4.csv","536_Roma4_CSV File 1m Bins")</f>
        <v>536_Roma4_CSV File 1m Bins</v>
      </c>
      <c r="D3751">
        <v>536</v>
      </c>
      <c r="E3751" t="s">
        <v>2193</v>
      </c>
      <c r="I3751">
        <v>-26.2485</v>
      </c>
      <c r="J3751">
        <v>149.834</v>
      </c>
      <c r="K3751" t="str">
        <f>HYPERLINK("http://geology.information.qld.gov.au/NVCLDataServices/mosaic.html?datasetid=c2099405-abb4-4a8d-90c2-dfec280a50b","536_Roma4_Core Image")</f>
        <v>536_Roma4_Core Image</v>
      </c>
    </row>
    <row r="3752" spans="1:11" x14ac:dyDescent="0.25">
      <c r="A3752" t="str">
        <f>HYPERLINK("http://www.corstruth.com.au/Qld/559_Glenhaughton1_cs.png","559_Glenhaughton1_A4")</f>
        <v>559_Glenhaughton1_A4</v>
      </c>
      <c r="D3752">
        <v>559</v>
      </c>
      <c r="E3752" t="s">
        <v>2193</v>
      </c>
      <c r="I3752">
        <v>-25.206199999999999</v>
      </c>
      <c r="J3752">
        <v>149.12899999999999</v>
      </c>
      <c r="K3752" t="str">
        <f>HYPERLINK("http://geology.information.qld.gov.au/NVCLDataServices/mosaic.html?datasetid=2da51a7c-7ee4-4e30-98be-f1cb4f41466","559_Glenhaughton1_Core Image")</f>
        <v>559_Glenhaughton1_Core Image</v>
      </c>
    </row>
    <row r="3753" spans="1:11" x14ac:dyDescent="0.25">
      <c r="A3753" t="str">
        <f>HYPERLINK("http://www.corstruth.com.au/Qld/563_Warrinilla1_cs.png","563_Warrinilla1_A4")</f>
        <v>563_Warrinilla1_A4</v>
      </c>
      <c r="B3753" t="str">
        <f>HYPERLINK("http://www.corstruth.com.au/Qld/PNG2/563_Warrinilla1_cs.png","563_Warrinilla1_0.25m Bins")</f>
        <v>563_Warrinilla1_0.25m Bins</v>
      </c>
      <c r="C3753" t="str">
        <f>HYPERLINK("http://www.corstruth.com.au/Qld/CSV/563_Warrinilla1.csv","563_Warrinilla1_CSV File 1m Bins")</f>
        <v>563_Warrinilla1_CSV File 1m Bins</v>
      </c>
      <c r="D3753">
        <v>563</v>
      </c>
      <c r="E3753" t="s">
        <v>2193</v>
      </c>
      <c r="I3753">
        <v>-25.112100000000002</v>
      </c>
      <c r="J3753">
        <v>148.55500000000001</v>
      </c>
    </row>
    <row r="3754" spans="1:11" x14ac:dyDescent="0.25">
      <c r="A3754" t="str">
        <f>HYPERLINK("http://www.corstruth.com.au/Qld/564_Warrinilla2_cs.png","564_Warrinilla2_A4")</f>
        <v>564_Warrinilla2_A4</v>
      </c>
      <c r="B3754" t="str">
        <f>HYPERLINK("http://www.corstruth.com.au/Qld/PNG2/564_Warrinilla2_cs.png","564_Warrinilla2_0.25m Bins")</f>
        <v>564_Warrinilla2_0.25m Bins</v>
      </c>
      <c r="C3754" t="str">
        <f>HYPERLINK("http://www.corstruth.com.au/Qld/CSV/564_Warrinilla2.csv","564_Warrinilla2_CSV File 1m Bins")</f>
        <v>564_Warrinilla2_CSV File 1m Bins</v>
      </c>
      <c r="D3754">
        <v>564</v>
      </c>
      <c r="E3754" t="s">
        <v>2193</v>
      </c>
      <c r="I3754">
        <v>-25.059000000000001</v>
      </c>
      <c r="J3754">
        <v>148.553</v>
      </c>
    </row>
    <row r="3755" spans="1:11" x14ac:dyDescent="0.25">
      <c r="A3755" t="str">
        <f>HYPERLINK("http://www.corstruth.com.au/Qld/565_Warrinilla5_cs.png","565_Warrinilla5_A4")</f>
        <v>565_Warrinilla5_A4</v>
      </c>
      <c r="B3755" t="str">
        <f>HYPERLINK("http://www.corstruth.com.au/Qld/PNG2/565_Warrinilla5_cs.png","565_Warrinilla5_0.25m Bins")</f>
        <v>565_Warrinilla5_0.25m Bins</v>
      </c>
      <c r="C3755" t="str">
        <f>HYPERLINK("http://www.corstruth.com.au/Qld/CSV/565_Warrinilla5.csv","565_Warrinilla5_CSV File 1m Bins")</f>
        <v>565_Warrinilla5_CSV File 1m Bins</v>
      </c>
      <c r="D3755">
        <v>565</v>
      </c>
      <c r="E3755" t="s">
        <v>2193</v>
      </c>
      <c r="I3755">
        <v>-25.003299999999999</v>
      </c>
      <c r="J3755">
        <v>148.572</v>
      </c>
    </row>
    <row r="3756" spans="1:11" x14ac:dyDescent="0.25">
      <c r="A3756" t="str">
        <f>HYPERLINK("http://www.corstruth.com.au/Qld/567_CockatooCreek1_cs.png","567_CockatooCreek1_A4")</f>
        <v>567_CockatooCreek1_A4</v>
      </c>
      <c r="D3756">
        <v>567</v>
      </c>
      <c r="E3756" t="s">
        <v>2193</v>
      </c>
      <c r="I3756">
        <v>-25.571200000000001</v>
      </c>
      <c r="J3756">
        <v>150.10400000000001</v>
      </c>
      <c r="K3756" t="str">
        <f>HYPERLINK("http://geology.information.qld.gov.au/NVCLDataServices/mosaic.html?datasetid=NONE","567_CockatooCreek1_Core Image")</f>
        <v>567_CockatooCreek1_Core Image</v>
      </c>
    </row>
    <row r="3757" spans="1:11" x14ac:dyDescent="0.25">
      <c r="A3757" t="str">
        <f>HYPERLINK("http://www.corstruth.com.au/Qld/57254_Stokes4_cs.png","57254_Stokes4_A4")</f>
        <v>57254_Stokes4_A4</v>
      </c>
      <c r="B3757" t="str">
        <f>HYPERLINK("http://www.corstruth.com.au/Qld/PNG2/57254_Stokes4_cs.png","57254_Stokes4_0.25m Bins")</f>
        <v>57254_Stokes4_0.25m Bins</v>
      </c>
      <c r="C3757" t="str">
        <f>HYPERLINK("http://www.corstruth.com.au/Qld/CSV/57254_Stokes4.csv","57254_Stokes4_CSV File 1m Bins")</f>
        <v>57254_Stokes4_CSV File 1m Bins</v>
      </c>
      <c r="D3757">
        <v>57254</v>
      </c>
      <c r="E3757" t="s">
        <v>2193</v>
      </c>
      <c r="I3757">
        <v>-28.333500000000001</v>
      </c>
      <c r="J3757">
        <v>141.04400000000001</v>
      </c>
      <c r="K3757" t="str">
        <f>HYPERLINK("http://geology.information.qld.gov.au/NVCLDataServices/mosaic.html?datasetid=NONE","57254_Stokes4_Core Image")</f>
        <v>57254_Stokes4_Core Image</v>
      </c>
    </row>
    <row r="3758" spans="1:11" x14ac:dyDescent="0.25">
      <c r="A3758" t="str">
        <f>HYPERLINK("http://www.corstruth.com.au/Qld/57343_Utopia3_cs.png","57343_Utopia3_A4")</f>
        <v>57343_Utopia3_A4</v>
      </c>
      <c r="B3758" t="str">
        <f>HYPERLINK("http://www.corstruth.com.au/Qld/PNG2/57343_Utopia3_cs.png","57343_Utopia3_0.25m Bins")</f>
        <v>57343_Utopia3_0.25m Bins</v>
      </c>
      <c r="C3758" t="str">
        <f>HYPERLINK("http://www.corstruth.com.au/Qld/CSV/57343_Utopia3.csv","57343_Utopia3_CSV File 1m Bins")</f>
        <v>57343_Utopia3_CSV File 1m Bins</v>
      </c>
      <c r="D3758">
        <v>57343</v>
      </c>
      <c r="E3758" t="s">
        <v>2193</v>
      </c>
      <c r="I3758">
        <v>-27.031600000000001</v>
      </c>
      <c r="J3758">
        <v>143.57400000000001</v>
      </c>
      <c r="K3758" t="str">
        <f>HYPERLINK("http://geology.information.qld.gov.au/NVCLDataServices/mosaic.html?datasetid=f1ba0a49-d695-478e-a6ca-a188478f58d","57343_Utopia3_Core Image")</f>
        <v>57343_Utopia3_Core Image</v>
      </c>
    </row>
    <row r="3759" spans="1:11" x14ac:dyDescent="0.25">
      <c r="A3759" t="str">
        <f>HYPERLINK("http://www.corstruth.com.au/Qld/57575_JunoNorth1_cs.png","57575_JunoNorth1_A4")</f>
        <v>57575_JunoNorth1_A4</v>
      </c>
      <c r="B3759" t="str">
        <f>HYPERLINK("http://www.corstruth.com.au/Qld/PNG2/57575_JunoNorth1_cs.png","57575_JunoNorth1_0.25m Bins")</f>
        <v>57575_JunoNorth1_0.25m Bins</v>
      </c>
      <c r="C3759" t="str">
        <f>HYPERLINK("http://www.corstruth.com.au/Qld/CSV/57575_JunoNorth1.csv","57575_JunoNorth1_CSV File 1m Bins")</f>
        <v>57575_JunoNorth1_CSV File 1m Bins</v>
      </c>
      <c r="D3759">
        <v>57575</v>
      </c>
      <c r="E3759" t="s">
        <v>2193</v>
      </c>
      <c r="I3759">
        <v>-27.649899999999999</v>
      </c>
      <c r="J3759">
        <v>141.851</v>
      </c>
      <c r="K3759" t="str">
        <f>HYPERLINK("http://geology.information.qld.gov.au/NVCLDataServices/mosaic.html?datasetid=NONE","57575_JunoNorth1_Core Image")</f>
        <v>57575_JunoNorth1_Core Image</v>
      </c>
    </row>
    <row r="3760" spans="1:11" x14ac:dyDescent="0.25">
      <c r="A3760" t="str">
        <f>HYPERLINK("http://www.corstruth.com.au/Qld/57644_MountTurner__NS1_cs.png","57644_MountTurner_ NS1_A4")</f>
        <v>57644_MountTurner_ NS1_A4</v>
      </c>
      <c r="D3760">
        <v>57644</v>
      </c>
      <c r="E3760" t="s">
        <v>2193</v>
      </c>
      <c r="I3760">
        <v>-18.2532</v>
      </c>
      <c r="J3760">
        <v>143.434</v>
      </c>
      <c r="K3760" t="str">
        <f>HYPERLINK("http://geology.information.qld.gov.au/NVCLDataServices/mosaic.html?datasetid=5e779e84-e779-437e-8c13-5aaf693981c","57644_MountTurner_ NS1_Core Image")</f>
        <v>57644_MountTurner_ NS1_Core Image</v>
      </c>
    </row>
    <row r="3761" spans="1:11" x14ac:dyDescent="0.25">
      <c r="A3761" t="str">
        <f>HYPERLINK("http://www.corstruth.com.au/Qld/57645_MountTurner__NS2_cs.png","57645_MountTurner_ NS2_A4")</f>
        <v>57645_MountTurner_ NS2_A4</v>
      </c>
      <c r="D3761">
        <v>57645</v>
      </c>
      <c r="E3761" t="s">
        <v>2193</v>
      </c>
      <c r="I3761">
        <v>-18.255199999999999</v>
      </c>
      <c r="J3761">
        <v>143.43299999999999</v>
      </c>
      <c r="K3761" t="str">
        <f>HYPERLINK("http://geology.information.qld.gov.au/NVCLDataServices/mosaic.html?datasetid=aedd39e4-0285-4c5c-a49f-8375b2445e8","57645_MountTurner_ NS2_Core Image")</f>
        <v>57645_MountTurner_ NS2_Core Image</v>
      </c>
    </row>
    <row r="3762" spans="1:11" x14ac:dyDescent="0.25">
      <c r="A3762" t="str">
        <f>HYPERLINK("http://www.corstruth.com.au/Qld/57646_MountTurner__NS3_cs.png","57646_MountTurner_ NS3_A4")</f>
        <v>57646_MountTurner_ NS3_A4</v>
      </c>
      <c r="D3762">
        <v>57646</v>
      </c>
      <c r="E3762" t="s">
        <v>2193</v>
      </c>
      <c r="I3762">
        <v>-18.258900000000001</v>
      </c>
      <c r="J3762">
        <v>143.43199999999999</v>
      </c>
      <c r="K3762" t="str">
        <f>HYPERLINK("http://geology.information.qld.gov.au/NVCLDataServices/mosaic.html?datasetid=c032b7fd-e419-4726-ade2-ea9038f00c0","57646_MountTurner_ NS3_Core Image")</f>
        <v>57646_MountTurner_ NS3_Core Image</v>
      </c>
    </row>
    <row r="3763" spans="1:11" x14ac:dyDescent="0.25">
      <c r="A3763" t="str">
        <f>HYPERLINK("http://www.corstruth.com.au/Qld/57647_MountTurner__NS4_cs.png","57647_MountTurner_ NS4_A4")</f>
        <v>57647_MountTurner_ NS4_A4</v>
      </c>
      <c r="D3763">
        <v>57647</v>
      </c>
      <c r="E3763" t="s">
        <v>2193</v>
      </c>
      <c r="I3763">
        <v>-18.2501</v>
      </c>
      <c r="J3763">
        <v>143.43700000000001</v>
      </c>
      <c r="K3763" t="str">
        <f>HYPERLINK("http://geology.information.qld.gov.au/NVCLDataServices/mosaic.html?datasetid=64afef29-bdab-45dc-a890-936dcf77332","57647_MountTurner_ NS4_Core Image")</f>
        <v>57647_MountTurner_ NS4_Core Image</v>
      </c>
    </row>
    <row r="3764" spans="1:11" x14ac:dyDescent="0.25">
      <c r="A3764" t="str">
        <f>HYPERLINK("http://www.corstruth.com.au/Qld/57721_Eloise_EAM_127_cs.png","57721_Eloise EAM 127_A4")</f>
        <v>57721_Eloise EAM 127_A4</v>
      </c>
      <c r="B3764" t="str">
        <f>HYPERLINK("http://www.corstruth.com.au/Qld/PNG2/57721_Eloise_EAM_127_cs.png","57721_Eloise EAM 127_0.25m Bins")</f>
        <v>57721_Eloise EAM 127_0.25m Bins</v>
      </c>
      <c r="C3764" t="str">
        <f>HYPERLINK("http://www.corstruth.com.au/Qld/CSV/57721_Eloise_EAM_127.csv","57721_Eloise EAM 127_CSV File 1m Bins")</f>
        <v>57721_Eloise EAM 127_CSV File 1m Bins</v>
      </c>
      <c r="D3764">
        <v>57721</v>
      </c>
      <c r="E3764" t="s">
        <v>2193</v>
      </c>
      <c r="I3764">
        <v>-20.957100000000001</v>
      </c>
      <c r="J3764">
        <v>140.97800000000001</v>
      </c>
    </row>
    <row r="3765" spans="1:11" x14ac:dyDescent="0.25">
      <c r="A3765" t="str">
        <f>HYPERLINK("http://www.corstruth.com.au/Qld/57722_Eloise_EAM_128_cs.png","57722_Eloise EAM 128_A4")</f>
        <v>57722_Eloise EAM 128_A4</v>
      </c>
      <c r="B3765" t="str">
        <f>HYPERLINK("http://www.corstruth.com.au/Qld/PNG2/57722_Eloise_EAM_128_cs.png","57722_Eloise EAM 128_0.25m Bins")</f>
        <v>57722_Eloise EAM 128_0.25m Bins</v>
      </c>
      <c r="C3765" t="str">
        <f>HYPERLINK("http://www.corstruth.com.au/Qld/CSV/57722_Eloise_EAM_128.csv","57722_Eloise EAM 128_CSV File 1m Bins")</f>
        <v>57722_Eloise EAM 128_CSV File 1m Bins</v>
      </c>
      <c r="D3765">
        <v>57722</v>
      </c>
      <c r="E3765" t="s">
        <v>2193</v>
      </c>
      <c r="I3765">
        <v>-20.956900000000001</v>
      </c>
      <c r="J3765">
        <v>140.97800000000001</v>
      </c>
      <c r="K3765" t="str">
        <f>HYPERLINK("http://geology.information.qld.gov.au/NVCLDataServices/mosaic.html?datasetid=005001fe-5c81-4939-81e2-c6463c51907","57722_Eloise EAM 128_Core Image")</f>
        <v>57722_Eloise EAM 128_Core Image</v>
      </c>
    </row>
    <row r="3766" spans="1:11" x14ac:dyDescent="0.25">
      <c r="A3766" t="str">
        <f>HYPERLINK("http://www.corstruth.com.au/Qld/57723_Eloise_EAM_130_cs.png","57723_Eloise EAM 130_A4")</f>
        <v>57723_Eloise EAM 130_A4</v>
      </c>
      <c r="B3766" t="str">
        <f>HYPERLINK("http://www.corstruth.com.au/Qld/PNG2/57723_Eloise_EAM_130_cs.png","57723_Eloise EAM 130_0.25m Bins")</f>
        <v>57723_Eloise EAM 130_0.25m Bins</v>
      </c>
      <c r="C3766" t="str">
        <f>HYPERLINK("http://www.corstruth.com.au/Qld/CSV/57723_Eloise_EAM_130.csv","57723_Eloise EAM 130_CSV File 1m Bins")</f>
        <v>57723_Eloise EAM 130_CSV File 1m Bins</v>
      </c>
      <c r="D3766">
        <v>57723</v>
      </c>
      <c r="E3766" t="s">
        <v>2193</v>
      </c>
      <c r="I3766">
        <v>-20.956900000000001</v>
      </c>
      <c r="J3766">
        <v>140.97800000000001</v>
      </c>
      <c r="K3766" t="str">
        <f>HYPERLINK("http://geology.information.qld.gov.au/NVCLDataServices/mosaic.html?datasetid=504fc2f8-1d88-4a05-9516-abe07d57929","57723_Eloise EAM 130_Core Image")</f>
        <v>57723_Eloise EAM 130_Core Image</v>
      </c>
    </row>
    <row r="3767" spans="1:11" x14ac:dyDescent="0.25">
      <c r="A3767" t="str">
        <f>HYPERLINK("http://www.corstruth.com.au/Qld/57726_Eloise_EAM_194_cs.png","57726_Eloise EAM 194_A4")</f>
        <v>57726_Eloise EAM 194_A4</v>
      </c>
      <c r="B3767" t="str">
        <f>HYPERLINK("http://www.corstruth.com.au/Qld/PNG2/57726_Eloise_EAM_194_cs.png","57726_Eloise EAM 194_0.25m Bins")</f>
        <v>57726_Eloise EAM 194_0.25m Bins</v>
      </c>
      <c r="C3767" t="str">
        <f>HYPERLINK("http://www.corstruth.com.au/Qld/CSV/57726_Eloise_EAM_194.csv","57726_Eloise EAM 194_CSV File 1m Bins")</f>
        <v>57726_Eloise EAM 194_CSV File 1m Bins</v>
      </c>
      <c r="D3767">
        <v>57726</v>
      </c>
      <c r="E3767" t="s">
        <v>2193</v>
      </c>
      <c r="I3767">
        <v>-20.958300000000001</v>
      </c>
      <c r="J3767">
        <v>140.97800000000001</v>
      </c>
      <c r="K3767" t="str">
        <f>HYPERLINK("http://geology.information.qld.gov.au/NVCLDataServices/mosaic.html?datasetid=e63d3550-7333-4cce-b983-77cbc4b563e","57726_Eloise EAM 194_Core Image")</f>
        <v>57726_Eloise EAM 194_Core Image</v>
      </c>
    </row>
    <row r="3768" spans="1:11" x14ac:dyDescent="0.25">
      <c r="A3768" t="str">
        <f>HYPERLINK("http://www.corstruth.com.au/Qld/58401_MyallCreek3_cs.png","58401_MyallCreek3_A4")</f>
        <v>58401_MyallCreek3_A4</v>
      </c>
      <c r="D3768">
        <v>58401</v>
      </c>
      <c r="E3768" t="s">
        <v>2193</v>
      </c>
      <c r="I3768">
        <v>-27.069800000000001</v>
      </c>
      <c r="J3768">
        <v>149.21600000000001</v>
      </c>
      <c r="K3768" t="str">
        <f>HYPERLINK("http://geology.information.qld.gov.au/NVCLDataServices/mosaic.html?datasetid=99410361-a9ae-4fad-8bfe-cef33a7c495","58401_MyallCreek3_Core Image")</f>
        <v>58401_MyallCreek3_Core Image</v>
      </c>
    </row>
    <row r="3769" spans="1:11" x14ac:dyDescent="0.25">
      <c r="A3769" t="str">
        <f>HYPERLINK("http://www.corstruth.com.au/Qld/585_Burunga1_cs.png","585_Burunga1_A4")</f>
        <v>585_Burunga1_A4</v>
      </c>
      <c r="D3769">
        <v>585</v>
      </c>
      <c r="E3769" t="s">
        <v>2193</v>
      </c>
      <c r="I3769">
        <v>-25.9985</v>
      </c>
      <c r="J3769">
        <v>150.08000000000001</v>
      </c>
      <c r="K3769" t="str">
        <f>HYPERLINK("http://geology.information.qld.gov.au/NVCLDataServices/mosaic.html?datasetid=4e4b565c-51c4-44d9-bfc1-c243b04e3fb","585_Burunga1_Core Image")</f>
        <v>585_Burunga1_Core Image</v>
      </c>
    </row>
    <row r="3770" spans="1:11" x14ac:dyDescent="0.25">
      <c r="A3770" t="str">
        <f>HYPERLINK("http://www.corstruth.com.au/Qld/58878_Palmerston1_cs.png","58878_Palmerston1_A4")</f>
        <v>58878_Palmerston1_A4</v>
      </c>
      <c r="D3770">
        <v>58878</v>
      </c>
      <c r="E3770" t="s">
        <v>2193</v>
      </c>
      <c r="I3770">
        <v>-27.564699999999998</v>
      </c>
      <c r="J3770">
        <v>149.44800000000001</v>
      </c>
      <c r="K3770" t="str">
        <f>HYPERLINK("http://geology.information.qld.gov.au/NVCLDataServices/mosaic.html?datasetid=fd895f64-796f-450e-961f-db980b81355","58878_Palmerston1_Core Image")</f>
        <v>58878_Palmerston1_Core Image</v>
      </c>
    </row>
    <row r="3771" spans="1:11" x14ac:dyDescent="0.25">
      <c r="A3771" t="str">
        <f>HYPERLINK("http://www.corstruth.com.au/Qld/58966_Trekalano_QMD3_cs.png","58966_Trekalano_QMD3_A4")</f>
        <v>58966_Trekalano_QMD3_A4</v>
      </c>
      <c r="B3771" t="str">
        <f>HYPERLINK("http://www.corstruth.com.au/Qld/PNG2/58966_Trekalano_QMD3_cs.png","58966_Trekalano_QMD3_0.25m Bins")</f>
        <v>58966_Trekalano_QMD3_0.25m Bins</v>
      </c>
      <c r="C3771" t="str">
        <f>HYPERLINK("http://www.corstruth.com.au/Qld/CSV/58966_Trekalano_QMD3.csv","58966_Trekalano_QMD3_CSV File 1m Bins")</f>
        <v>58966_Trekalano_QMD3_CSV File 1m Bins</v>
      </c>
      <c r="D3771">
        <v>58966</v>
      </c>
      <c r="E3771" t="s">
        <v>2193</v>
      </c>
      <c r="I3771">
        <v>-21.4802</v>
      </c>
      <c r="J3771">
        <v>139.90199999999999</v>
      </c>
      <c r="K3771" t="str">
        <f>HYPERLINK("http://geology.information.qld.gov.au/NVCLDataServices/mosaic.html?datasetid=NONE","58966_Trekalano_QMD3_Core Image")</f>
        <v>58966_Trekalano_QMD3_Core Image</v>
      </c>
    </row>
    <row r="3772" spans="1:11" x14ac:dyDescent="0.25">
      <c r="A3772" t="str">
        <f>HYPERLINK("http://www.corstruth.com.au/Qld/58975_Trekalano_QMD12_cs.png","58975_Trekalano_QMD12_A4")</f>
        <v>58975_Trekalano_QMD12_A4</v>
      </c>
      <c r="B3772" t="str">
        <f>HYPERLINK("http://www.corstruth.com.au/Qld/PNG2/58975_Trekalano_QMD12_cs.png","58975_Trekalano_QMD12_0.25m Bins")</f>
        <v>58975_Trekalano_QMD12_0.25m Bins</v>
      </c>
      <c r="C3772" t="str">
        <f>HYPERLINK("http://www.corstruth.com.au/Qld/CSV/58975_Trekalano_QMD12.csv","58975_Trekalano_QMD12_CSV File 1m Bins")</f>
        <v>58975_Trekalano_QMD12_CSV File 1m Bins</v>
      </c>
      <c r="D3772">
        <v>58975</v>
      </c>
      <c r="E3772" t="s">
        <v>2193</v>
      </c>
      <c r="I3772">
        <v>-21.477</v>
      </c>
      <c r="J3772">
        <v>139.898</v>
      </c>
    </row>
    <row r="3773" spans="1:11" x14ac:dyDescent="0.25">
      <c r="A3773" t="str">
        <f>HYPERLINK("http://www.corstruth.com.au/Qld/58976_Trekalano_QMD13_cs.png","58976_Trekalano_QMD13_A4")</f>
        <v>58976_Trekalano_QMD13_A4</v>
      </c>
      <c r="B3773" t="str">
        <f>HYPERLINK("http://www.corstruth.com.au/Qld/PNG2/58976_Trekalano_QMD13_cs.png","58976_Trekalano_QMD13_0.25m Bins")</f>
        <v>58976_Trekalano_QMD13_0.25m Bins</v>
      </c>
      <c r="C3773" t="str">
        <f>HYPERLINK("http://www.corstruth.com.au/Qld/CSV/58976_Trekalano_QMD13.csv","58976_Trekalano_QMD13_CSV File 1m Bins")</f>
        <v>58976_Trekalano_QMD13_CSV File 1m Bins</v>
      </c>
      <c r="D3773">
        <v>58976</v>
      </c>
      <c r="E3773" t="s">
        <v>2193</v>
      </c>
      <c r="I3773">
        <v>-21.475899999999999</v>
      </c>
      <c r="J3773">
        <v>139.899</v>
      </c>
    </row>
    <row r="3774" spans="1:11" x14ac:dyDescent="0.25">
      <c r="A3774" t="str">
        <f>HYPERLINK("http://www.corstruth.com.au/Qld/58985_Trekalano_QMD21_cs.png","58985_Trekalano_QMD21_A4")</f>
        <v>58985_Trekalano_QMD21_A4</v>
      </c>
      <c r="B3774" t="str">
        <f>HYPERLINK("http://www.corstruth.com.au/Qld/PNG2/58985_Trekalano_QMD21_cs.png","58985_Trekalano_QMD21_0.25m Bins")</f>
        <v>58985_Trekalano_QMD21_0.25m Bins</v>
      </c>
      <c r="C3774" t="str">
        <f>HYPERLINK("http://www.corstruth.com.au/Qld/CSV/58985_Trekalano_QMD21.csv","58985_Trekalano_QMD21_CSV File 1m Bins")</f>
        <v>58985_Trekalano_QMD21_CSV File 1m Bins</v>
      </c>
      <c r="D3774">
        <v>58985</v>
      </c>
      <c r="E3774" t="s">
        <v>2193</v>
      </c>
      <c r="I3774">
        <v>-21.4801</v>
      </c>
      <c r="J3774">
        <v>139.90299999999999</v>
      </c>
    </row>
    <row r="3775" spans="1:11" x14ac:dyDescent="0.25">
      <c r="A3775" t="str">
        <f>HYPERLINK("http://www.corstruth.com.au/Qld/59417_BlueValley_DD88BV15_cs.png","59417_BlueValley_DD88BV15_A4")</f>
        <v>59417_BlueValley_DD88BV15_A4</v>
      </c>
      <c r="D3775">
        <v>59417</v>
      </c>
      <c r="E3775" t="s">
        <v>2193</v>
      </c>
      <c r="I3775">
        <v>-20.444500000000001</v>
      </c>
      <c r="J3775">
        <v>147.81</v>
      </c>
      <c r="K3775" t="str">
        <f>HYPERLINK("http://geology.information.qld.gov.au/NVCLDataServices/mosaic.html?datasetid=e9dfe7cf-d7ba-4007-851f-023cb62254b","59417_BlueValley_DD88BV15_Core Image")</f>
        <v>59417_BlueValley_DD88BV15_Core Image</v>
      </c>
    </row>
    <row r="3776" spans="1:11" x14ac:dyDescent="0.25">
      <c r="A3776" t="str">
        <f>HYPERLINK("http://www.corstruth.com.au/Qld/59522_Mira1_cs.png","59522_Mira1_A4")</f>
        <v>59522_Mira1_A4</v>
      </c>
      <c r="B3776" t="str">
        <f>HYPERLINK("http://www.corstruth.com.au/Qld/PNG2/59522_Mira1_cs.png","59522_Mira1_0.25m Bins")</f>
        <v>59522_Mira1_0.25m Bins</v>
      </c>
      <c r="C3776" t="str">
        <f>HYPERLINK("http://www.corstruth.com.au/Qld/CSV/59522_Mira1.csv","59522_Mira1_CSV File 1m Bins")</f>
        <v>59522_Mira1_CSV File 1m Bins</v>
      </c>
      <c r="D3776">
        <v>59522</v>
      </c>
      <c r="E3776" t="s">
        <v>2193</v>
      </c>
      <c r="I3776">
        <v>-24.1614</v>
      </c>
      <c r="J3776">
        <v>148.75299999999999</v>
      </c>
    </row>
    <row r="3777" spans="1:11" x14ac:dyDescent="0.25">
      <c r="A3777" t="str">
        <f>HYPERLINK("http://www.corstruth.com.au/Qld/59690_MtMorganMinePD33_cs.png","59690_MtMorganMinePD33_A4")</f>
        <v>59690_MtMorganMinePD33_A4</v>
      </c>
      <c r="B3777" t="str">
        <f>HYPERLINK("http://www.corstruth.com.au/Qld/PNG2/59690_MtMorganMinePD33_cs.png","59690_MtMorganMinePD33_0.25m Bins")</f>
        <v>59690_MtMorganMinePD33_0.25m Bins</v>
      </c>
      <c r="C3777" t="str">
        <f>HYPERLINK("http://www.corstruth.com.au/Qld/CSV/59690_MtMorganMinePD33.csv","59690_MtMorganMinePD33_CSV File 1m Bins")</f>
        <v>59690_MtMorganMinePD33_CSV File 1m Bins</v>
      </c>
      <c r="D3777">
        <v>59690</v>
      </c>
      <c r="E3777" t="s">
        <v>2193</v>
      </c>
      <c r="I3777">
        <v>-23.641300000000001</v>
      </c>
      <c r="J3777">
        <v>150.376</v>
      </c>
      <c r="K3777" t="str">
        <f>HYPERLINK("http://geology.information.qld.gov.au/NVCLDataServices/mosaic.html?datasetid=8e0a64b5-f578-49dc-92b4-6c0718a979c","59690_MtMorganMinePD33_Core Image")</f>
        <v>59690_MtMorganMinePD33_Core Image</v>
      </c>
    </row>
    <row r="3778" spans="1:11" x14ac:dyDescent="0.25">
      <c r="A3778" t="str">
        <f>HYPERLINK("http://www.corstruth.com.au/Qld/59693_MtMorganMinePD41_cs.png","59693_MtMorganMinePD41_A4")</f>
        <v>59693_MtMorganMinePD41_A4</v>
      </c>
      <c r="B3778" t="str">
        <f>HYPERLINK("http://www.corstruth.com.au/Qld/PNG2/59693_MtMorganMinePD41_cs.png","59693_MtMorganMinePD41_0.25m Bins")</f>
        <v>59693_MtMorganMinePD41_0.25m Bins</v>
      </c>
      <c r="C3778" t="str">
        <f>HYPERLINK("http://www.corstruth.com.au/Qld/CSV/59693_MtMorganMinePD41.csv","59693_MtMorganMinePD41_CSV File 1m Bins")</f>
        <v>59693_MtMorganMinePD41_CSV File 1m Bins</v>
      </c>
      <c r="D3778">
        <v>59693</v>
      </c>
      <c r="E3778" t="s">
        <v>2193</v>
      </c>
      <c r="I3778">
        <v>-23.645600000000002</v>
      </c>
      <c r="J3778">
        <v>150.37200000000001</v>
      </c>
      <c r="K3778" t="str">
        <f>HYPERLINK("http://geology.information.qld.gov.au/NVCLDataServices/mosaic.html?datasetid=9d298cdc-65f6-4333-9f27-d980fda6f85","59693_MtMorganMinePD41_Core Image")</f>
        <v>59693_MtMorganMinePD41_Core Image</v>
      </c>
    </row>
    <row r="3779" spans="1:11" x14ac:dyDescent="0.25">
      <c r="A3779" t="str">
        <f>HYPERLINK("http://www.corstruth.com.au/Qld/59710_Mount_Chalmers_Mine_MC13_cs.png","59710_Mount Chalmers Mine_MC13_A4")</f>
        <v>59710_Mount Chalmers Mine_MC13_A4</v>
      </c>
      <c r="B3779" t="str">
        <f>HYPERLINK("http://www.corstruth.com.au/Qld/PNG2/59710_Mount_Chalmers_Mine_MC13_cs.png","59710_Mount Chalmers Mine_MC13_0.25m Bins")</f>
        <v>59710_Mount Chalmers Mine_MC13_0.25m Bins</v>
      </c>
      <c r="C3779" t="str">
        <f>HYPERLINK("http://www.corstruth.com.au/Qld/CSV/59710_Mount_Chalmers_Mine_MC13.csv","59710_Mount Chalmers Mine_MC13_CSV File 1m Bins")</f>
        <v>59710_Mount Chalmers Mine_MC13_CSV File 1m Bins</v>
      </c>
      <c r="D3779">
        <v>59710</v>
      </c>
      <c r="E3779" t="s">
        <v>2193</v>
      </c>
      <c r="I3779">
        <v>-23.297899999999998</v>
      </c>
      <c r="J3779">
        <v>150.65299999999999</v>
      </c>
      <c r="K3779" t="str">
        <f>HYPERLINK("http://geology.information.qld.gov.au/NVCLDataServices/mosaic.html?datasetid=ca0aba14-2aa1-46bc-8fac-4d7e27415ef","59710_Mount Chalmers Mine_MC13_Core Image")</f>
        <v>59710_Mount Chalmers Mine_MC13_Core Image</v>
      </c>
    </row>
    <row r="3780" spans="1:11" x14ac:dyDescent="0.25">
      <c r="A3780" t="str">
        <f>HYPERLINK("http://www.corstruth.com.au/Qld/59713_FRD020_cs.png","59713_FRD020_A4")</f>
        <v>59713_FRD020_A4</v>
      </c>
      <c r="B3780" t="str">
        <f>HYPERLINK("http://www.corstruth.com.au/Qld/PNG2/59713_FRD020_cs.png","59713_FRD020_0.25m Bins")</f>
        <v>59713_FRD020_0.25m Bins</v>
      </c>
      <c r="C3780" t="str">
        <f>HYPERLINK("http://www.corstruth.com.au/Qld/CSV/59713_FRD020.csv","59713_FRD020_CSV File 1m Bins")</f>
        <v>59713_FRD020_CSV File 1m Bins</v>
      </c>
      <c r="D3780">
        <v>59713</v>
      </c>
      <c r="E3780" t="s">
        <v>2193</v>
      </c>
      <c r="I3780">
        <v>-23.2927</v>
      </c>
      <c r="J3780">
        <v>150.655</v>
      </c>
      <c r="K3780" t="str">
        <f>HYPERLINK("http://geology.information.qld.gov.au/NVCLDataServices/mosaic.html?datasetid=4b1f88b1-b38b-475b-bf49-b5b592b8629","59713_FRD020_Core Image")</f>
        <v>59713_FRD020_Core Image</v>
      </c>
    </row>
    <row r="3781" spans="1:11" x14ac:dyDescent="0.25">
      <c r="A3781" t="str">
        <f>HYPERLINK("http://www.corstruth.com.au/Qld/61164_Atria5_cs.png","61164_Atria5_A4")</f>
        <v>61164_Atria5_A4</v>
      </c>
      <c r="B3781" t="str">
        <f>HYPERLINK("http://www.corstruth.com.au/Qld/PNG2/61164_Atria5_cs.png","61164_Atria5_0.25m Bins")</f>
        <v>61164_Atria5_0.25m Bins</v>
      </c>
      <c r="C3781" t="str">
        <f>HYPERLINK("http://www.corstruth.com.au/Qld/CSV/61164_Atria5.csv","61164_Atria5_CSV File 1m Bins")</f>
        <v>61164_Atria5_CSV File 1m Bins</v>
      </c>
      <c r="D3781">
        <v>61164</v>
      </c>
      <c r="E3781" t="s">
        <v>2193</v>
      </c>
      <c r="I3781">
        <v>-23.441500000000001</v>
      </c>
      <c r="J3781">
        <v>148.80600000000001</v>
      </c>
      <c r="K3781" t="str">
        <f>HYPERLINK("http://geology.information.qld.gov.au/NVCLDataServices/mosaic.html?datasetid=a513e875-2e3c-4157-a52e-5bb5870be82","61164_Atria5_Core Image")</f>
        <v>61164_Atria5_Core Image</v>
      </c>
    </row>
    <row r="3782" spans="1:11" x14ac:dyDescent="0.25">
      <c r="A3782" t="str">
        <f>HYPERLINK("http://www.corstruth.com.au/Qld/61421_Dingonose11_cs.png","61421_Dingonose11_A4")</f>
        <v>61421_Dingonose11_A4</v>
      </c>
      <c r="D3782">
        <v>61421</v>
      </c>
      <c r="E3782" t="s">
        <v>2193</v>
      </c>
      <c r="I3782">
        <v>-23.7301</v>
      </c>
      <c r="J3782">
        <v>149.292</v>
      </c>
      <c r="K3782" t="str">
        <f>HYPERLINK("http://geology.information.qld.gov.au/NVCLDataServices/mosaic.html?datasetid=65892a90-3bbd-4a7e-a6f3-59033de6039","61421_Dingonose11_Core Image")</f>
        <v>61421_Dingonose11_Core Image</v>
      </c>
    </row>
    <row r="3783" spans="1:11" x14ac:dyDescent="0.25">
      <c r="A3783" t="str">
        <f>HYPERLINK("http://www.corstruth.com.au/Qld/62121_Lighthouse_Gully_LGP001_cs.png","62121_Lighthouse Gully_LGP001_A4")</f>
        <v>62121_Lighthouse Gully_LGP001_A4</v>
      </c>
      <c r="D3783">
        <v>62121</v>
      </c>
      <c r="E3783" t="s">
        <v>2193</v>
      </c>
      <c r="I3783">
        <v>-25.690799999999999</v>
      </c>
      <c r="J3783">
        <v>150.29499999999999</v>
      </c>
    </row>
    <row r="3784" spans="1:11" x14ac:dyDescent="0.25">
      <c r="A3784" t="str">
        <f>HYPERLINK("http://www.corstruth.com.au/Qld/62122_Lighthouse_Gully_LGP002_cs.png","62122_Lighthouse Gully_LGP002_A4")</f>
        <v>62122_Lighthouse Gully_LGP002_A4</v>
      </c>
      <c r="D3784">
        <v>62122</v>
      </c>
      <c r="E3784" t="s">
        <v>2193</v>
      </c>
      <c r="I3784">
        <v>-25.692499999999999</v>
      </c>
      <c r="J3784">
        <v>150.298</v>
      </c>
      <c r="K3784" t="str">
        <f>HYPERLINK("http://geology.information.qld.gov.au/NVCLDataServices/mosaic.html?datasetid=0a1be7b9-1a8a-4950-9e58-6d951497ccd","62122_Lighthouse Gully_LGP002_Core Image")</f>
        <v>62122_Lighthouse Gully_LGP002_Core Image</v>
      </c>
    </row>
    <row r="3785" spans="1:11" x14ac:dyDescent="0.25">
      <c r="A3785" t="str">
        <f>HYPERLINK("http://www.corstruth.com.au/Qld/62123_Lighthouse_Gully_LGP003_cs.png","62123_Lighthouse Gully LGP003_A4")</f>
        <v>62123_Lighthouse Gully LGP003_A4</v>
      </c>
      <c r="D3785">
        <v>62123</v>
      </c>
      <c r="E3785" t="s">
        <v>2193</v>
      </c>
      <c r="I3785">
        <v>-25.694600000000001</v>
      </c>
      <c r="J3785">
        <v>150.30099999999999</v>
      </c>
      <c r="K3785" t="str">
        <f>HYPERLINK("http://geology.information.qld.gov.au/NVCLDataServices/mosaic.html?datasetid=NONE","62123_Lighthouse Gully LGP003_Core Image")</f>
        <v>62123_Lighthouse Gully LGP003_Core Image</v>
      </c>
    </row>
    <row r="3786" spans="1:11" x14ac:dyDescent="0.25">
      <c r="A3786" t="str">
        <f>HYPERLINK("http://www.corstruth.com.au/Qld/62124_Lighthouse_Gully_LGP004_cs.png","62124_Lighthouse Gully LGP004_A4")</f>
        <v>62124_Lighthouse Gully LGP004_A4</v>
      </c>
      <c r="D3786">
        <v>62124</v>
      </c>
      <c r="E3786" t="s">
        <v>2193</v>
      </c>
      <c r="I3786">
        <v>-25.71</v>
      </c>
      <c r="J3786">
        <v>150.29300000000001</v>
      </c>
      <c r="K3786" t="str">
        <f>HYPERLINK("http://geology.information.qld.gov.au/NVCLDataServices/mosaic.html?datasetid=NONE","62124_Lighthouse Gully LGP004_Core Image")</f>
        <v>62124_Lighthouse Gully LGP004_Core Image</v>
      </c>
    </row>
    <row r="3787" spans="1:11" x14ac:dyDescent="0.25">
      <c r="A3787" t="str">
        <f>HYPERLINK("http://www.corstruth.com.au/Qld/62175_BlackMountain_BMDD08_026_cs.png","62175_BlackMountain_BMDD08_026_A4")</f>
        <v>62175_BlackMountain_BMDD08_026_A4</v>
      </c>
      <c r="D3787">
        <v>62175</v>
      </c>
      <c r="E3787" t="s">
        <v>2193</v>
      </c>
      <c r="I3787">
        <v>-19.852900000000002</v>
      </c>
      <c r="J3787">
        <v>146.90299999999999</v>
      </c>
      <c r="K3787" t="str">
        <f>HYPERLINK("http://geology.information.qld.gov.au/NVCLDataServices/mosaic.html?datasetid=NONE","62175_BlackMountain_BMDD08_026_Core Image")</f>
        <v>62175_BlackMountain_BMDD08_026_Core Image</v>
      </c>
    </row>
    <row r="3788" spans="1:11" x14ac:dyDescent="0.25">
      <c r="A3788" t="str">
        <f>HYPERLINK("http://www.corstruth.com.au/Qld/62176_BlackMountain_BMDD08_029_cs.png","62176_BlackMountain_BMDD08_029_A4")</f>
        <v>62176_BlackMountain_BMDD08_029_A4</v>
      </c>
      <c r="D3788">
        <v>62176</v>
      </c>
      <c r="E3788" t="s">
        <v>2193</v>
      </c>
      <c r="I3788">
        <v>-19.853000000000002</v>
      </c>
      <c r="J3788">
        <v>146.90299999999999</v>
      </c>
      <c r="K3788" t="str">
        <f>HYPERLINK("http://geology.information.qld.gov.au/NVCLDataServices/mosaic.html?datasetid=54ef5e33-dcd8-4fb3-a7e3-b9cd33c7878","62176_BlackMountain_BMDD08_029_Core Image")</f>
        <v>62176_BlackMountain_BMDD08_029_Core Image</v>
      </c>
    </row>
    <row r="3789" spans="1:11" x14ac:dyDescent="0.25">
      <c r="A3789" t="str">
        <f>HYPERLINK("http://www.corstruth.com.au/Qld/62177_BlackMountain_BMDD08_030_cs.png","62177_BlackMountain_BMDD08_030_A4")</f>
        <v>62177_BlackMountain_BMDD08_030_A4</v>
      </c>
      <c r="D3789">
        <v>62177</v>
      </c>
      <c r="E3789" t="s">
        <v>2193</v>
      </c>
      <c r="I3789">
        <v>-19.853899999999999</v>
      </c>
      <c r="J3789">
        <v>146.90299999999999</v>
      </c>
      <c r="K3789" t="str">
        <f>HYPERLINK("http://geology.information.qld.gov.au/NVCLDataServices/mosaic.html?datasetid=NONE","62177_BlackMountain_BMDD08_030_Core Image")</f>
        <v>62177_BlackMountain_BMDD08_030_Core Image</v>
      </c>
    </row>
    <row r="3790" spans="1:11" x14ac:dyDescent="0.25">
      <c r="A3790" t="str">
        <f>HYPERLINK("http://www.corstruth.com.au/Qld/62178_BlackMountain_BMDD08_031_cs.png","62178_BlackMountain_BMDD08_031_A4")</f>
        <v>62178_BlackMountain_BMDD08_031_A4</v>
      </c>
      <c r="D3790">
        <v>62178</v>
      </c>
      <c r="E3790" t="s">
        <v>2193</v>
      </c>
      <c r="I3790">
        <v>-19.853899999999999</v>
      </c>
      <c r="J3790">
        <v>146.904</v>
      </c>
      <c r="K3790" t="str">
        <f>HYPERLINK("http://geology.information.qld.gov.au/NVCLDataServices/mosaic.html?datasetid=NONE","62178_BlackMountain_BMDD08_031_Core Image")</f>
        <v>62178_BlackMountain_BMDD08_031_Core Image</v>
      </c>
    </row>
    <row r="3791" spans="1:11" x14ac:dyDescent="0.25">
      <c r="A3791" t="str">
        <f>HYPERLINK("http://www.corstruth.com.au/Qld/62197_Paranui10_cs.png","62197_Paranui10_A4")</f>
        <v>62197_Paranui10_A4</v>
      </c>
      <c r="B3791" t="str">
        <f>HYPERLINK("http://www.corstruth.com.au/Qld/PNG2/62197_Paranui10_cs.png","62197_Paranui10_0.25m Bins")</f>
        <v>62197_Paranui10_0.25m Bins</v>
      </c>
      <c r="C3791" t="str">
        <f>HYPERLINK("http://www.corstruth.com.au/Qld/CSV/62197_Paranui10.csv","62197_Paranui10_CSV File 1m Bins")</f>
        <v>62197_Paranui10_CSV File 1m Bins</v>
      </c>
      <c r="D3791">
        <v>62197</v>
      </c>
      <c r="E3791" t="s">
        <v>2193</v>
      </c>
      <c r="I3791">
        <v>-24.675699999999999</v>
      </c>
      <c r="J3791">
        <v>149.94800000000001</v>
      </c>
      <c r="K3791" t="str">
        <f>HYPERLINK("http://geology.information.qld.gov.au/NVCLDataServices/mosaic.html?datasetid=c9cb95df-2218-4d22-b100-93eda5bb95a","62197_Paranui10_Core Image")</f>
        <v>62197_Paranui10_Core Image</v>
      </c>
    </row>
    <row r="3792" spans="1:11" x14ac:dyDescent="0.25">
      <c r="A3792" t="str">
        <f>HYPERLINK("http://www.corstruth.com.au/Qld/62503_GluepotCreek1_cs.png","62503_GluepotCreek1_A4")</f>
        <v>62503_GluepotCreek1_A4</v>
      </c>
      <c r="D3792">
        <v>62503</v>
      </c>
      <c r="E3792" t="s">
        <v>2193</v>
      </c>
      <c r="I3792">
        <v>-22.801300000000001</v>
      </c>
      <c r="J3792">
        <v>145.94900000000001</v>
      </c>
      <c r="K3792" t="str">
        <f>HYPERLINK("http://geology.information.qld.gov.au/NVCLDataServices/mosaic.html?datasetid=NONE","62503_GluepotCreek1_Core Image")</f>
        <v>62503_GluepotCreek1_Core Image</v>
      </c>
    </row>
    <row r="3793" spans="1:11" x14ac:dyDescent="0.25">
      <c r="A3793" t="str">
        <f>HYPERLINK("http://www.corstruth.com.au/Qld/62519_Zerogen10_cs.png","62519_Zerogen10_A4")</f>
        <v>62519_Zerogen10_A4</v>
      </c>
      <c r="B3793" t="str">
        <f>HYPERLINK("http://www.corstruth.com.au/Qld/PNG2/62519_Zerogen10_cs.png","62519_Zerogen10_0.25m Bins")</f>
        <v>62519_Zerogen10_0.25m Bins</v>
      </c>
      <c r="C3793" t="str">
        <f>HYPERLINK("http://www.corstruth.com.au/Qld/CSV/62519_Zerogen10.csv","62519_Zerogen10_CSV File 1m Bins")</f>
        <v>62519_Zerogen10_CSV File 1m Bins</v>
      </c>
      <c r="D3793">
        <v>62519</v>
      </c>
      <c r="E3793" t="s">
        <v>2193</v>
      </c>
      <c r="I3793">
        <v>-23.5565</v>
      </c>
      <c r="J3793">
        <v>148.26599999999999</v>
      </c>
      <c r="K3793" t="str">
        <f>HYPERLINK("http://geology.information.qld.gov.au/NVCLDataServices/mosaic.html?datasetid=NONE","62519_Zerogen10_Core Image")</f>
        <v>62519_Zerogen10_Core Image</v>
      </c>
    </row>
    <row r="3794" spans="1:11" x14ac:dyDescent="0.25">
      <c r="A3794" t="str">
        <f>HYPERLINK("http://www.corstruth.com.au/Qld/62834_Jordan_3_cs.png","62834_Jordan 3_A4")</f>
        <v>62834_Jordan 3_A4</v>
      </c>
      <c r="D3794">
        <v>62834</v>
      </c>
      <c r="E3794" t="s">
        <v>2193</v>
      </c>
      <c r="I3794">
        <v>-27.155100000000001</v>
      </c>
      <c r="J3794">
        <v>150.73599999999999</v>
      </c>
      <c r="K3794" t="str">
        <f>HYPERLINK("http://geology.information.qld.gov.au/NVCLDataServices/mosaic.html?datasetid=b205104b-79b8-45bd-9c23-cf248027501","62834_Jordan 3_Core Image")</f>
        <v>62834_Jordan 3_Core Image</v>
      </c>
    </row>
    <row r="3795" spans="1:11" x14ac:dyDescent="0.25">
      <c r="A3795" t="str">
        <f>HYPERLINK("http://www.corstruth.com.au/Qld/62916_Gympie_Goldfield_G135_cs.png","62916_Gympie Goldfield G135_A4")</f>
        <v>62916_Gympie Goldfield G135_A4</v>
      </c>
      <c r="B3795" t="str">
        <f>HYPERLINK("http://www.corstruth.com.au/Qld/PNG2/62916_Gympie_Goldfield_G135_cs.png","62916_Gympie Goldfield G135_0.25m Bins")</f>
        <v>62916_Gympie Goldfield G135_0.25m Bins</v>
      </c>
      <c r="C3795" t="str">
        <f>HYPERLINK("http://www.corstruth.com.au/Qld/CSV/62916_Gympie_Goldfield_G135.csv","62916_Gympie Goldfield G135_CSV File 1m Bins")</f>
        <v>62916_Gympie Goldfield G135_CSV File 1m Bins</v>
      </c>
      <c r="D3795">
        <v>62916</v>
      </c>
      <c r="E3795" t="s">
        <v>2193</v>
      </c>
      <c r="I3795">
        <v>-26.211300000000001</v>
      </c>
      <c r="J3795">
        <v>152.68100000000001</v>
      </c>
      <c r="K3795" t="str">
        <f>HYPERLINK("http://geology.information.qld.gov.au/NVCLDataServices/mosaic.html?datasetid=45fe266c-bf11-4d47-8ae3-5c3e63ff725","62916_Gympie Goldfield G135_Core Image")</f>
        <v>62916_Gympie Goldfield G135_Core Image</v>
      </c>
    </row>
    <row r="3796" spans="1:11" x14ac:dyDescent="0.25">
      <c r="A3796" t="str">
        <f>HYPERLINK("http://www.corstruth.com.au/Qld/62917_Gympie_Goldfield_G135W1_cs.png","62917_Gympie Goldfield G135W1_A4")</f>
        <v>62917_Gympie Goldfield G135W1_A4</v>
      </c>
      <c r="B3796" t="str">
        <f>HYPERLINK("http://www.corstruth.com.au/Qld/PNG2/62917_Gympie_Goldfield_G135W1_cs.png","62917_Gympie Goldfield G135W1_0.25m Bins")</f>
        <v>62917_Gympie Goldfield G135W1_0.25m Bins</v>
      </c>
      <c r="C3796" t="str">
        <f>HYPERLINK("http://www.corstruth.com.au/Qld/CSV/62917_Gympie_Goldfield_G135W1.csv","62917_Gympie Goldfield G135W1_CSV File 1m Bins")</f>
        <v>62917_Gympie Goldfield G135W1_CSV File 1m Bins</v>
      </c>
      <c r="D3796">
        <v>62917</v>
      </c>
      <c r="E3796" t="s">
        <v>2193</v>
      </c>
      <c r="I3796">
        <v>-26.211300000000001</v>
      </c>
      <c r="J3796">
        <v>152.68100000000001</v>
      </c>
      <c r="K3796" t="str">
        <f>HYPERLINK("http://geology.information.qld.gov.au/NVCLDataServices/mosaic.html?datasetid=5ec892bf-4e41-450d-975a-b029a1d5b43","62917_Gympie Goldfield G135W1_Core Image")</f>
        <v>62917_Gympie Goldfield G135W1_Core Image</v>
      </c>
    </row>
    <row r="3797" spans="1:11" x14ac:dyDescent="0.25">
      <c r="A3797" t="str">
        <f>HYPERLINK("http://www.corstruth.com.au/Qld/62919_Gympie_Goldfield_G224_cs.png","62919_Gympie Goldfield G224_A4")</f>
        <v>62919_Gympie Goldfield G224_A4</v>
      </c>
      <c r="B3797" t="str">
        <f>HYPERLINK("http://www.corstruth.com.au/Qld/PNG2/62919_Gympie_Goldfield_G224_cs.png","62919_Gympie Goldfield G224_0.25m Bins")</f>
        <v>62919_Gympie Goldfield G224_0.25m Bins</v>
      </c>
      <c r="C3797" t="str">
        <f>HYPERLINK("http://www.corstruth.com.au/Qld/CSV/62919_Gympie_Goldfield_G224.csv","62919_Gympie Goldfield G224_CSV File 1m Bins")</f>
        <v>62919_Gympie Goldfield G224_CSV File 1m Bins</v>
      </c>
      <c r="D3797">
        <v>62919</v>
      </c>
      <c r="E3797" t="s">
        <v>2193</v>
      </c>
      <c r="I3797">
        <v>-26.229399999999998</v>
      </c>
      <c r="J3797">
        <v>152.69499999999999</v>
      </c>
      <c r="K3797" t="str">
        <f>HYPERLINK("http://geology.information.qld.gov.au/NVCLDataServices/mosaic.html?datasetid=f7b31e0d-2b5a-4d5a-a77f-f94cc006fd3","62919_Gympie Goldfield G224_Core Image")</f>
        <v>62919_Gympie Goldfield G224_Core Image</v>
      </c>
    </row>
    <row r="3798" spans="1:11" x14ac:dyDescent="0.25">
      <c r="A3798" t="str">
        <f>HYPERLINK("http://www.corstruth.com.au/Qld/62920_Gympie_Goldfield_G227_cs.png","62920_Gympie Goldfield G227_A4")</f>
        <v>62920_Gympie Goldfield G227_A4</v>
      </c>
      <c r="B3798" t="str">
        <f>HYPERLINK("http://www.corstruth.com.au/Qld/PNG2/62920_Gympie_Goldfield_G227_cs.png","62920_Gympie Goldfield G227_0.25m Bins")</f>
        <v>62920_Gympie Goldfield G227_0.25m Bins</v>
      </c>
      <c r="C3798" t="str">
        <f>HYPERLINK("http://www.corstruth.com.au/Qld/CSV/62920_Gympie_Goldfield_G227.csv","62920_Gympie Goldfield G227_CSV File 1m Bins")</f>
        <v>62920_Gympie Goldfield G227_CSV File 1m Bins</v>
      </c>
      <c r="D3798">
        <v>62920</v>
      </c>
      <c r="E3798" t="s">
        <v>2193</v>
      </c>
      <c r="I3798">
        <v>-26.2301</v>
      </c>
      <c r="J3798">
        <v>152.69900000000001</v>
      </c>
      <c r="K3798" t="str">
        <f>HYPERLINK("http://geology.information.qld.gov.au/NVCLDataServices/mosaic.html?datasetid=c9aece04-b645-4352-b8b8-95a7b362df1","62920_Gympie Goldfield G227_Core Image")</f>
        <v>62920_Gympie Goldfield G227_Core Image</v>
      </c>
    </row>
    <row r="3799" spans="1:11" x14ac:dyDescent="0.25">
      <c r="A3799" t="str">
        <f>HYPERLINK("http://www.corstruth.com.au/Qld/62922_Gympie_Goldfield_G023_cs.png","62922_Gympie Goldfield G023_A4")</f>
        <v>62922_Gympie Goldfield G023_A4</v>
      </c>
      <c r="B3799" t="str">
        <f>HYPERLINK("http://www.corstruth.com.au/Qld/PNG2/62922_Gympie_Goldfield_G023_cs.png","62922_Gympie Goldfield G023_0.25m Bins")</f>
        <v>62922_Gympie Goldfield G023_0.25m Bins</v>
      </c>
      <c r="C3799" t="str">
        <f>HYPERLINK("http://www.corstruth.com.au/Qld/CSV/62922_Gympie_Goldfield_G023.csv","62922_Gympie Goldfield G023_CSV File 1m Bins")</f>
        <v>62922_Gympie Goldfield G023_CSV File 1m Bins</v>
      </c>
      <c r="D3799">
        <v>62922</v>
      </c>
      <c r="E3799" t="s">
        <v>2193</v>
      </c>
      <c r="I3799">
        <v>-26.211099999999998</v>
      </c>
      <c r="J3799">
        <v>152.68100000000001</v>
      </c>
      <c r="K3799" t="str">
        <f>HYPERLINK("http://geology.information.qld.gov.au/NVCLDataServices/mosaic.html?datasetid=52b0bddc-b230-4146-89a6-af85817cda5","62922_Gympie Goldfield G023_Core Image")</f>
        <v>62922_Gympie Goldfield G023_Core Image</v>
      </c>
    </row>
    <row r="3800" spans="1:11" x14ac:dyDescent="0.25">
      <c r="A3800" t="str">
        <f>HYPERLINK("http://www.corstruth.com.au/Qld/62996_Meelebee5_cs.png","62996_Meelebee5_A4")</f>
        <v>62996_Meelebee5_A4</v>
      </c>
      <c r="D3800">
        <v>62996</v>
      </c>
      <c r="E3800" t="s">
        <v>2193</v>
      </c>
      <c r="I3800">
        <v>-26.241800000000001</v>
      </c>
      <c r="J3800">
        <v>149.197</v>
      </c>
      <c r="K3800" t="str">
        <f>HYPERLINK("http://geology.information.qld.gov.au/NVCLDataServices/mosaic.html?datasetid=NONE","62996_Meelebee5_Core Image")</f>
        <v>62996_Meelebee5_Core Image</v>
      </c>
    </row>
    <row r="3801" spans="1:11" x14ac:dyDescent="0.25">
      <c r="A3801" t="str">
        <f>HYPERLINK("http://www.corstruth.com.au/Qld/63143_Gympie_Goldfield_G141_cs.png","63143_Gympie Goldfield G141_A4")</f>
        <v>63143_Gympie Goldfield G141_A4</v>
      </c>
      <c r="B3801" t="str">
        <f>HYPERLINK("http://www.corstruth.com.au/Qld/PNG2/63143_Gympie_Goldfield_G141_cs.png","63143_Gympie Goldfield G141_0.25m Bins")</f>
        <v>63143_Gympie Goldfield G141_0.25m Bins</v>
      </c>
      <c r="C3801" t="str">
        <f>HYPERLINK("http://www.corstruth.com.au/Qld/CSV/63143_Gympie_Goldfield_G141.csv","63143_Gympie Goldfield G141_CSV File 1m Bins")</f>
        <v>63143_Gympie Goldfield G141_CSV File 1m Bins</v>
      </c>
      <c r="D3801">
        <v>63143</v>
      </c>
      <c r="E3801" t="s">
        <v>2193</v>
      </c>
      <c r="I3801">
        <v>-26.221399999999999</v>
      </c>
      <c r="J3801">
        <v>152.678</v>
      </c>
      <c r="K3801" t="str">
        <f>HYPERLINK("http://geology.information.qld.gov.au/NVCLDataServices/mosaic.html?datasetid=0c79a98c-ce8b-4aa6-8f3d-2c942ebc4ef","63143_Gympie Goldfield G141_Core Image")</f>
        <v>63143_Gympie Goldfield G141_Core Image</v>
      </c>
    </row>
    <row r="3802" spans="1:11" x14ac:dyDescent="0.25">
      <c r="A3802" t="str">
        <f>HYPERLINK("http://www.corstruth.com.au/Qld/63144_Gympie_Goldfield_G162_cs.png","63144_Gympie Goldfield G162_A4")</f>
        <v>63144_Gympie Goldfield G162_A4</v>
      </c>
      <c r="B3802" t="str">
        <f>HYPERLINK("http://www.corstruth.com.au/Qld/PNG2/63144_Gympie_Goldfield_G162_cs.png","63144_Gympie Goldfield G162_0.25m Bins")</f>
        <v>63144_Gympie Goldfield G162_0.25m Bins</v>
      </c>
      <c r="C3802" t="str">
        <f>HYPERLINK("http://www.corstruth.com.au/Qld/CSV/63144_Gympie_Goldfield_G162.csv","63144_Gympie Goldfield G162_CSV File 1m Bins")</f>
        <v>63144_Gympie Goldfield G162_CSV File 1m Bins</v>
      </c>
      <c r="D3802">
        <v>63144</v>
      </c>
      <c r="E3802" t="s">
        <v>2193</v>
      </c>
      <c r="I3802">
        <v>-26.2211</v>
      </c>
      <c r="J3802">
        <v>152.678</v>
      </c>
      <c r="K3802" t="str">
        <f>HYPERLINK("http://geology.information.qld.gov.au/NVCLDataServices/mosaic.html?datasetid=dd5d45d2-0b51-4545-aa97-d0c49bed746","63144_Gympie Goldfield G162_Core Image")</f>
        <v>63144_Gympie Goldfield G162_Core Image</v>
      </c>
    </row>
    <row r="3803" spans="1:11" x14ac:dyDescent="0.25">
      <c r="A3803" t="str">
        <f>HYPERLINK("http://www.corstruth.com.au/Qld/63145_Gympie_Goldfield_G215_cs.png","63145_Gympie Goldfield G215_A4")</f>
        <v>63145_Gympie Goldfield G215_A4</v>
      </c>
      <c r="B3803" t="str">
        <f>HYPERLINK("http://www.corstruth.com.au/Qld/PNG2/63145_Gympie_Goldfield_G215_cs.png","63145_Gympie Goldfield G215_0.25m Bins")</f>
        <v>63145_Gympie Goldfield G215_0.25m Bins</v>
      </c>
      <c r="C3803" t="str">
        <f>HYPERLINK("http://www.corstruth.com.au/Qld/CSV/63145_Gympie_Goldfield_G215.csv","63145_Gympie Goldfield G215_CSV File 1m Bins")</f>
        <v>63145_Gympie Goldfield G215_CSV File 1m Bins</v>
      </c>
      <c r="D3803">
        <v>63145</v>
      </c>
      <c r="E3803" t="s">
        <v>2193</v>
      </c>
      <c r="I3803">
        <v>-26.2074</v>
      </c>
      <c r="J3803">
        <v>152.673</v>
      </c>
      <c r="K3803" t="str">
        <f>HYPERLINK("http://geology.information.qld.gov.au/NVCLDataServices/mosaic.html?datasetid=40cde4ba-1afd-47c7-b8bd-820a1efe5ee","63145_Gympie Goldfield G215_Core Image")</f>
        <v>63145_Gympie Goldfield G215_Core Image</v>
      </c>
    </row>
    <row r="3804" spans="1:11" x14ac:dyDescent="0.25">
      <c r="A3804" t="str">
        <f>HYPERLINK("http://www.corstruth.com.au/Qld/63515_Saxby_SXDD005_cs.png","63515_Saxby_SXDD005_A4")</f>
        <v>63515_Saxby_SXDD005_A4</v>
      </c>
      <c r="B3804" t="str">
        <f>HYPERLINK("http://www.corstruth.com.au/Qld/PNG2/63515_Saxby_SXDD005_cs.png","63515_Saxby_SXDD005_0.25m Bins")</f>
        <v>63515_Saxby_SXDD005_0.25m Bins</v>
      </c>
      <c r="C3804" t="str">
        <f>HYPERLINK("http://www.corstruth.com.au/Qld/CSV/63515_Saxby_SXDD005.csv","63515_Saxby_SXDD005_CSV File 1m Bins")</f>
        <v>63515_Saxby_SXDD005_CSV File 1m Bins</v>
      </c>
      <c r="D3804">
        <v>63515</v>
      </c>
      <c r="E3804" t="s">
        <v>2193</v>
      </c>
      <c r="I3804">
        <v>-19.297899999999998</v>
      </c>
      <c r="J3804">
        <v>140.88800000000001</v>
      </c>
      <c r="K3804" t="str">
        <f>HYPERLINK("http://geology.information.qld.gov.au/NVCLDataServices/mosaic.html?datasetid=NONE","63515_Saxby_SXDD005_Core Image")</f>
        <v>63515_Saxby_SXDD005_Core Image</v>
      </c>
    </row>
    <row r="3805" spans="1:11" x14ac:dyDescent="0.25">
      <c r="A3805" t="str">
        <f>HYPERLINK("http://www.corstruth.com.au/Qld/63517_LakeMachattie_LMDD001_cs.png","63517_LakeMachattie_LMDD001_A4")</f>
        <v>63517_LakeMachattie_LMDD001_A4</v>
      </c>
      <c r="B3805" t="str">
        <f>HYPERLINK("http://www.corstruth.com.au/Qld/PNG2/63517_LakeMachattie_LMDD001_cs.png","63517_LakeMachattie_LMDD001_0.25m Bins")</f>
        <v>63517_LakeMachattie_LMDD001_0.25m Bins</v>
      </c>
      <c r="C3805" t="str">
        <f>HYPERLINK("http://www.corstruth.com.au/Qld/CSV/63517_LakeMachattie_LMDD001.csv","63517_LakeMachattie_LMDD001_CSV File 1m Bins")</f>
        <v>63517_LakeMachattie_LMDD001_CSV File 1m Bins</v>
      </c>
      <c r="D3805">
        <v>63517</v>
      </c>
      <c r="E3805" t="s">
        <v>2193</v>
      </c>
      <c r="I3805">
        <v>-24.912700000000001</v>
      </c>
      <c r="J3805">
        <v>139.73400000000001</v>
      </c>
      <c r="K3805" t="str">
        <f>HYPERLINK("http://geology.information.qld.gov.au/NVCLDataServices/mosaic.html?datasetid=c84f7ce4-6cde-4dd5-84a2-9e89257b395","63517_LakeMachattie_LMDD001_Core Image")</f>
        <v>63517_LakeMachattie_LMDD001_Core Image</v>
      </c>
    </row>
    <row r="3806" spans="1:11" x14ac:dyDescent="0.25">
      <c r="A3806" t="str">
        <f>HYPERLINK("http://www.corstruth.com.au/Qld/63517_Machattie1_cs.png","63517_Machattie1_A4")</f>
        <v>63517_Machattie1_A4</v>
      </c>
      <c r="B3806" t="str">
        <f>HYPERLINK("http://www.corstruth.com.au/Qld/PNG2/63517_Machattie1_cs.png","63517_Machattie1_0.25m Bins")</f>
        <v>63517_Machattie1_0.25m Bins</v>
      </c>
      <c r="C3806" t="str">
        <f>HYPERLINK("http://www.corstruth.com.au/Qld/CSV/63517_Machattie1.csv","63517_Machattie1_CSV File 1m Bins")</f>
        <v>63517_Machattie1_CSV File 1m Bins</v>
      </c>
      <c r="D3806">
        <v>63517</v>
      </c>
      <c r="E3806" t="s">
        <v>2193</v>
      </c>
      <c r="I3806">
        <v>-24.912700000000001</v>
      </c>
      <c r="J3806">
        <v>139.73400000000001</v>
      </c>
      <c r="K3806" t="str">
        <f>HYPERLINK("http://geology.information.qld.gov.au/NVCLDataServices/mosaic.html?datasetid=b5274f1a-2e54-4528-83d4-e3189d9c49b","63517_Machattie1_Core Image")</f>
        <v>63517_Machattie1_Core Image</v>
      </c>
    </row>
    <row r="3807" spans="1:11" x14ac:dyDescent="0.25">
      <c r="A3807" t="str">
        <f>HYPERLINK("http://www.corstruth.com.au/Qld/63518_MulliganMULDDH001_cs.png","63518_MulliganMULDDH001_A4")</f>
        <v>63518_MulliganMULDDH001_A4</v>
      </c>
      <c r="B3807" t="str">
        <f>HYPERLINK("http://www.corstruth.com.au/Qld/PNG2/63518_MulliganMULDDH001_cs.png","63518_MulliganMULDDH001_0.25m Bins")</f>
        <v>63518_MulliganMULDDH001_0.25m Bins</v>
      </c>
      <c r="C3807" t="str">
        <f>HYPERLINK("http://www.corstruth.com.au/Qld/CSV/63518_MulliganMULDDH001.csv","63518_MulliganMULDDH001_CSV File 1m Bins")</f>
        <v>63518_MulliganMULDDH001_CSV File 1m Bins</v>
      </c>
      <c r="D3807">
        <v>63518</v>
      </c>
      <c r="E3807" t="s">
        <v>2193</v>
      </c>
      <c r="I3807">
        <v>-24.901700000000002</v>
      </c>
      <c r="J3807">
        <v>138.55500000000001</v>
      </c>
      <c r="K3807" t="str">
        <f>HYPERLINK("http://geology.information.qld.gov.au/NVCLDataServices/mosaic.html?datasetid=d6f6fab3-027e-4d9d-8dc1-12b5800e611","63518_MulliganMULDDH001_Core Image")</f>
        <v>63518_MulliganMULDDH001_Core Image</v>
      </c>
    </row>
    <row r="3808" spans="1:11" x14ac:dyDescent="0.25">
      <c r="A3808" t="str">
        <f>HYPERLINK("http://www.corstruth.com.au/Qld/63523_Khartoum_BARD07_05_cs.png","63523_Khartoum_BARD07_05_A4")</f>
        <v>63523_Khartoum_BARD07_05_A4</v>
      </c>
      <c r="B3808" t="str">
        <f>HYPERLINK("http://www.corstruth.com.au/Qld/PNG2/63523_Khartoum_BARD07_05_cs.png","63523_Khartoum_BARD07_05_0.25m Bins")</f>
        <v>63523_Khartoum_BARD07_05_0.25m Bins</v>
      </c>
      <c r="C3808" t="str">
        <f>HYPERLINK("http://www.corstruth.com.au/Qld/CSV/63523_Khartoum_BARD07_05.csv","63523_Khartoum_BARD07_05_CSV File 1m Bins")</f>
        <v>63523_Khartoum_BARD07_05_CSV File 1m Bins</v>
      </c>
      <c r="D3808">
        <v>63523</v>
      </c>
      <c r="E3808" t="s">
        <v>2193</v>
      </c>
      <c r="I3808">
        <v>-17.517499999999998</v>
      </c>
      <c r="J3808">
        <v>145.01300000000001</v>
      </c>
    </row>
    <row r="3809" spans="1:11" x14ac:dyDescent="0.25">
      <c r="A3809" t="str">
        <f>HYPERLINK("http://www.corstruth.com.au/Qld/63609_Piccaninny_TRD003_cs.png","63609_Piccaninny_TRD003_A4")</f>
        <v>63609_Piccaninny_TRD003_A4</v>
      </c>
      <c r="B3809" t="str">
        <f>HYPERLINK("http://www.corstruth.com.au/Qld/PNG2/63609_Piccaninny_TRD003_cs.png","63609_Piccaninny_TRD003_0.25m Bins")</f>
        <v>63609_Piccaninny_TRD003_0.25m Bins</v>
      </c>
      <c r="C3809" t="str">
        <f>HYPERLINK("http://www.corstruth.com.au/Qld/CSV/63609_Piccaninny_TRD003.csv","63609_Piccaninny_TRD003_CSV File 1m Bins")</f>
        <v>63609_Piccaninny_TRD003_CSV File 1m Bins</v>
      </c>
      <c r="D3809">
        <v>63609</v>
      </c>
      <c r="E3809" t="s">
        <v>2193</v>
      </c>
      <c r="I3809">
        <v>-17.306000000000001</v>
      </c>
      <c r="J3809">
        <v>143.97499999999999</v>
      </c>
      <c r="K3809" t="str">
        <f>HYPERLINK("http://geology.information.qld.gov.au/NVCLDataServices/mosaic.html?datasetid=df8d90b7-d8b5-4aba-b8cb-8741cdc5987","63609_Piccaninny_TRD003_Core Image")</f>
        <v>63609_Piccaninny_TRD003_Core Image</v>
      </c>
    </row>
    <row r="3810" spans="1:11" x14ac:dyDescent="0.25">
      <c r="A3810" t="str">
        <f>HYPERLINK("http://www.corstruth.com.au/Qld/64146_Mossman2A_cs.png","64146_Mossman2A_A4")</f>
        <v>64146_Mossman2A_A4</v>
      </c>
      <c r="B3810" t="str">
        <f>HYPERLINK("http://www.corstruth.com.au/Qld/PNG2/64146_Mossman2A_cs.png","64146_Mossman2A_0.25m Bins")</f>
        <v>64146_Mossman2A_0.25m Bins</v>
      </c>
      <c r="C3810" t="str">
        <f>HYPERLINK("http://www.corstruth.com.au/Qld/CSV/64146_Mossman2A.csv","64146_Mossman2A_CSV File 1m Bins")</f>
        <v>64146_Mossman2A_CSV File 1m Bins</v>
      </c>
      <c r="D3810">
        <v>64146</v>
      </c>
      <c r="E3810" t="s">
        <v>2193</v>
      </c>
      <c r="I3810">
        <v>-16.521699999999999</v>
      </c>
      <c r="J3810">
        <v>145.03399999999999</v>
      </c>
      <c r="K3810" t="str">
        <f>HYPERLINK("http://geology.information.qld.gov.au/NVCLDataServices/mosaic.html?datasetid=89fb8fe4-a6f5-4b5f-acfc-328623b4335","64146_Mossman2A_Core Image")</f>
        <v>64146_Mossman2A_Core Image</v>
      </c>
    </row>
    <row r="3811" spans="1:11" x14ac:dyDescent="0.25">
      <c r="A3811" t="str">
        <f>HYPERLINK("http://www.corstruth.com.au/Qld/64147_Georgetown8_cs.png","64147_Georgetown8_A4")</f>
        <v>64147_Georgetown8_A4</v>
      </c>
      <c r="B3811" t="str">
        <f>HYPERLINK("http://www.corstruth.com.au/Qld/PNG2/64147_Georgetown8_cs.png","64147_Georgetown8_0.25m Bins")</f>
        <v>64147_Georgetown8_0.25m Bins</v>
      </c>
      <c r="C3811" t="str">
        <f>HYPERLINK("http://www.corstruth.com.au/Qld/CSV/64147_Georgetown8.csv","64147_Georgetown8_CSV File 1m Bins")</f>
        <v>64147_Georgetown8_CSV File 1m Bins</v>
      </c>
      <c r="D3811">
        <v>64147</v>
      </c>
      <c r="E3811" t="s">
        <v>2193</v>
      </c>
      <c r="I3811">
        <v>-18.405100000000001</v>
      </c>
      <c r="J3811">
        <v>143.14099999999999</v>
      </c>
      <c r="K3811" t="str">
        <f>HYPERLINK("http://geology.information.qld.gov.au/NVCLDataServices/mosaic.html?datasetid=2b10426e-e624-4ccb-b670-918f4b46a75","64147_Georgetown8_Core Image")</f>
        <v>64147_Georgetown8_Core Image</v>
      </c>
    </row>
    <row r="3812" spans="1:11" x14ac:dyDescent="0.25">
      <c r="A3812" t="str">
        <f>HYPERLINK("http://www.corstruth.com.au/Qld/64150_StLawrence1_cs.png","64150_StLawrence1_A4")</f>
        <v>64150_StLawrence1_A4</v>
      </c>
      <c r="B3812" t="str">
        <f>HYPERLINK("http://www.corstruth.com.au/Qld/PNG2/64150_StLawrence1_cs.png","64150_StLawrence1_0.25m Bins")</f>
        <v>64150_StLawrence1_0.25m Bins</v>
      </c>
      <c r="C3812" t="str">
        <f>HYPERLINK("http://www.corstruth.com.au/Qld/CSV/64150_StLawrence1.csv","64150_StLawrence1_CSV File 1m Bins")</f>
        <v>64150_StLawrence1_CSV File 1m Bins</v>
      </c>
      <c r="D3812">
        <v>64150</v>
      </c>
      <c r="E3812" t="s">
        <v>2193</v>
      </c>
      <c r="I3812">
        <v>-22.640799999999999</v>
      </c>
      <c r="J3812">
        <v>149.66800000000001</v>
      </c>
      <c r="K3812" t="str">
        <f>HYPERLINK("http://geology.information.qld.gov.au/NVCLDataServices/mosaic.html?datasetid=1b094627-45c6-4714-97d4-9a66dcc3148","64150_StLawrence1_Core Image")</f>
        <v>64150_StLawrence1_Core Image</v>
      </c>
    </row>
    <row r="3813" spans="1:11" x14ac:dyDescent="0.25">
      <c r="A3813" t="str">
        <f>HYPERLINK("http://www.corstruth.com.au/Qld/64152_Maryborough16_cs.png","64152_Maryborough16_A4")</f>
        <v>64152_Maryborough16_A4</v>
      </c>
      <c r="B3813" t="str">
        <f>HYPERLINK("http://www.corstruth.com.au/Qld/PNG2/64152_Maryborough16_cs.png","64152_Maryborough16_0.25m Bins")</f>
        <v>64152_Maryborough16_0.25m Bins</v>
      </c>
      <c r="C3813" t="str">
        <f>HYPERLINK("http://www.corstruth.com.au/Qld/CSV/64152_Maryborough16.csv","64152_Maryborough16_CSV File 1m Bins")</f>
        <v>64152_Maryborough16_CSV File 1m Bins</v>
      </c>
      <c r="D3813">
        <v>64152</v>
      </c>
      <c r="E3813" t="s">
        <v>2193</v>
      </c>
      <c r="I3813">
        <v>-25.845300000000002</v>
      </c>
      <c r="J3813">
        <v>152.44499999999999</v>
      </c>
      <c r="K3813" t="str">
        <f>HYPERLINK("http://geology.information.qld.gov.au/NVCLDataServices/mosaic.html?datasetid=8e55477d-5800-4a38-aba0-4081bbd2118","64152_Maryborough16_Core Image")</f>
        <v>64152_Maryborough16_Core Image</v>
      </c>
    </row>
    <row r="3814" spans="1:11" x14ac:dyDescent="0.25">
      <c r="A3814" t="str">
        <f>HYPERLINK("http://www.corstruth.com.au/Qld/64153_Gympie7_cs.png","64153_Gympie7_A4")</f>
        <v>64153_Gympie7_A4</v>
      </c>
      <c r="B3814" t="str">
        <f>HYPERLINK("http://www.corstruth.com.au/Qld/PNG2/64153_Gympie7_cs.png","64153_Gympie7_0.25m Bins")</f>
        <v>64153_Gympie7_0.25m Bins</v>
      </c>
      <c r="C3814" t="str">
        <f>HYPERLINK("http://www.corstruth.com.au/Qld/CSV/64153_Gympie7.csv","64153_Gympie7_CSV File 1m Bins")</f>
        <v>64153_Gympie7_CSV File 1m Bins</v>
      </c>
      <c r="D3814">
        <v>64153</v>
      </c>
      <c r="E3814" t="s">
        <v>2193</v>
      </c>
      <c r="I3814">
        <v>-26.6919</v>
      </c>
      <c r="J3814">
        <v>151.86600000000001</v>
      </c>
      <c r="K3814" t="str">
        <f>HYPERLINK("http://geology.information.qld.gov.au/NVCLDataServices/mosaic.html?datasetid=fbd0eff6-fbf8-41d0-bcc4-65b1484d501","64153_Gympie7_Core Image")</f>
        <v>64153_Gympie7_Core Image</v>
      </c>
    </row>
    <row r="3815" spans="1:11" x14ac:dyDescent="0.25">
      <c r="A3815" t="str">
        <f>HYPERLINK("http://www.corstruth.com.au/Qld/64154_Dobbyn2_cs.png","64154_Dobbyn2_A4")</f>
        <v>64154_Dobbyn2_A4</v>
      </c>
      <c r="B3815" t="str">
        <f>HYPERLINK("http://www.corstruth.com.au/Qld/PNG2/64154_Dobbyn2_cs.png","64154_Dobbyn2_0.25m Bins")</f>
        <v>64154_Dobbyn2_0.25m Bins</v>
      </c>
      <c r="C3815" t="str">
        <f>HYPERLINK("http://www.corstruth.com.au/Qld/CSV/64154_Dobbyn2.csv","64154_Dobbyn2_CSV File 1m Bins")</f>
        <v>64154_Dobbyn2_CSV File 1m Bins</v>
      </c>
      <c r="D3815">
        <v>64154</v>
      </c>
      <c r="E3815" t="s">
        <v>2193</v>
      </c>
      <c r="I3815">
        <v>-19.9452</v>
      </c>
      <c r="J3815">
        <v>140.88399999999999</v>
      </c>
      <c r="K3815" t="str">
        <f>HYPERLINK("http://geology.information.qld.gov.au/NVCLDataServices/mosaic.html?datasetid=62fd99c0-a722-4c90-9cad-7342e408406","64154_Dobbyn2_Core Image")</f>
        <v>64154_Dobbyn2_Core Image</v>
      </c>
    </row>
    <row r="3816" spans="1:11" x14ac:dyDescent="0.25">
      <c r="A3816" t="str">
        <f>HYPERLINK("http://www.corstruth.com.au/Qld/64155_Longreach2_NotComplete_cs.png","64155_Longreach2_NotComplete_A4")</f>
        <v>64155_Longreach2_NotComplete_A4</v>
      </c>
      <c r="B3816" t="str">
        <f>HYPERLINK("http://www.corstruth.com.au/Qld/PNG2/64155_Longreach2_NotComplete_cs.png","64155_Longreach2_NotComplete_0.25m Bins")</f>
        <v>64155_Longreach2_NotComplete_0.25m Bins</v>
      </c>
      <c r="C3816" t="str">
        <f>HYPERLINK("http://www.corstruth.com.au/Qld/CSV/64155_Longreach2_NotComplete.csv","64155_Longreach2_NotComplete_CSV File 1m Bins")</f>
        <v>64155_Longreach2_NotComplete_CSV File 1m Bins</v>
      </c>
      <c r="D3816">
        <v>64155</v>
      </c>
      <c r="E3816" t="s">
        <v>2193</v>
      </c>
      <c r="I3816">
        <v>-23.352599999999999</v>
      </c>
      <c r="J3816">
        <v>145.232</v>
      </c>
    </row>
    <row r="3817" spans="1:11" x14ac:dyDescent="0.25">
      <c r="A3817" t="str">
        <f>HYPERLINK("http://www.corstruth.com.au/Qld/64156_Roma9_cs.png","64156_Roma9_A4")</f>
        <v>64156_Roma9_A4</v>
      </c>
      <c r="B3817" t="str">
        <f>HYPERLINK("http://www.corstruth.com.au/Qld/PNG2/64156_Roma9_cs.png","64156_Roma9_0.25m Bins")</f>
        <v>64156_Roma9_0.25m Bins</v>
      </c>
      <c r="C3817" t="str">
        <f>HYPERLINK("http://www.corstruth.com.au/Qld/CSV/64156_Roma9.csv","64156_Roma9_CSV File 1m Bins")</f>
        <v>64156_Roma9_CSV File 1m Bins</v>
      </c>
      <c r="D3817">
        <v>64156</v>
      </c>
      <c r="E3817" t="s">
        <v>2193</v>
      </c>
      <c r="I3817">
        <v>-26.3843</v>
      </c>
      <c r="J3817">
        <v>148.97200000000001</v>
      </c>
      <c r="K3817" t="str">
        <f>HYPERLINK("http://geology.information.qld.gov.au/NVCLDataServices/mosaic.html?datasetid=cde6f922-a07d-4b4c-bd9d-93b4abe823a","64156_Roma9_Core Image")</f>
        <v>64156_Roma9_Core Image</v>
      </c>
    </row>
    <row r="3818" spans="1:11" x14ac:dyDescent="0.25">
      <c r="A3818" t="str">
        <f>HYPERLINK("http://www.corstruth.com.au/Qld/64157_JuliaCreek1_cs.png","64157_JuliaCreek1_A4")</f>
        <v>64157_JuliaCreek1_A4</v>
      </c>
      <c r="B3818" t="str">
        <f>HYPERLINK("http://www.corstruth.com.au/Qld/PNG2/64157_JuliaCreek1_cs.png","64157_JuliaCreek1_0.25m Bins")</f>
        <v>64157_JuliaCreek1_0.25m Bins</v>
      </c>
      <c r="C3818" t="str">
        <f>HYPERLINK("http://www.corstruth.com.au/Qld/CSV/64157_JuliaCreek1.csv","64157_JuliaCreek1_CSV File 1m Bins")</f>
        <v>64157_JuliaCreek1_CSV File 1m Bins</v>
      </c>
      <c r="D3818">
        <v>64157</v>
      </c>
      <c r="E3818" t="s">
        <v>2193</v>
      </c>
      <c r="I3818">
        <v>-20.904499999999999</v>
      </c>
      <c r="J3818">
        <v>141.47300000000001</v>
      </c>
      <c r="K3818" t="str">
        <f>HYPERLINK("http://geology.information.qld.gov.au/NVCLDataServices/mosaic.html?datasetid=2df2222d-06a5-493c-b730-cf83adc5339","64157_JuliaCreek1_Core Image")</f>
        <v>64157_JuliaCreek1_Core Image</v>
      </c>
    </row>
    <row r="3819" spans="1:11" x14ac:dyDescent="0.25">
      <c r="A3819" t="str">
        <f>HYPERLINK("http://www.corstruth.com.au/Qld/64172_Duckworth4_cs.png","64172_Duckworth4_A4")</f>
        <v>64172_Duckworth4_A4</v>
      </c>
      <c r="B3819" t="str">
        <f>HYPERLINK("http://www.corstruth.com.au/Qld/PNG2/64172_Duckworth4_cs.png","64172_Duckworth4_0.25m Bins")</f>
        <v>64172_Duckworth4_0.25m Bins</v>
      </c>
      <c r="C3819" t="str">
        <f>HYPERLINK("http://www.corstruth.com.au/Qld/CSV/64172_Duckworth4.csv","64172_Duckworth4_CSV File 1m Bins")</f>
        <v>64172_Duckworth4_CSV File 1m Bins</v>
      </c>
      <c r="D3819">
        <v>64172</v>
      </c>
      <c r="E3819" t="s">
        <v>2193</v>
      </c>
      <c r="I3819">
        <v>-23.582100000000001</v>
      </c>
      <c r="J3819">
        <v>149.11000000000001</v>
      </c>
      <c r="K3819" t="str">
        <f>HYPERLINK("http://geology.information.qld.gov.au/NVCLDataServices/mosaic.html?datasetid=4aa25462-f66e-4347-a649-4d584139159","64172_Duckworth4_Core Image")</f>
        <v>64172_Duckworth4_Core Image</v>
      </c>
    </row>
    <row r="3820" spans="1:11" x14ac:dyDescent="0.25">
      <c r="A3820" t="str">
        <f>HYPERLINK("http://www.corstruth.com.au/Qld/64181_Bowen1_cs.png","64181_Bowen1_A4")</f>
        <v>64181_Bowen1_A4</v>
      </c>
      <c r="B3820" t="str">
        <f>HYPERLINK("http://www.corstruth.com.au/Qld/PNG2/64181_Bowen1_cs.png","64181_Bowen1_0.25m Bins")</f>
        <v>64181_Bowen1_0.25m Bins</v>
      </c>
      <c r="C3820" t="str">
        <f>HYPERLINK("http://www.corstruth.com.au/Qld/CSV/64181_Bowen1.csv","64181_Bowen1_CSV File 1m Bins")</f>
        <v>64181_Bowen1_CSV File 1m Bins</v>
      </c>
      <c r="D3820">
        <v>64181</v>
      </c>
      <c r="E3820" t="s">
        <v>2193</v>
      </c>
      <c r="I3820">
        <v>-20.287299999999998</v>
      </c>
      <c r="J3820">
        <v>148.46600000000001</v>
      </c>
      <c r="K3820" t="str">
        <f>HYPERLINK("http://geology.information.qld.gov.au/NVCLDataServices/mosaic.html?datasetid=aec530c0-264b-45f3-bc27-b91a6768204","64181_Bowen1_Core Image")</f>
        <v>64181_Bowen1_Core Image</v>
      </c>
    </row>
    <row r="3821" spans="1:11" x14ac:dyDescent="0.25">
      <c r="A3821" t="str">
        <f>HYPERLINK("http://www.corstruth.com.au/Qld/64281_CometDowns1_cs.png","64281_CometDowns1_A4")</f>
        <v>64281_CometDowns1_A4</v>
      </c>
      <c r="B3821" t="str">
        <f>HYPERLINK("http://www.corstruth.com.au/Qld/PNG2/64281_CometDowns1_cs.png","64281_CometDowns1_0.25m Bins")</f>
        <v>64281_CometDowns1_0.25m Bins</v>
      </c>
      <c r="C3821" t="str">
        <f>HYPERLINK("http://www.corstruth.com.au/Qld/CSV/64281_CometDowns1.csv","64281_CometDowns1_CSV File 1m Bins")</f>
        <v>64281_CometDowns1_CSV File 1m Bins</v>
      </c>
      <c r="D3821">
        <v>64281</v>
      </c>
      <c r="E3821" t="s">
        <v>2193</v>
      </c>
      <c r="I3821">
        <v>-23.871600000000001</v>
      </c>
      <c r="J3821">
        <v>148.44200000000001</v>
      </c>
      <c r="K3821" t="str">
        <f>HYPERLINK("http://geology.information.qld.gov.au/NVCLDataServices/mosaic.html?datasetid=d6f6fab3-027e-4d9d-8dc1-12b5800e611","64281_CometDowns1_Core Image")</f>
        <v>64281_CometDowns1_Core Image</v>
      </c>
    </row>
    <row r="3822" spans="1:11" x14ac:dyDescent="0.25">
      <c r="A3822" t="str">
        <f>HYPERLINK("http://www.corstruth.com.au/Qld/64320_Dingonose7_cs.png","64320_Dingonose7_A4")</f>
        <v>64320_Dingonose7_A4</v>
      </c>
      <c r="B3822" t="str">
        <f>HYPERLINK("http://www.corstruth.com.au/Qld/PNG2/64320_Dingonose7_cs.png","64320_Dingonose7_0.25m Bins")</f>
        <v>64320_Dingonose7_0.25m Bins</v>
      </c>
      <c r="C3822" t="str">
        <f>HYPERLINK("http://www.corstruth.com.au/Qld/CSV/64320_Dingonose7.csv","64320_Dingonose7_CSV File 1m Bins")</f>
        <v>64320_Dingonose7_CSV File 1m Bins</v>
      </c>
      <c r="D3822">
        <v>64320</v>
      </c>
      <c r="E3822" t="s">
        <v>2193</v>
      </c>
      <c r="I3822">
        <v>-23.6066</v>
      </c>
      <c r="J3822">
        <v>149.19399999999999</v>
      </c>
      <c r="K3822" t="str">
        <f>HYPERLINK("http://geology.information.qld.gov.au/NVCLDataServices/mosaic.html?datasetid=60d5b72b-1339-45d2-9be2-019b49aa45c","64320_Dingonose7_Core Image")</f>
        <v>64320_Dingonose7_Core Image</v>
      </c>
    </row>
    <row r="3823" spans="1:11" x14ac:dyDescent="0.25">
      <c r="A3823" t="str">
        <f>HYPERLINK("http://www.corstruth.com.au/Qld/64391_Tipton153_cs.png","64391_Tipton153_A4")</f>
        <v>64391_Tipton153_A4</v>
      </c>
      <c r="B3823" t="str">
        <f>HYPERLINK("http://www.corstruth.com.au/Qld/PNG2/64391_Tipton153_cs.png","64391_Tipton153_0.25m Bins")</f>
        <v>64391_Tipton153_0.25m Bins</v>
      </c>
      <c r="C3823" t="str">
        <f>HYPERLINK("http://www.corstruth.com.au/Qld/CSV/64391_Tipton153.csv","64391_Tipton153_CSV File 1m Bins")</f>
        <v>64391_Tipton153_CSV File 1m Bins</v>
      </c>
      <c r="D3823">
        <v>64391</v>
      </c>
      <c r="E3823" t="s">
        <v>2193</v>
      </c>
      <c r="I3823">
        <v>-27.358699999999999</v>
      </c>
      <c r="J3823">
        <v>151.15299999999999</v>
      </c>
      <c r="K3823" t="str">
        <f>HYPERLINK("http://geology.information.qld.gov.au/NVCLDataServices/mosaic.html?datasetid=1d08bb03-e607-4351-82d9-47cedabfb27","64391_Tipton153_Core Image")</f>
        <v>64391_Tipton153_Core Image</v>
      </c>
    </row>
    <row r="3824" spans="1:11" x14ac:dyDescent="0.25">
      <c r="A3824" t="str">
        <f>HYPERLINK("http://www.corstruth.com.au/Qld/64450_Duckworth11_cs.png","64450_Duckworth11_A4")</f>
        <v>64450_Duckworth11_A4</v>
      </c>
      <c r="B3824" t="str">
        <f>HYPERLINK("http://www.corstruth.com.au/Qld/PNG2/64450_Duckworth11_cs.png","64450_Duckworth11_0.25m Bins")</f>
        <v>64450_Duckworth11_0.25m Bins</v>
      </c>
      <c r="C3824" t="str">
        <f>HYPERLINK("http://www.corstruth.com.au/Qld/CSV/64450_Duckworth11.csv","64450_Duckworth11_CSV File 1m Bins")</f>
        <v>64450_Duckworth11_CSV File 1m Bins</v>
      </c>
      <c r="D3824">
        <v>64450</v>
      </c>
      <c r="E3824" t="s">
        <v>2193</v>
      </c>
      <c r="I3824">
        <v>-23.508400000000002</v>
      </c>
      <c r="J3824">
        <v>149.06</v>
      </c>
      <c r="K3824" t="str">
        <f>HYPERLINK("http://geology.information.qld.gov.au/NVCLDataServices/mosaic.html?datasetid=0106ed1e-0064-4f2b-b81c-6fb52ed6552","64450_Duckworth11_Core Image")</f>
        <v>64450_Duckworth11_Core Image</v>
      </c>
    </row>
    <row r="3825" spans="1:11" x14ac:dyDescent="0.25">
      <c r="A3825" t="str">
        <f>HYPERLINK("http://www.corstruth.com.au/Qld/64468_Foxleigh4_cs.png","64468_Foxleigh4_A4")</f>
        <v>64468_Foxleigh4_A4</v>
      </c>
      <c r="B3825" t="str">
        <f>HYPERLINK("http://www.corstruth.com.au/Qld/PNG2/64468_Foxleigh4_cs.png","64468_Foxleigh4_0.25m Bins")</f>
        <v>64468_Foxleigh4_0.25m Bins</v>
      </c>
      <c r="C3825" t="str">
        <f>HYPERLINK("http://www.corstruth.com.au/Qld/CSV/64468_Foxleigh4.csv","64468_Foxleigh4_CSV File 1m Bins")</f>
        <v>64468_Foxleigh4_CSV File 1m Bins</v>
      </c>
      <c r="D3825">
        <v>64468</v>
      </c>
      <c r="E3825" t="s">
        <v>2193</v>
      </c>
      <c r="I3825">
        <v>-22.808499999999999</v>
      </c>
      <c r="J3825">
        <v>148.73400000000001</v>
      </c>
      <c r="K3825" t="str">
        <f>HYPERLINK("http://geology.information.qld.gov.au/NVCLDataServices/mosaic.html?datasetid=c2c2b0f1-1952-4127-9091-2f569a15736","64468_Foxleigh4_Core Image")</f>
        <v>64468_Foxleigh4_Core Image</v>
      </c>
    </row>
    <row r="3826" spans="1:11" x14ac:dyDescent="0.25">
      <c r="A3826" t="str">
        <f>HYPERLINK("http://www.corstruth.com.au/Qld/64606_Bessies1_cs.png","64606_Bessies1_A4")</f>
        <v>64606_Bessies1_A4</v>
      </c>
      <c r="B3826" t="str">
        <f>HYPERLINK("http://www.corstruth.com.au/Qld/PNG2/64606_Bessies1_cs.png","64606_Bessies1_0.25m Bins")</f>
        <v>64606_Bessies1_0.25m Bins</v>
      </c>
      <c r="C3826" t="str">
        <f>HYPERLINK("http://www.corstruth.com.au/Qld/CSV/64606_Bessies1.csv","64606_Bessies1_CSV File 1m Bins")</f>
        <v>64606_Bessies1_CSV File 1m Bins</v>
      </c>
      <c r="D3826">
        <v>64606</v>
      </c>
      <c r="E3826" t="s">
        <v>2193</v>
      </c>
      <c r="I3826">
        <v>-23.396899999999999</v>
      </c>
      <c r="J3826">
        <v>143.22399999999999</v>
      </c>
      <c r="K3826" t="str">
        <f>HYPERLINK("http://geology.information.qld.gov.au/NVCLDataServices/mosaic.html?datasetid=9b1b470d-cf45-475d-b2f4-15d9f6353b0","64606_Bessies1_Core Image")</f>
        <v>64606_Bessies1_Core Image</v>
      </c>
    </row>
    <row r="3827" spans="1:11" x14ac:dyDescent="0.25">
      <c r="A3827" t="str">
        <f>HYPERLINK("http://www.corstruth.com.au/Qld/64643_Moa1_cs.png","64643_Moa1_A4")</f>
        <v>64643_Moa1_A4</v>
      </c>
      <c r="B3827" t="str">
        <f>HYPERLINK("http://www.corstruth.com.au/Qld/PNG2/64643_Moa1_cs.png","64643_Moa1_0.25m Bins")</f>
        <v>64643_Moa1_0.25m Bins</v>
      </c>
      <c r="C3827" t="str">
        <f>HYPERLINK("http://www.corstruth.com.au/Qld/CSV/64643_Moa1.csv","64643_Moa1_CSV File 1m Bins")</f>
        <v>64643_Moa1_CSV File 1m Bins</v>
      </c>
      <c r="D3827">
        <v>64643</v>
      </c>
      <c r="E3827" t="s">
        <v>2193</v>
      </c>
      <c r="I3827">
        <v>-25.315200000000001</v>
      </c>
      <c r="J3827">
        <v>149.83000000000001</v>
      </c>
      <c r="K3827" t="str">
        <f>HYPERLINK("http://geology.information.qld.gov.au/NVCLDataServices/mosaic.html?datasetid=7d618253-29f5-4998-b374-fa3bce4e081","64643_Moa1_Core Image")</f>
        <v>64643_Moa1_Core Image</v>
      </c>
    </row>
    <row r="3828" spans="1:11" x14ac:dyDescent="0.25">
      <c r="A3828" t="str">
        <f>HYPERLINK("http://www.corstruth.com.au/Qld/64643_Moa1A_cs.png","64643_Moa1A_A4")</f>
        <v>64643_Moa1A_A4</v>
      </c>
      <c r="B3828" t="str">
        <f>HYPERLINK("http://www.corstruth.com.au/Qld/PNG2/64643_Moa1A_cs.png","64643_Moa1A_0.25m Bins")</f>
        <v>64643_Moa1A_0.25m Bins</v>
      </c>
      <c r="C3828" t="str">
        <f>HYPERLINK("http://www.corstruth.com.au/Qld/CSV/64643_Moa1A.csv","64643_Moa1A_CSV File 1m Bins")</f>
        <v>64643_Moa1A_CSV File 1m Bins</v>
      </c>
      <c r="D3828">
        <v>64643</v>
      </c>
      <c r="E3828" t="s">
        <v>2193</v>
      </c>
      <c r="I3828">
        <v>-25.315200000000001</v>
      </c>
      <c r="J3828">
        <v>149.83000000000001</v>
      </c>
      <c r="K3828" t="str">
        <f>HYPERLINK("http://geology.information.qld.gov.au/NVCLDataServices/mosaic.html?datasetid=63a67a65-b785-4b34-9440-f75d844f78b","64643_Moa1A_Core Image")</f>
        <v>64643_Moa1A_Core Image</v>
      </c>
    </row>
    <row r="3829" spans="1:11" x14ac:dyDescent="0.25">
      <c r="A3829" t="str">
        <f>HYPERLINK("http://www.corstruth.com.au/Qld/64800_Dingonose14_cs.png","64800_Dingonose14_A4")</f>
        <v>64800_Dingonose14_A4</v>
      </c>
      <c r="B3829" t="str">
        <f>HYPERLINK("http://www.corstruth.com.au/Qld/PNG2/64800_Dingonose14_cs.png","64800_Dingonose14_0.25m Bins")</f>
        <v>64800_Dingonose14_0.25m Bins</v>
      </c>
      <c r="C3829" t="str">
        <f>HYPERLINK("http://www.corstruth.com.au/Qld/CSV/64800_Dingonose14.csv","64800_Dingonose14_CSV File 1m Bins")</f>
        <v>64800_Dingonose14_CSV File 1m Bins</v>
      </c>
      <c r="D3829">
        <v>64800</v>
      </c>
      <c r="E3829" t="s">
        <v>2193</v>
      </c>
      <c r="I3829">
        <v>-23.661300000000001</v>
      </c>
      <c r="J3829">
        <v>149.15899999999999</v>
      </c>
      <c r="K3829" t="str">
        <f>HYPERLINK("http://geology.information.qld.gov.au/NVCLDataServices/mosaic.html?datasetid=7d618253-29f5-4998-b374-fa3bce4e081","64800_Dingonose14_Core Image")</f>
        <v>64800_Dingonose14_Core Image</v>
      </c>
    </row>
    <row r="3830" spans="1:11" x14ac:dyDescent="0.25">
      <c r="A3830" t="str">
        <f>HYPERLINK("http://www.corstruth.com.au/Qld/64844_Daydream1_cs.png","64844_Daydream1_A4")</f>
        <v>64844_Daydream1_A4</v>
      </c>
      <c r="B3830" t="str">
        <f>HYPERLINK("http://www.corstruth.com.au/Qld/PNG2/64844_Daydream1_cs.png","64844_Daydream1_0.25m Bins")</f>
        <v>64844_Daydream1_0.25m Bins</v>
      </c>
      <c r="C3830" t="str">
        <f>HYPERLINK("http://www.corstruth.com.au/Qld/CSV/64844_Daydream1.csv","64844_Daydream1_CSV File 1m Bins")</f>
        <v>64844_Daydream1_CSV File 1m Bins</v>
      </c>
      <c r="D3830">
        <v>64844</v>
      </c>
      <c r="E3830" t="s">
        <v>2193</v>
      </c>
      <c r="I3830">
        <v>-27.149000000000001</v>
      </c>
      <c r="J3830">
        <v>149.643</v>
      </c>
      <c r="K3830" t="str">
        <f>HYPERLINK("http://geology.information.qld.gov.au/NVCLDataServices/mosaic.html?datasetid=bb28acd5-cddf-40f2-949e-cb280e76085","64844_Daydream1_Core Image")</f>
        <v>64844_Daydream1_Core Image</v>
      </c>
    </row>
    <row r="3831" spans="1:11" x14ac:dyDescent="0.25">
      <c r="A3831" t="str">
        <f>HYPERLINK("http://www.corstruth.com.au/Qld/65019_Fuggles1_cs.png","65019_Fuggles1_A4")</f>
        <v>65019_Fuggles1_A4</v>
      </c>
      <c r="B3831" t="str">
        <f>HYPERLINK("http://www.corstruth.com.au/Qld/PNG2/65019_Fuggles1_cs.png","65019_Fuggles1_0.25m Bins")</f>
        <v>65019_Fuggles1_0.25m Bins</v>
      </c>
      <c r="C3831" t="str">
        <f>HYPERLINK("http://www.corstruth.com.au/Qld/CSV/65019_Fuggles1.csv","65019_Fuggles1_CSV File 1m Bins")</f>
        <v>65019_Fuggles1_CSV File 1m Bins</v>
      </c>
      <c r="D3831">
        <v>65019</v>
      </c>
      <c r="E3831" t="s">
        <v>2193</v>
      </c>
      <c r="I3831">
        <v>-25.547599999999999</v>
      </c>
      <c r="J3831">
        <v>150.15799999999999</v>
      </c>
      <c r="K3831" t="str">
        <f>HYPERLINK("http://geology.information.qld.gov.au/NVCLDataServices/mosaic.html?datasetid=effccb31-e520-4662-b10a-9d073483478","65019_Fuggles1_Core Image")</f>
        <v>65019_Fuggles1_Core Image</v>
      </c>
    </row>
    <row r="3832" spans="1:11" x14ac:dyDescent="0.25">
      <c r="A3832" t="str">
        <f>HYPERLINK("http://www.corstruth.com.au/Qld/65439_Fantome1_Core9B_cs.png","65439_Fantome1 Core9B_A4")</f>
        <v>65439_Fantome1 Core9B_A4</v>
      </c>
      <c r="B3832" t="str">
        <f>HYPERLINK("http://www.corstruth.com.au/Qld/PNG2/65439_Fantome1_Core9B_cs.png","65439_Fantome1 Core9B_0.25m Bins")</f>
        <v>65439_Fantome1 Core9B_0.25m Bins</v>
      </c>
      <c r="C3832" t="str">
        <f>HYPERLINK("http://www.corstruth.com.au/Qld/CSV/65439_Fantome1_Core9B.csv","65439_Fantome1 Core9B_CSV File 1m Bins")</f>
        <v>65439_Fantome1 Core9B_CSV File 1m Bins</v>
      </c>
      <c r="D3832">
        <v>65439</v>
      </c>
      <c r="E3832" t="s">
        <v>2193</v>
      </c>
      <c r="I3832">
        <v>-26.898299999999999</v>
      </c>
      <c r="J3832">
        <v>149.88999999999999</v>
      </c>
      <c r="K3832" t="str">
        <f>HYPERLINK("http://geology.information.qld.gov.au/NVCLDataServices/mosaic.html?datasetid=ca2d93d2-bf8a-4fc0-a375-066e2e86381","65439_Fantome1 Core9B_Core Image")</f>
        <v>65439_Fantome1 Core9B_Core Image</v>
      </c>
    </row>
    <row r="3833" spans="1:11" x14ac:dyDescent="0.25">
      <c r="A3833" t="str">
        <f>HYPERLINK("http://www.corstruth.com.au/Qld/65439_Fantome1Core_9A_cs.png","65439_Fantome1Core 9A_A4")</f>
        <v>65439_Fantome1Core 9A_A4</v>
      </c>
      <c r="B3833" t="str">
        <f>HYPERLINK("http://www.corstruth.com.au/Qld/PNG2/65439_Fantome1Core_9A_cs.png","65439_Fantome1Core 9A_0.25m Bins")</f>
        <v>65439_Fantome1Core 9A_0.25m Bins</v>
      </c>
      <c r="C3833" t="str">
        <f>HYPERLINK("http://www.corstruth.com.au/Qld/CSV/65439_Fantome1Core_9A.csv","65439_Fantome1Core 9A_CSV File 1m Bins")</f>
        <v>65439_Fantome1Core 9A_CSV File 1m Bins</v>
      </c>
      <c r="D3833">
        <v>65439</v>
      </c>
      <c r="E3833" t="s">
        <v>2193</v>
      </c>
      <c r="I3833">
        <v>-26.898299999999999</v>
      </c>
      <c r="J3833">
        <v>149.88999999999999</v>
      </c>
      <c r="K3833" t="str">
        <f>HYPERLINK("http://geology.information.qld.gov.au/NVCLDataServices/mosaic.html?datasetid=7b164af2-581b-4147-a1d6-de18e41964a","65439_Fantome1Core 9A_Core Image")</f>
        <v>65439_Fantome1Core 9A_Core Image</v>
      </c>
    </row>
    <row r="3834" spans="1:11" x14ac:dyDescent="0.25">
      <c r="A3834" t="str">
        <f>HYPERLINK("http://www.corstruth.com.au/Qld/65507_Baralaba5C_cs.png","65507_Baralaba5C_A4")</f>
        <v>65507_Baralaba5C_A4</v>
      </c>
      <c r="B3834" t="str">
        <f>HYPERLINK("http://www.corstruth.com.au/Qld/PNG2/65507_Baralaba5C_cs.png","65507_Baralaba5C_0.25m Bins")</f>
        <v>65507_Baralaba5C_0.25m Bins</v>
      </c>
      <c r="C3834" t="str">
        <f>HYPERLINK("http://www.corstruth.com.au/Qld/CSV/65507_Baralaba5C.csv","65507_Baralaba5C_CSV File 1m Bins")</f>
        <v>65507_Baralaba5C_CSV File 1m Bins</v>
      </c>
      <c r="D3834">
        <v>65507</v>
      </c>
      <c r="E3834" t="s">
        <v>2193</v>
      </c>
      <c r="I3834">
        <v>-24.099</v>
      </c>
      <c r="J3834">
        <v>149.773</v>
      </c>
      <c r="K3834" t="str">
        <f>HYPERLINK("http://geology.information.qld.gov.au/NVCLDataServices/mosaic.html?datasetid=eecc7f03-545a-475d-b15e-d0fc94a76a3","65507_Baralaba5C_Core Image")</f>
        <v>65507_Baralaba5C_Core Image</v>
      </c>
    </row>
    <row r="3835" spans="1:11" x14ac:dyDescent="0.25">
      <c r="A3835" t="str">
        <f>HYPERLINK("http://www.corstruth.com.au/Qld/65678_Woleebee_Creek_GW4_cs.png","65678_Woleebee Creek GW4_A4")</f>
        <v>65678_Woleebee Creek GW4_A4</v>
      </c>
      <c r="B3835" t="str">
        <f>HYPERLINK("http://www.corstruth.com.au/Qld/PNG2/65678_Woleebee_Creek_GW4_cs.png","65678_Woleebee Creek GW4_0.25m Bins")</f>
        <v>65678_Woleebee Creek GW4_0.25m Bins</v>
      </c>
      <c r="C3835" t="str">
        <f>HYPERLINK("http://www.corstruth.com.au/Qld/CSV/65678_Woleebee_Creek_GW4.csv","65678_Woleebee Creek GW4_CSV File 1m Bins")</f>
        <v>65678_Woleebee Creek GW4_CSV File 1m Bins</v>
      </c>
      <c r="D3835">
        <v>65678</v>
      </c>
      <c r="E3835" t="s">
        <v>2193</v>
      </c>
      <c r="I3835">
        <v>-26.282</v>
      </c>
      <c r="J3835">
        <v>149.714</v>
      </c>
      <c r="K3835" t="str">
        <f>HYPERLINK("http://geology.information.qld.gov.au/NVCLDataServices/mosaic.html?datasetid=3de29980-cf51-4555-a6f0-34e31f544ec","65678_Woleebee Creek GW4_Core Image")</f>
        <v>65678_Woleebee Creek GW4_Core Image</v>
      </c>
    </row>
    <row r="3836" spans="1:11" x14ac:dyDescent="0.25">
      <c r="A3836" t="str">
        <f>HYPERLINK("http://www.corstruth.com.au/Qld/65810_Tasmania1_cs.png","65810_Tasmania1_A4")</f>
        <v>65810_Tasmania1_A4</v>
      </c>
      <c r="B3836" t="str">
        <f>HYPERLINK("http://www.corstruth.com.au/Qld/PNG2/65810_Tasmania1_cs.png","65810_Tasmania1_0.25m Bins")</f>
        <v>65810_Tasmania1_0.25m Bins</v>
      </c>
      <c r="C3836" t="str">
        <f>HYPERLINK("http://www.corstruth.com.au/Qld/CSV/65810_Tasmania1.csv","65810_Tasmania1_CSV File 1m Bins")</f>
        <v>65810_Tasmania1_CSV File 1m Bins</v>
      </c>
      <c r="D3836">
        <v>65810</v>
      </c>
      <c r="E3836" t="s">
        <v>2193</v>
      </c>
      <c r="I3836">
        <v>-27.2364</v>
      </c>
      <c r="J3836">
        <v>150.05799999999999</v>
      </c>
      <c r="K3836" t="str">
        <f>HYPERLINK("http://geology.information.qld.gov.au/NVCLDataServices/mosaic.html?datasetid=7b164af2-581b-4147-a1d6-de18e41964a","65810_Tasmania1_Core Image")</f>
        <v>65810_Tasmania1_Core Image</v>
      </c>
    </row>
    <row r="3837" spans="1:11" x14ac:dyDescent="0.25">
      <c r="A3837" t="str">
        <f>HYPERLINK("http://www.corstruth.com.au/Qld/65825_Mary_Kathleen_242_cs.png","65825_Mary Kathleen 242_A4")</f>
        <v>65825_Mary Kathleen 242_A4</v>
      </c>
      <c r="B3837" t="str">
        <f>HYPERLINK("http://www.corstruth.com.au/Qld/PNG2/65825_Mary_Kathleen_242_cs.png","65825_Mary Kathleen 242_0.25m Bins")</f>
        <v>65825_Mary Kathleen 242_0.25m Bins</v>
      </c>
      <c r="C3837" t="str">
        <f>HYPERLINK("http://www.corstruth.com.au/Qld/CSV/65825_Mary_Kathleen_242.csv","65825_Mary Kathleen 242_CSV File 1m Bins")</f>
        <v>65825_Mary Kathleen 242_CSV File 1m Bins</v>
      </c>
      <c r="D3837">
        <v>65825</v>
      </c>
      <c r="E3837" t="s">
        <v>2193</v>
      </c>
      <c r="I3837">
        <v>-20.746300000000002</v>
      </c>
      <c r="J3837">
        <v>140.011</v>
      </c>
      <c r="K3837" t="str">
        <f>HYPERLINK("http://geology.information.qld.gov.au/NVCLDataServices/mosaic.html?datasetid=3256e164-3d67-4ece-a426-d8571551826","65825_Mary Kathleen 242_Core Image")</f>
        <v>65825_Mary Kathleen 242_Core Image</v>
      </c>
    </row>
    <row r="3838" spans="1:11" x14ac:dyDescent="0.25">
      <c r="A3838" t="str">
        <f>HYPERLINK("http://www.corstruth.com.au/Qld/65826_Mary_Kathleen_259_cs.png","65826_Mary Kathleen 259_A4")</f>
        <v>65826_Mary Kathleen 259_A4</v>
      </c>
      <c r="B3838" t="str">
        <f>HYPERLINK("http://www.corstruth.com.au/Qld/PNG2/65826_Mary_Kathleen_259_cs.png","65826_Mary Kathleen 259_0.25m Bins")</f>
        <v>65826_Mary Kathleen 259_0.25m Bins</v>
      </c>
      <c r="C3838" t="str">
        <f>HYPERLINK("http://www.corstruth.com.au/Qld/CSV/65826_Mary_Kathleen_259.csv","65826_Mary Kathleen 259_CSV File 1m Bins")</f>
        <v>65826_Mary Kathleen 259_CSV File 1m Bins</v>
      </c>
      <c r="D3838">
        <v>65826</v>
      </c>
      <c r="E3838" t="s">
        <v>2193</v>
      </c>
      <c r="I3838">
        <v>-20.746300000000002</v>
      </c>
      <c r="J3838">
        <v>140.012</v>
      </c>
      <c r="K3838" t="str">
        <f>HYPERLINK("http://geology.information.qld.gov.au/NVCLDataServices/mosaic.html?datasetid=50659696-5f8d-45d7-aae6-7209afcd1bc","65826_Mary Kathleen 259_Core Image")</f>
        <v>65826_Mary Kathleen 259_Core Image</v>
      </c>
    </row>
    <row r="3839" spans="1:11" x14ac:dyDescent="0.25">
      <c r="A3839" t="str">
        <f>HYPERLINK("http://www.corstruth.com.au/Qld/65864_Mary_Kathleen_261_cs.png","65864_Mary Kathleen 261_A4")</f>
        <v>65864_Mary Kathleen 261_A4</v>
      </c>
      <c r="B3839" t="str">
        <f>HYPERLINK("http://www.corstruth.com.au/Qld/PNG2/65864_Mary_Kathleen_261_cs.png","65864_Mary Kathleen 261_0.25m Bins")</f>
        <v>65864_Mary Kathleen 261_0.25m Bins</v>
      </c>
      <c r="C3839" t="str">
        <f>HYPERLINK("http://www.corstruth.com.au/Qld/CSV/65864_Mary_Kathleen_261.csv","65864_Mary Kathleen 261_CSV File 1m Bins")</f>
        <v>65864_Mary Kathleen 261_CSV File 1m Bins</v>
      </c>
      <c r="D3839">
        <v>65864</v>
      </c>
      <c r="E3839" t="s">
        <v>2193</v>
      </c>
      <c r="I3839">
        <v>-20.751200000000001</v>
      </c>
      <c r="J3839">
        <v>140.012</v>
      </c>
      <c r="K3839" t="str">
        <f>HYPERLINK("http://geology.information.qld.gov.au/NVCLDataServices/mosaic.html?datasetid=305a6a5c-f610-49e8-8f80-94209b18e1e","65864_Mary Kathleen 261_Core Image")</f>
        <v>65864_Mary Kathleen 261_Core Image</v>
      </c>
    </row>
    <row r="3840" spans="1:11" x14ac:dyDescent="0.25">
      <c r="A3840" t="str">
        <f>HYPERLINK("http://www.corstruth.com.au/Qld/66254_KenyaEastGW7_cs.png","66254_KenyaEastGW7_A4")</f>
        <v>66254_KenyaEastGW7_A4</v>
      </c>
      <c r="B3840" t="str">
        <f>HYPERLINK("http://www.corstruth.com.au/Qld/PNG2/66254_KenyaEastGW7_cs.png","66254_KenyaEastGW7_0.25m Bins")</f>
        <v>66254_KenyaEastGW7_0.25m Bins</v>
      </c>
      <c r="C3840" t="str">
        <f>HYPERLINK("http://www.corstruth.com.au/Qld/CSV/66254_KenyaEastGW7.csv","66254_KenyaEastGW7_CSV File 1m Bins")</f>
        <v>66254_KenyaEastGW7_CSV File 1m Bins</v>
      </c>
      <c r="D3840">
        <v>66254</v>
      </c>
      <c r="E3840" t="s">
        <v>2193</v>
      </c>
      <c r="I3840">
        <v>-27.029199999999999</v>
      </c>
      <c r="J3840">
        <v>150.57400000000001</v>
      </c>
      <c r="K3840" t="str">
        <f>HYPERLINK("http://geology.information.qld.gov.au/NVCLDataServices/mosaic.html?datasetid=c81c1c49-9990-4b40-a63f-5685e5ffb6a","66254_KenyaEastGW7_Core Image")</f>
        <v>66254_KenyaEastGW7_Core Image</v>
      </c>
    </row>
    <row r="3841" spans="1:11" x14ac:dyDescent="0.25">
      <c r="A3841" t="str">
        <f>HYPERLINK("http://www.corstruth.com.au/Qld/66409_Summit1_cs.png","66409_Summit1_A4")</f>
        <v>66409_Summit1_A4</v>
      </c>
      <c r="B3841" t="str">
        <f>HYPERLINK("http://www.corstruth.com.au/Qld/PNG2/66409_Summit1_cs.png","66409_Summit1_0.25m Bins")</f>
        <v>66409_Summit1_0.25m Bins</v>
      </c>
      <c r="C3841" t="str">
        <f>HYPERLINK("http://www.corstruth.com.au/Qld/CSV/66409_Summit1.csv","66409_Summit1_CSV File 1m Bins")</f>
        <v>66409_Summit1_CSV File 1m Bins</v>
      </c>
      <c r="D3841">
        <v>66409</v>
      </c>
      <c r="E3841" t="s">
        <v>2193</v>
      </c>
      <c r="I3841">
        <v>-23.630199999999999</v>
      </c>
      <c r="J3841">
        <v>149.30199999999999</v>
      </c>
      <c r="K3841" t="str">
        <f>HYPERLINK("http://geology.information.qld.gov.au/NVCLDataServices/mosaic.html?datasetid=60976450-5604-440b-a2ac-7689d76c204","66409_Summit1_Core Image")</f>
        <v>66409_Summit1_Core Image</v>
      </c>
    </row>
    <row r="3842" spans="1:11" x14ac:dyDescent="0.25">
      <c r="A3842" t="str">
        <f>HYPERLINK("http://www.corstruth.com.au/Qld/66410_Summit2_cs.png","66410_Summit2_A4")</f>
        <v>66410_Summit2_A4</v>
      </c>
      <c r="B3842" t="str">
        <f>HYPERLINK("http://www.corstruth.com.au/Qld/PNG2/66410_Summit2_cs.png","66410_Summit2_0.25m Bins")</f>
        <v>66410_Summit2_0.25m Bins</v>
      </c>
      <c r="C3842" t="str">
        <f>HYPERLINK("http://www.corstruth.com.au/Qld/CSV/66410_Summit2.csv","66410_Summit2_CSV File 1m Bins")</f>
        <v>66410_Summit2_CSV File 1m Bins</v>
      </c>
      <c r="D3842">
        <v>66410</v>
      </c>
      <c r="E3842" t="s">
        <v>2193</v>
      </c>
      <c r="I3842">
        <v>-23.661100000000001</v>
      </c>
      <c r="J3842">
        <v>149.33099999999999</v>
      </c>
      <c r="K3842" t="str">
        <f>HYPERLINK("http://geology.information.qld.gov.au/NVCLDataServices/mosaic.html?datasetid=c00584ee-5793-4e15-9091-c96287bfef8","66410_Summit2_Core Image")</f>
        <v>66410_Summit2_Core Image</v>
      </c>
    </row>
    <row r="3843" spans="1:11" x14ac:dyDescent="0.25">
      <c r="A3843" t="str">
        <f>HYPERLINK("http://www.corstruth.com.au/Qld/66411_Summit3_cs.png","66411_Summit3_A4")</f>
        <v>66411_Summit3_A4</v>
      </c>
      <c r="B3843" t="str">
        <f>HYPERLINK("http://www.corstruth.com.au/Qld/PNG2/66411_Summit3_cs.png","66411_Summit3_0.25m Bins")</f>
        <v>66411_Summit3_0.25m Bins</v>
      </c>
      <c r="C3843" t="str">
        <f>HYPERLINK("http://www.corstruth.com.au/Qld/CSV/66411_Summit3.csv","66411_Summit3_CSV File 1m Bins")</f>
        <v>66411_Summit3_CSV File 1m Bins</v>
      </c>
      <c r="D3843">
        <v>66411</v>
      </c>
      <c r="E3843" t="s">
        <v>2193</v>
      </c>
      <c r="I3843">
        <v>-23.6585</v>
      </c>
      <c r="J3843">
        <v>149.38300000000001</v>
      </c>
      <c r="K3843" t="str">
        <f>HYPERLINK("http://geology.information.qld.gov.au/NVCLDataServices/mosaic.html?datasetid=37b25d87-460f-4f2f-a531-ae82d75bc3c","66411_Summit3_Core Image")</f>
        <v>66411_Summit3_Core Image</v>
      </c>
    </row>
    <row r="3844" spans="1:11" x14ac:dyDescent="0.25">
      <c r="A3844" t="str">
        <f>HYPERLINK("http://www.corstruth.com.au/Qld/66455_Sean18M_cs.png","66455_Sean18M_A4")</f>
        <v>66455_Sean18M_A4</v>
      </c>
      <c r="B3844" t="str">
        <f>HYPERLINK("http://www.corstruth.com.au/Qld/PNG2/66455_Sean18M_cs.png","66455_Sean18M_0.25m Bins")</f>
        <v>66455_Sean18M_0.25m Bins</v>
      </c>
      <c r="C3844" t="str">
        <f>HYPERLINK("http://www.corstruth.com.au/Qld/CSV/66455_Sean18M.csv","66455_Sean18M_CSV File 1m Bins")</f>
        <v>66455_Sean18M_CSV File 1m Bins</v>
      </c>
      <c r="D3844">
        <v>66455</v>
      </c>
      <c r="E3844" t="s">
        <v>2193</v>
      </c>
      <c r="I3844">
        <v>-27.166799999999999</v>
      </c>
      <c r="J3844">
        <v>150.80799999999999</v>
      </c>
      <c r="K3844" t="str">
        <f>HYPERLINK("http://geology.information.qld.gov.au/NVCLDataServices/mosaic.html?datasetid=8c8bec58-f3e8-4691-b6e3-79c998ac6a8","66455_Sean18M_Core Image")</f>
        <v>66455_Sean18M_Core Image</v>
      </c>
    </row>
    <row r="3845" spans="1:11" x14ac:dyDescent="0.25">
      <c r="A3845" t="str">
        <f>HYPERLINK("http://www.corstruth.com.au/Qld/664_OrientosNorth1_cs.png","664_OrientosNorth1_A4")</f>
        <v>664_OrientosNorth1_A4</v>
      </c>
      <c r="B3845" t="str">
        <f>HYPERLINK("http://www.corstruth.com.au/Qld/PNG2/664_OrientosNorth1_cs.png","664_OrientosNorth1_0.25m Bins")</f>
        <v>664_OrientosNorth1_0.25m Bins</v>
      </c>
      <c r="C3845" t="str">
        <f>HYPERLINK("http://www.corstruth.com.au/Qld/CSV/664_OrientosNorth1.csv","664_OrientosNorth1_CSV File 1m Bins")</f>
        <v>664_OrientosNorth1_CSV File 1m Bins</v>
      </c>
      <c r="D3845">
        <v>664</v>
      </c>
      <c r="E3845" t="s">
        <v>2193</v>
      </c>
      <c r="I3845">
        <v>-28.005600000000001</v>
      </c>
      <c r="J3845">
        <v>141.43100000000001</v>
      </c>
      <c r="K3845" t="str">
        <f>HYPERLINK("http://geology.information.qld.gov.au/NVCLDataServices/mosaic.html?datasetid=69df892b-44fd-4a0c-a004-b86c641daba","664_OrientosNorth1_Core Image")</f>
        <v>664_OrientosNorth1_Core Image</v>
      </c>
    </row>
    <row r="3846" spans="1:11" x14ac:dyDescent="0.25">
      <c r="A3846" t="str">
        <f>HYPERLINK("http://www.corstruth.com.au/Qld/67275_Koppany_KOPD001_cs.png","67275_Koppany_KOPD001_A4")</f>
        <v>67275_Koppany_KOPD001_A4</v>
      </c>
      <c r="B3846" t="str">
        <f>HYPERLINK("http://www.corstruth.com.au/Qld/PNG2/67275_Koppany_KOPD001_cs.png","67275_Koppany_KOPD001_0.25m Bins")</f>
        <v>67275_Koppany_KOPD001_0.25m Bins</v>
      </c>
      <c r="C3846" t="str">
        <f>HYPERLINK("http://www.corstruth.com.au/Qld/CSV/67275_Koppany_KOPD001.csv","67275_Koppany_KOPD001_CSV File 1m Bins")</f>
        <v>67275_Koppany_KOPD001_CSV File 1m Bins</v>
      </c>
      <c r="D3846">
        <v>67275</v>
      </c>
      <c r="E3846" t="s">
        <v>2193</v>
      </c>
      <c r="I3846">
        <v>-20.762799999999999</v>
      </c>
      <c r="J3846">
        <v>140.023</v>
      </c>
    </row>
    <row r="3847" spans="1:11" x14ac:dyDescent="0.25">
      <c r="A3847" t="str">
        <f>HYPERLINK("http://www.corstruth.com.au/Qld/67279_Koppany_KOPD005_cs.png","67279_Koppany_KOPD005_A4")</f>
        <v>67279_Koppany_KOPD005_A4</v>
      </c>
      <c r="B3847" t="str">
        <f>HYPERLINK("http://www.corstruth.com.au/Qld/PNG2/67279_Koppany_KOPD005_cs.png","67279_Koppany_KOPD005_0.25m Bins")</f>
        <v>67279_Koppany_KOPD005_0.25m Bins</v>
      </c>
      <c r="C3847" t="str">
        <f>HYPERLINK("http://www.corstruth.com.au/Qld/CSV/67279_Koppany_KOPD005.csv","67279_Koppany_KOPD005_CSV File 1m Bins")</f>
        <v>67279_Koppany_KOPD005_CSV File 1m Bins</v>
      </c>
      <c r="D3847">
        <v>67279</v>
      </c>
      <c r="E3847" t="s">
        <v>2193</v>
      </c>
      <c r="I3847">
        <v>-20.7592</v>
      </c>
      <c r="J3847">
        <v>140.02000000000001</v>
      </c>
    </row>
    <row r="3848" spans="1:11" x14ac:dyDescent="0.25">
      <c r="A3848" t="str">
        <f>HYPERLINK("http://www.corstruth.com.au/Qld/67283_Koppany_KOPD009_cs.png","67283_Koppany_KOPD009_A4")</f>
        <v>67283_Koppany_KOPD009_A4</v>
      </c>
      <c r="B3848" t="str">
        <f>HYPERLINK("http://www.corstruth.com.au/Qld/PNG2/67283_Koppany_KOPD009_cs.png","67283_Koppany_KOPD009_0.25m Bins")</f>
        <v>67283_Koppany_KOPD009_0.25m Bins</v>
      </c>
      <c r="C3848" t="str">
        <f>HYPERLINK("http://www.corstruth.com.au/Qld/CSV/67283_Koppany_KOPD009.csv","67283_Koppany_KOPD009_CSV File 1m Bins")</f>
        <v>67283_Koppany_KOPD009_CSV File 1m Bins</v>
      </c>
      <c r="D3848">
        <v>67283</v>
      </c>
      <c r="E3848" t="s">
        <v>2193</v>
      </c>
      <c r="I3848">
        <v>-20.723600000000001</v>
      </c>
      <c r="J3848">
        <v>140.01900000000001</v>
      </c>
    </row>
    <row r="3849" spans="1:11" x14ac:dyDescent="0.25">
      <c r="A3849" t="str">
        <f>HYPERLINK("http://www.corstruth.com.au/Qld/67289_Gregory_Two_Project_-_Augustus2_AUGDD01_cs.png","67289_Gregory Two Project - Augustus2 AUGDD01_A4")</f>
        <v>67289_Gregory Two Project - Augustus2 AUGDD01_A4</v>
      </c>
      <c r="B3849" t="str">
        <f>HYPERLINK("http://www.corstruth.com.au/Qld/PNG2/67289_Gregory_Two_Project_-_Augustus2_AUGDD01_cs.png","67289_Gregory Two Project - Augustus2 AUGDD01_0.25m Bins")</f>
        <v>67289_Gregory Two Project - Augustus2 AUGDD01_0.25m Bins</v>
      </c>
      <c r="C3849" t="str">
        <f>HYPERLINK("http://www.corstruth.com.au/Qld/CSV/67289_Gregory_Two_Project_-_Augustus2_AUGDD01.csv","67289_Gregory Two Project - Augustus2 AUGDD01_CSV File 1m Bins")</f>
        <v>67289_Gregory Two Project - Augustus2 AUGDD01_CSV File 1m Bins</v>
      </c>
      <c r="D3849">
        <v>67289</v>
      </c>
      <c r="E3849" t="s">
        <v>2193</v>
      </c>
      <c r="I3849">
        <v>-18.569700000000001</v>
      </c>
      <c r="J3849">
        <v>139.863</v>
      </c>
      <c r="K3849" t="str">
        <f>HYPERLINK("http://geology.information.qld.gov.au/NVCLDataServices/mosaic.html?datasetid=NONE","67289_Gregory Two Project - Augustus2 AUGDD01_Core Image")</f>
        <v>67289_Gregory Two Project - Augustus2 AUGDD01_Core Image</v>
      </c>
    </row>
    <row r="3850" spans="1:11" x14ac:dyDescent="0.25">
      <c r="A3850" t="str">
        <f>HYPERLINK("http://www.corstruth.com.au/Qld/67515_SouthWalkerCreek_cs.png","67515_SouthWalkerCreek_A4")</f>
        <v>67515_SouthWalkerCreek_A4</v>
      </c>
      <c r="B3850" t="str">
        <f>HYPERLINK("http://www.corstruth.com.au/Qld/PNG2/67515_SouthWalkerCreek_cs.png","67515_SouthWalkerCreek_0.25m Bins")</f>
        <v>67515_SouthWalkerCreek_0.25m Bins</v>
      </c>
      <c r="C3850" t="str">
        <f>HYPERLINK("http://www.corstruth.com.au/Qld/CSV/67515_SouthWalkerCreek.csv","67515_SouthWalkerCreek_CSV File 1m Bins")</f>
        <v>67515_SouthWalkerCreek_CSV File 1m Bins</v>
      </c>
      <c r="D3850">
        <v>67515</v>
      </c>
      <c r="E3850" t="s">
        <v>2193</v>
      </c>
      <c r="I3850">
        <v>-21.700399999999998</v>
      </c>
      <c r="J3850">
        <v>148.45099999999999</v>
      </c>
    </row>
    <row r="3851" spans="1:11" x14ac:dyDescent="0.25">
      <c r="A3851" t="str">
        <f>HYPERLINK("http://www.corstruth.com.au/Qld/68545_Golf_Course_SXFED1_cs.png","68545_Golf Course SXFED1_A4")</f>
        <v>68545_Golf Course SXFED1_A4</v>
      </c>
      <c r="B3851" t="str">
        <f>HYPERLINK("http://www.corstruth.com.au/Qld/PNG2/68545_Golf_Course_SXFED1_cs.png","68545_Golf Course SXFED1_0.25m Bins")</f>
        <v>68545_Golf Course SXFED1_0.25m Bins</v>
      </c>
      <c r="C3851" t="str">
        <f>HYPERLINK("http://www.corstruth.com.au/Qld/CSV/68545_Golf_Course_SXFED1.csv","68545_Golf Course SXFED1_CSV File 1m Bins")</f>
        <v>68545_Golf Course SXFED1_CSV File 1m Bins</v>
      </c>
      <c r="D3851">
        <v>68545</v>
      </c>
      <c r="E3851" t="s">
        <v>2193</v>
      </c>
      <c r="I3851">
        <v>-20.7547</v>
      </c>
      <c r="J3851">
        <v>139.47499999999999</v>
      </c>
      <c r="K3851" t="str">
        <f>HYPERLINK("http://geology.information.qld.gov.au/NVCLDataServices/mosaic.html?datasetid=6c71776d-4dda-44aa-a8a0-f0591300c94","68545_Golf Course SXFED1_Core Image")</f>
        <v>68545_Golf Course SXFED1_Core Image</v>
      </c>
    </row>
    <row r="3852" spans="1:11" x14ac:dyDescent="0.25">
      <c r="A3852" t="str">
        <f>HYPERLINK("http://www.corstruth.com.au/Qld/69283_Indy_3_cs.png","69283_Indy 3_A4")</f>
        <v>69283_Indy 3_A4</v>
      </c>
      <c r="B3852" t="str">
        <f>HYPERLINK("http://www.corstruth.com.au/Qld/PNG2/69283_Indy_3_cs.png","69283_Indy 3_0.25m Bins")</f>
        <v>69283_Indy 3_0.25m Bins</v>
      </c>
      <c r="C3852" t="str">
        <f>HYPERLINK("http://www.corstruth.com.au/Qld/CSV/69283_Indy_3.csv","69283_Indy 3_CSV File 1m Bins")</f>
        <v>69283_Indy 3_CSV File 1m Bins</v>
      </c>
      <c r="D3852">
        <v>69283</v>
      </c>
      <c r="E3852" t="s">
        <v>2193</v>
      </c>
      <c r="I3852">
        <v>-26.250900000000001</v>
      </c>
      <c r="J3852">
        <v>148.52199999999999</v>
      </c>
      <c r="K3852" t="str">
        <f>HYPERLINK("http://geology.information.qld.gov.au/NVCLDataServices/mosaic.html?datasetid=a4878817-05a9-487a-bcfb-b15a21125c6","69283_Indy 3_Core Image")</f>
        <v>69283_Indy 3_Core Image</v>
      </c>
    </row>
    <row r="3853" spans="1:11" x14ac:dyDescent="0.25">
      <c r="A3853" t="str">
        <f>HYPERLINK("http://www.corstruth.com.au/Qld/70520_Mt._Whelan_MW005A_cs.png","70520_Mt. Whelan MW005A_A4")</f>
        <v>70520_Mt. Whelan MW005A_A4</v>
      </c>
      <c r="B3853" t="str">
        <f>HYPERLINK("http://www.corstruth.com.au/Qld/PNG2/70520_Mt._Whelan_MW005A_cs.png","70520_Mt. Whelan MW005A_0.25m Bins")</f>
        <v>70520_Mt. Whelan MW005A_0.25m Bins</v>
      </c>
      <c r="C3853" t="str">
        <f>HYPERLINK("http://www.corstruth.com.au/Qld/CSV/70520_Mt._Whelan_MW005A.csv","70520_Mt. Whelan MW005A_CSV File 1m Bins")</f>
        <v>70520_Mt. Whelan MW005A_CSV File 1m Bins</v>
      </c>
      <c r="D3853">
        <v>70520</v>
      </c>
      <c r="E3853" t="s">
        <v>2193</v>
      </c>
      <c r="I3853">
        <v>-23.657599999999999</v>
      </c>
      <c r="J3853">
        <v>139.13399999999999</v>
      </c>
    </row>
    <row r="3854" spans="1:11" x14ac:dyDescent="0.25">
      <c r="A3854" t="str">
        <f>HYPERLINK("http://www.corstruth.com.au/Qld/70521_Mt._Whelan_MW006_cs.png","70521_Mt. Whelan MW006_A4")</f>
        <v>70521_Mt. Whelan MW006_A4</v>
      </c>
      <c r="B3854" t="str">
        <f>HYPERLINK("http://www.corstruth.com.au/Qld/PNG2/70521_Mt._Whelan_MW006_cs.png","70521_Mt. Whelan MW006_0.25m Bins")</f>
        <v>70521_Mt. Whelan MW006_0.25m Bins</v>
      </c>
      <c r="C3854" t="str">
        <f>HYPERLINK("http://www.corstruth.com.au/Qld/CSV/70521_Mt._Whelan_MW006.csv","70521_Mt. Whelan MW006_CSV File 1m Bins")</f>
        <v>70521_Mt. Whelan MW006_CSV File 1m Bins</v>
      </c>
      <c r="D3854">
        <v>70521</v>
      </c>
      <c r="E3854" t="s">
        <v>2193</v>
      </c>
      <c r="I3854">
        <v>-23.603200000000001</v>
      </c>
      <c r="J3854">
        <v>139.047</v>
      </c>
    </row>
    <row r="3855" spans="1:11" x14ac:dyDescent="0.25">
      <c r="A3855" t="str">
        <f>HYPERLINK("http://www.corstruth.com.au/Qld/70528_Mt._Whelan_MW016_cs.png","70528_Mt. Whelan MW016_A4")</f>
        <v>70528_Mt. Whelan MW016_A4</v>
      </c>
      <c r="B3855" t="str">
        <f>HYPERLINK("http://www.corstruth.com.au/Qld/PNG2/70528_Mt._Whelan_MW016_cs.png","70528_Mt. Whelan MW016_0.25m Bins")</f>
        <v>70528_Mt. Whelan MW016_0.25m Bins</v>
      </c>
      <c r="C3855" t="str">
        <f>HYPERLINK("http://www.corstruth.com.au/Qld/CSV/70528_Mt._Whelan_MW016.csv","70528_Mt. Whelan MW016_CSV File 1m Bins")</f>
        <v>70528_Mt. Whelan MW016_CSV File 1m Bins</v>
      </c>
      <c r="D3855">
        <v>70528</v>
      </c>
      <c r="E3855" t="s">
        <v>2193</v>
      </c>
      <c r="I3855">
        <v>-23.656600000000001</v>
      </c>
      <c r="J3855">
        <v>139.06299999999999</v>
      </c>
    </row>
    <row r="3856" spans="1:11" x14ac:dyDescent="0.25">
      <c r="A3856" t="str">
        <f>HYPERLINK("http://www.corstruth.com.au/Qld/70531_MtMorganMine005-28_cs.png","70531_MtMorganMine005-28_A4")</f>
        <v>70531_MtMorganMine005-28_A4</v>
      </c>
      <c r="B3856" t="str">
        <f>HYPERLINK("http://www.corstruth.com.au/Qld/PNG2/70531_MtMorganMine005-28_cs.png","70531_MtMorganMine005-28_0.25m Bins")</f>
        <v>70531_MtMorganMine005-28_0.25m Bins</v>
      </c>
      <c r="C3856" t="str">
        <f>HYPERLINK("http://www.corstruth.com.au/Qld/CSV/70531_MtMorganMine005-28.csv","70531_MtMorganMine005-28_CSV File 1m Bins")</f>
        <v>70531_MtMorganMine005-28_CSV File 1m Bins</v>
      </c>
      <c r="D3856">
        <v>70531</v>
      </c>
      <c r="E3856" t="s">
        <v>2193</v>
      </c>
      <c r="I3856">
        <v>-23.6416</v>
      </c>
      <c r="J3856">
        <v>150.36799999999999</v>
      </c>
      <c r="K3856" t="str">
        <f>HYPERLINK("http://geology.information.qld.gov.au/NVCLDataServices/mosaic.html?datasetid=bf75ae26-29d2-48a6-a46d-394030cb674","70531_MtMorganMine005-28_Core Image")</f>
        <v>70531_MtMorganMine005-28_Core Image</v>
      </c>
    </row>
    <row r="3857" spans="1:11" x14ac:dyDescent="0.25">
      <c r="A3857" t="str">
        <f>HYPERLINK("http://www.corstruth.com.au/Qld/70541_GrisseldaDDH12_cs.png","70541_GrisseldaDDH12_A4")</f>
        <v>70541_GrisseldaDDH12_A4</v>
      </c>
      <c r="B3857" t="str">
        <f>HYPERLINK("http://www.corstruth.com.au/Qld/PNG2/70541_GrisseldaDDH12_cs.png","70541_GrisseldaDDH12_0.25m Bins")</f>
        <v>70541_GrisseldaDDH12_0.25m Bins</v>
      </c>
      <c r="C3857" t="str">
        <f>HYPERLINK("http://www.corstruth.com.au/Qld/CSV/70541_GrisseldaDDH12.csv","70541_GrisseldaDDH12_CSV File 1m Bins")</f>
        <v>70541_GrisseldaDDH12_CSV File 1m Bins</v>
      </c>
      <c r="D3857">
        <v>70541</v>
      </c>
      <c r="E3857" t="s">
        <v>2193</v>
      </c>
      <c r="I3857">
        <v>-23.693200000000001</v>
      </c>
      <c r="J3857">
        <v>150.63499999999999</v>
      </c>
    </row>
    <row r="3858" spans="1:11" x14ac:dyDescent="0.25">
      <c r="A3858" t="str">
        <f>HYPERLINK("http://www.corstruth.com.au/Qld/70542_Mount_Chalmers_Mine_MC25_cs.png","70542_Mount Chalmers Mine_MC25_A4")</f>
        <v>70542_Mount Chalmers Mine_MC25_A4</v>
      </c>
      <c r="B3858" t="str">
        <f>HYPERLINK("http://www.corstruth.com.au/Qld/PNG2/70542_Mount_Chalmers_Mine_MC25_cs.png","70542_Mount Chalmers Mine_MC25_0.25m Bins")</f>
        <v>70542_Mount Chalmers Mine_MC25_0.25m Bins</v>
      </c>
      <c r="C3858" t="str">
        <f>HYPERLINK("http://www.corstruth.com.au/Qld/CSV/70542_Mount_Chalmers_Mine_MC25.csv","70542_Mount Chalmers Mine_MC25_CSV File 1m Bins")</f>
        <v>70542_Mount Chalmers Mine_MC25_CSV File 1m Bins</v>
      </c>
      <c r="D3858">
        <v>70542</v>
      </c>
      <c r="E3858" t="s">
        <v>2193</v>
      </c>
      <c r="I3858">
        <v>-23.3032</v>
      </c>
      <c r="J3858">
        <v>150.64699999999999</v>
      </c>
      <c r="K3858" t="str">
        <f>HYPERLINK("http://geology.information.qld.gov.au/NVCLDataServices/mosaic.html?datasetid=8b4f85da-9c31-4172-acbd-ffdbfeee91a","70542_Mount Chalmers Mine_MC25_Core Image")</f>
        <v>70542_Mount Chalmers Mine_MC25_Core Image</v>
      </c>
    </row>
    <row r="3859" spans="1:11" x14ac:dyDescent="0.25">
      <c r="A3859" t="str">
        <f>HYPERLINK("http://www.corstruth.com.au/Qld/70583_LonePine17_cs.png","70583_LonePine17_A4")</f>
        <v>70583_LonePine17_A4</v>
      </c>
      <c r="B3859" t="str">
        <f>HYPERLINK("http://www.corstruth.com.au/Qld/PNG2/70583_LonePine17_cs.png","70583_LonePine17_0.25m Bins")</f>
        <v>70583_LonePine17_0.25m Bins</v>
      </c>
      <c r="C3859" t="str">
        <f>HYPERLINK("http://www.corstruth.com.au/Qld/CSV/70583_LonePine17.csv","70583_LonePine17_CSV File 1m Bins")</f>
        <v>70583_LonePine17_CSV File 1m Bins</v>
      </c>
      <c r="D3859">
        <v>70583</v>
      </c>
      <c r="E3859" t="s">
        <v>2193</v>
      </c>
      <c r="I3859">
        <v>-27.5547</v>
      </c>
      <c r="J3859">
        <v>151.35900000000001</v>
      </c>
    </row>
    <row r="3860" spans="1:11" x14ac:dyDescent="0.25">
      <c r="A3860" t="str">
        <f>HYPERLINK("http://www.corstruth.com.au/Qld/70611_Clunie6_cs.png","70611_Clunie6_A4")</f>
        <v>70611_Clunie6_A4</v>
      </c>
      <c r="B3860" t="str">
        <f>HYPERLINK("http://www.corstruth.com.au/Qld/PNG2/70611_Clunie6_cs.png","70611_Clunie6_0.25m Bins")</f>
        <v>70611_Clunie6_0.25m Bins</v>
      </c>
      <c r="C3860" t="str">
        <f>HYPERLINK("http://www.corstruth.com.au/Qld/CSV/70611_Clunie6.csv","70611_Clunie6_CSV File 1m Bins")</f>
        <v>70611_Clunie6_CSV File 1m Bins</v>
      </c>
      <c r="D3860">
        <v>70611</v>
      </c>
      <c r="E3860" t="s">
        <v>2193</v>
      </c>
      <c r="I3860">
        <v>-27.290900000000001</v>
      </c>
      <c r="J3860">
        <v>150.89500000000001</v>
      </c>
      <c r="K3860" t="str">
        <f>HYPERLINK("http://geology.information.qld.gov.au/NVCLDataServices/mosaic.html?datasetid=db168fca-eaf6-48a7-af85-e8a304a89ce","70611_Clunie6_Core Image")</f>
        <v>70611_Clunie6_Core Image</v>
      </c>
    </row>
    <row r="3861" spans="1:11" x14ac:dyDescent="0.25">
      <c r="A3861" t="str">
        <f>HYPERLINK("http://www.corstruth.com.au/Qld/71054_Ebagoola_EBD08015_cs.png","71054_Ebagoola EBD08015_A4")</f>
        <v>71054_Ebagoola EBD08015_A4</v>
      </c>
      <c r="B3861" t="str">
        <f>HYPERLINK("http://www.corstruth.com.au/Qld/PNG2/71054_Ebagoola_EBD08015_cs.png","71054_Ebagoola EBD08015_0.25m Bins")</f>
        <v>71054_Ebagoola EBD08015_0.25m Bins</v>
      </c>
      <c r="C3861" t="str">
        <f>HYPERLINK("http://www.corstruth.com.au/Qld/CSV/71054_Ebagoola_EBD08015.csv","71054_Ebagoola EBD08015_CSV File 1m Bins")</f>
        <v>71054_Ebagoola EBD08015_CSV File 1m Bins</v>
      </c>
      <c r="D3861">
        <v>71054</v>
      </c>
      <c r="E3861" t="s">
        <v>2193</v>
      </c>
      <c r="I3861">
        <v>-14.3367</v>
      </c>
      <c r="J3861">
        <v>143.29</v>
      </c>
    </row>
    <row r="3862" spans="1:11" x14ac:dyDescent="0.25">
      <c r="A3862" t="str">
        <f>HYPERLINK("http://www.corstruth.com.au/Qld/7115_Denison173_cs.png","7115_Denison173_A4")</f>
        <v>7115_Denison173_A4</v>
      </c>
      <c r="B3862" t="str">
        <f>HYPERLINK("http://www.corstruth.com.au/Qld/PNG2/7115_Denison173_cs.png","7115_Denison173_0.25m Bins")</f>
        <v>7115_Denison173_0.25m Bins</v>
      </c>
      <c r="C3862" t="str">
        <f>HYPERLINK("http://www.corstruth.com.au/Qld/CSV/7115_Denison173.csv","7115_Denison173_CSV File 1m Bins")</f>
        <v>7115_Denison173_CSV File 1m Bins</v>
      </c>
      <c r="D3862">
        <v>7115</v>
      </c>
      <c r="E3862" t="s">
        <v>2193</v>
      </c>
      <c r="I3862">
        <v>-23.787600000000001</v>
      </c>
      <c r="J3862">
        <v>148.03100000000001</v>
      </c>
      <c r="K3862" t="str">
        <f>HYPERLINK("http://geology.information.qld.gov.au/NVCLDataServices/mosaic.html?datasetid=47114f8b-3aa5-498a-9e06-b3fb854d529","7115_Denison173_Core Image")</f>
        <v>7115_Denison173_Core Image</v>
      </c>
    </row>
    <row r="3863" spans="1:11" x14ac:dyDescent="0.25">
      <c r="A3863" t="str">
        <f>HYPERLINK("http://www.corstruth.com.au/Qld/7116_Denison174_cs.png","7116_Denison174_A4")</f>
        <v>7116_Denison174_A4</v>
      </c>
      <c r="B3863" t="str">
        <f>HYPERLINK("http://www.corstruth.com.au/Qld/PNG2/7116_Denison174_cs.png","7116_Denison174_0.25m Bins")</f>
        <v>7116_Denison174_0.25m Bins</v>
      </c>
      <c r="C3863" t="str">
        <f>HYPERLINK("http://www.corstruth.com.au/Qld/CSV/7116_Denison174.csv","7116_Denison174_CSV File 1m Bins")</f>
        <v>7116_Denison174_CSV File 1m Bins</v>
      </c>
      <c r="D3863">
        <v>7116</v>
      </c>
      <c r="E3863" t="s">
        <v>2193</v>
      </c>
      <c r="I3863">
        <v>-23.802099999999999</v>
      </c>
      <c r="J3863">
        <v>148.042</v>
      </c>
      <c r="K3863" t="str">
        <f>HYPERLINK("http://geology.information.qld.gov.au/NVCLDataServices/mosaic.html?datasetid=428a5769-2a86-405d-8b85-e714181c53a","7116_Denison174_Core Image")</f>
        <v>7116_Denison174_Core Image</v>
      </c>
    </row>
    <row r="3864" spans="1:11" x14ac:dyDescent="0.25">
      <c r="A3864" t="str">
        <f>HYPERLINK("http://www.corstruth.com.au/Qld/711_Arcturus1_cs.png","711_Arcturus1_A4")</f>
        <v>711_Arcturus1_A4</v>
      </c>
      <c r="B3864" t="str">
        <f>HYPERLINK("http://www.corstruth.com.au/Qld/PNG2/711_Arcturus1_cs.png","711_Arcturus1_0.25m Bins")</f>
        <v>711_Arcturus1_0.25m Bins</v>
      </c>
      <c r="C3864" t="str">
        <f>HYPERLINK("http://www.corstruth.com.au/Qld/CSV/711_Arcturus1.csv","711_Arcturus1_CSV File 1m Bins")</f>
        <v>711_Arcturus1_CSV File 1m Bins</v>
      </c>
      <c r="D3864">
        <v>711</v>
      </c>
      <c r="E3864" t="s">
        <v>2193</v>
      </c>
      <c r="I3864">
        <v>-24.057300000000001</v>
      </c>
      <c r="J3864">
        <v>148.50200000000001</v>
      </c>
      <c r="K3864" t="str">
        <f>HYPERLINK("http://geology.information.qld.gov.au/NVCLDataServices/mosaic.html?datasetid=NONE","711_Arcturus1_Core Image")</f>
        <v>711_Arcturus1_Core Image</v>
      </c>
    </row>
    <row r="3865" spans="1:11" x14ac:dyDescent="0.25">
      <c r="A3865" t="str">
        <f>HYPERLINK("http://www.corstruth.com.au/Qld/71352_Mount_Rawdon_DD-203950-3_cs.png","71352_Mount Rawdon DD-203950-3_A4")</f>
        <v>71352_Mount Rawdon DD-203950-3_A4</v>
      </c>
      <c r="B3865" t="str">
        <f>HYPERLINK("http://www.corstruth.com.au/Qld/PNG2/71352_Mount_Rawdon_DD-203950-3_cs.png","71352_Mount Rawdon DD-203950-3_0.25m Bins")</f>
        <v>71352_Mount Rawdon DD-203950-3_0.25m Bins</v>
      </c>
      <c r="C3865" t="str">
        <f>HYPERLINK("http://www.corstruth.com.au/Qld/CSV/71352_Mount_Rawdon_DD-203950-3.csv","71352_Mount Rawdon DD-203950-3_CSV File 1m Bins")</f>
        <v>71352_Mount Rawdon DD-203950-3_CSV File 1m Bins</v>
      </c>
      <c r="D3865">
        <v>71352</v>
      </c>
      <c r="E3865" t="s">
        <v>2193</v>
      </c>
      <c r="I3865">
        <v>-25.275700000000001</v>
      </c>
      <c r="J3865">
        <v>151.76</v>
      </c>
    </row>
    <row r="3866" spans="1:11" x14ac:dyDescent="0.25">
      <c r="A3866" t="str">
        <f>HYPERLINK("http://www.corstruth.com.au/Qld/71353_Mount_Rawdon_DD-203950-4_cs.png","71353_Mount Rawdon DD-203950-4_A4")</f>
        <v>71353_Mount Rawdon DD-203950-4_A4</v>
      </c>
      <c r="B3866" t="str">
        <f>HYPERLINK("http://www.corstruth.com.au/Qld/PNG2/71353_Mount_Rawdon_DD-203950-4_cs.png","71353_Mount Rawdon DD-203950-4_0.25m Bins")</f>
        <v>71353_Mount Rawdon DD-203950-4_0.25m Bins</v>
      </c>
      <c r="C3866" t="str">
        <f>HYPERLINK("http://www.corstruth.com.au/Qld/CSV/71353_Mount_Rawdon_DD-203950-4.csv","71353_Mount Rawdon DD-203950-4_CSV File 1m Bins")</f>
        <v>71353_Mount Rawdon DD-203950-4_CSV File 1m Bins</v>
      </c>
      <c r="D3866">
        <v>71353</v>
      </c>
      <c r="E3866" t="s">
        <v>2193</v>
      </c>
      <c r="I3866">
        <v>-25.275700000000001</v>
      </c>
      <c r="J3866">
        <v>151.761</v>
      </c>
      <c r="K3866" t="str">
        <f>HYPERLINK("http://geology.information.qld.gov.au/NVCLDataServices/mosaic.html?datasetid=0fb687f2-0c2c-4737-9bfd-781e732a41e","71353_Mount Rawdon DD-203950-4_Core Image")</f>
        <v>71353_Mount Rawdon DD-203950-4_Core Image</v>
      </c>
    </row>
    <row r="3867" spans="1:11" x14ac:dyDescent="0.25">
      <c r="A3867" t="str">
        <f>HYPERLINK("http://www.corstruth.com.au/Qld/71354_Mount_Rawdon_RDD-MTR0025_cs.png","71354_Mount Rawdon RDD-MTR0025_A4")</f>
        <v>71354_Mount Rawdon RDD-MTR0025_A4</v>
      </c>
      <c r="B3867" t="str">
        <f>HYPERLINK("http://www.corstruth.com.au/Qld/PNG2/71354_Mount_Rawdon_RDD-MTR0025_cs.png","71354_Mount Rawdon RDD-MTR0025_0.25m Bins")</f>
        <v>71354_Mount Rawdon RDD-MTR0025_0.25m Bins</v>
      </c>
      <c r="C3867" t="str">
        <f>HYPERLINK("http://www.corstruth.com.au/Qld/CSV/71354_Mount_Rawdon_RDD-MTR0025.csv","71354_Mount Rawdon RDD-MTR0025_CSV File 1m Bins")</f>
        <v>71354_Mount Rawdon RDD-MTR0025_CSV File 1m Bins</v>
      </c>
      <c r="D3867">
        <v>71354</v>
      </c>
      <c r="E3867" t="s">
        <v>2193</v>
      </c>
      <c r="I3867">
        <v>-25.273399999999999</v>
      </c>
      <c r="J3867">
        <v>151.75800000000001</v>
      </c>
    </row>
    <row r="3868" spans="1:11" x14ac:dyDescent="0.25">
      <c r="A3868" t="str">
        <f>HYPERLINK("http://www.corstruth.com.au/Qld/71354_Mount_Rawdon_RDD-MTR0025_Core2_cs.png","71354_Mount Rawdon RDD-MTR0025_Core2_A4")</f>
        <v>71354_Mount Rawdon RDD-MTR0025_Core2_A4</v>
      </c>
      <c r="B3868" t="str">
        <f>HYPERLINK("http://www.corstruth.com.au/Qld/PNG2/71354_Mount_Rawdon_RDD-MTR0025_Core2_cs.png","71354_Mount Rawdon RDD-MTR0025_Core2_0.25m Bins")</f>
        <v>71354_Mount Rawdon RDD-MTR0025_Core2_0.25m Bins</v>
      </c>
      <c r="C3868" t="str">
        <f>HYPERLINK("http://www.corstruth.com.au/Qld/CSV/71354_Mount_Rawdon_RDD-MTR0025_Core2.csv","71354_Mount Rawdon RDD-MTR0025_Core2_CSV File 1m Bins")</f>
        <v>71354_Mount Rawdon RDD-MTR0025_Core2_CSV File 1m Bins</v>
      </c>
      <c r="D3868">
        <v>71354</v>
      </c>
      <c r="E3868" t="s">
        <v>2193</v>
      </c>
      <c r="I3868">
        <v>-25.273399999999999</v>
      </c>
      <c r="J3868">
        <v>151.75800000000001</v>
      </c>
      <c r="K3868" t="str">
        <f>HYPERLINK("http://geology.information.qld.gov.au/NVCLDataServices/mosaic.html?datasetid=be4e9f45-dfb1-451f-b64a-7ec4545dc65","71354_Mount Rawdon RDD-MTR0025_Core2_Core Image")</f>
        <v>71354_Mount Rawdon RDD-MTR0025_Core2_Core Image</v>
      </c>
    </row>
    <row r="3869" spans="1:11" x14ac:dyDescent="0.25">
      <c r="A3869" t="str">
        <f>HYPERLINK("http://www.corstruth.com.au/Qld/71355_Mount_Rawdon_RCD-31_cs.png","71355_Mount Rawdon RCD-31_A4")</f>
        <v>71355_Mount Rawdon RCD-31_A4</v>
      </c>
      <c r="B3869" t="str">
        <f>HYPERLINK("http://www.corstruth.com.au/Qld/PNG2/71355_Mount_Rawdon_RCD-31_cs.png","71355_Mount Rawdon RCD-31_0.25m Bins")</f>
        <v>71355_Mount Rawdon RCD-31_0.25m Bins</v>
      </c>
      <c r="C3869" t="str">
        <f>HYPERLINK("http://www.corstruth.com.au/Qld/CSV/71355_Mount_Rawdon_RCD-31.csv","71355_Mount Rawdon RCD-31_CSV File 1m Bins")</f>
        <v>71355_Mount Rawdon RCD-31_CSV File 1m Bins</v>
      </c>
      <c r="D3869">
        <v>71355</v>
      </c>
      <c r="E3869" t="s">
        <v>2193</v>
      </c>
      <c r="I3869">
        <v>-25.275700000000001</v>
      </c>
      <c r="J3869">
        <v>151.75700000000001</v>
      </c>
      <c r="K3869" t="str">
        <f>HYPERLINK("http://geology.information.qld.gov.au/NVCLDataServices/mosaic.html?datasetid=be4e9f45-dfb1-451f-b64a-7ec4545dc65","71355_Mount Rawdon RCD-31_Core Image")</f>
        <v>71355_Mount Rawdon RCD-31_Core Image</v>
      </c>
    </row>
    <row r="3870" spans="1:11" x14ac:dyDescent="0.25">
      <c r="A3870" t="str">
        <f>HYPERLINK("http://www.corstruth.com.au/Qld/71355_Mount_Rawdon_RCD-31_Core2_cs.png","71355_Mount Rawdon RCD-31_Core2_A4")</f>
        <v>71355_Mount Rawdon RCD-31_Core2_A4</v>
      </c>
      <c r="B3870" t="str">
        <f>HYPERLINK("http://www.corstruth.com.au/Qld/PNG2/71355_Mount_Rawdon_RCD-31_Core2_cs.png","71355_Mount Rawdon RCD-31_Core2_0.25m Bins")</f>
        <v>71355_Mount Rawdon RCD-31_Core2_0.25m Bins</v>
      </c>
      <c r="C3870" t="str">
        <f>HYPERLINK("http://www.corstruth.com.au/Qld/CSV/71355_Mount_Rawdon_RCD-31_Core2.csv","71355_Mount Rawdon RCD-31_Core2_CSV File 1m Bins")</f>
        <v>71355_Mount Rawdon RCD-31_Core2_CSV File 1m Bins</v>
      </c>
      <c r="D3870">
        <v>71355</v>
      </c>
      <c r="E3870" t="s">
        <v>2193</v>
      </c>
      <c r="I3870">
        <v>-25.275700000000001</v>
      </c>
      <c r="J3870">
        <v>151.75700000000001</v>
      </c>
    </row>
    <row r="3871" spans="1:11" x14ac:dyDescent="0.25">
      <c r="A3871" t="str">
        <f>HYPERLINK("http://www.corstruth.com.au/Qld/71356_Mount_Rawdon_RCD_0066_cs.png","71356_Mount Rawdon RCD 0066_A4")</f>
        <v>71356_Mount Rawdon RCD 0066_A4</v>
      </c>
      <c r="B3871" t="str">
        <f>HYPERLINK("http://www.corstruth.com.au/Qld/PNG2/71356_Mount_Rawdon_RCD_0066_cs.png","71356_Mount Rawdon RCD 0066_0.25m Bins")</f>
        <v>71356_Mount Rawdon RCD 0066_0.25m Bins</v>
      </c>
      <c r="C3871" t="str">
        <f>HYPERLINK("http://www.corstruth.com.au/Qld/CSV/71356_Mount_Rawdon_RCD_0066.csv","71356_Mount Rawdon RCD 0066_CSV File 1m Bins")</f>
        <v>71356_Mount Rawdon RCD 0066_CSV File 1m Bins</v>
      </c>
      <c r="D3871">
        <v>71356</v>
      </c>
      <c r="E3871" t="s">
        <v>2193</v>
      </c>
      <c r="I3871">
        <v>-25.2759</v>
      </c>
      <c r="J3871">
        <v>151.76</v>
      </c>
    </row>
    <row r="3872" spans="1:11" x14ac:dyDescent="0.25">
      <c r="A3872" t="str">
        <f>HYPERLINK("http://www.corstruth.com.au/Qld/71357_Mount_Rawdon_RCD_0114_cs.png","71357_Mount Rawdon RCD 0114_A4")</f>
        <v>71357_Mount Rawdon RCD 0114_A4</v>
      </c>
      <c r="B3872" t="str">
        <f>HYPERLINK("http://www.corstruth.com.au/Qld/PNG2/71357_Mount_Rawdon_RCD_0114_cs.png","71357_Mount Rawdon RCD 0114_0.25m Bins")</f>
        <v>71357_Mount Rawdon RCD 0114_0.25m Bins</v>
      </c>
      <c r="C3872" t="str">
        <f>HYPERLINK("http://www.corstruth.com.au/Qld/CSV/71357_Mount_Rawdon_RCD_0114.csv","71357_Mount Rawdon RCD 0114_CSV File 1m Bins")</f>
        <v>71357_Mount Rawdon RCD 0114_CSV File 1m Bins</v>
      </c>
      <c r="D3872">
        <v>71357</v>
      </c>
      <c r="E3872" t="s">
        <v>2193</v>
      </c>
      <c r="I3872">
        <v>-25.275400000000001</v>
      </c>
      <c r="J3872">
        <v>151.75800000000001</v>
      </c>
    </row>
    <row r="3873" spans="1:11" x14ac:dyDescent="0.25">
      <c r="A3873" t="str">
        <f>HYPERLINK("http://www.corstruth.com.au/Qld/71371_Mount_Rawdon_RCD_0116_cs.png","71371_Mount Rawdon RCD 0116_A4")</f>
        <v>71371_Mount Rawdon RCD 0116_A4</v>
      </c>
      <c r="B3873" t="str">
        <f>HYPERLINK("http://www.corstruth.com.au/Qld/PNG2/71371_Mount_Rawdon_RCD_0116_cs.png","71371_Mount Rawdon RCD 0116_0.25m Bins")</f>
        <v>71371_Mount Rawdon RCD 0116_0.25m Bins</v>
      </c>
      <c r="C3873" t="str">
        <f>HYPERLINK("http://www.corstruth.com.au/Qld/CSV/71371_Mount_Rawdon_RCD_0116.csv","71371_Mount Rawdon RCD 0116_CSV File 1m Bins")</f>
        <v>71371_Mount Rawdon RCD 0116_CSV File 1m Bins</v>
      </c>
      <c r="D3873">
        <v>71371</v>
      </c>
      <c r="E3873" t="s">
        <v>2193</v>
      </c>
      <c r="I3873">
        <v>-25.274999999999999</v>
      </c>
      <c r="J3873">
        <v>151.75800000000001</v>
      </c>
      <c r="K3873" t="str">
        <f>HYPERLINK("http://geology.information.qld.gov.au/NVCLDataServices/mosaic.html?datasetid=4d621d0d-d76a-4eab-9564-db3e0ae8acf","71371_Mount Rawdon RCD 0116_Core Image")</f>
        <v>71371_Mount Rawdon RCD 0116_Core Image</v>
      </c>
    </row>
    <row r="3874" spans="1:11" x14ac:dyDescent="0.25">
      <c r="A3874" t="str">
        <f>HYPERLINK("http://www.corstruth.com.au/Qld/71372_Mount_Rawdon_RCD_0128_cs.png","71372_Mount Rawdon RCD 0128_A4")</f>
        <v>71372_Mount Rawdon RCD 0128_A4</v>
      </c>
      <c r="B3874" t="str">
        <f>HYPERLINK("http://www.corstruth.com.au/Qld/PNG2/71372_Mount_Rawdon_RCD_0128_cs.png","71372_Mount Rawdon RCD 0128_0.25m Bins")</f>
        <v>71372_Mount Rawdon RCD 0128_0.25m Bins</v>
      </c>
      <c r="C3874" t="str">
        <f>HYPERLINK("http://www.corstruth.com.au/Qld/CSV/71372_Mount_Rawdon_RCD_0128.csv","71372_Mount Rawdon RCD 0128_CSV File 1m Bins")</f>
        <v>71372_Mount Rawdon RCD 0128_CSV File 1m Bins</v>
      </c>
      <c r="D3874">
        <v>71372</v>
      </c>
      <c r="E3874" t="s">
        <v>2193</v>
      </c>
      <c r="I3874">
        <v>-25.275400000000001</v>
      </c>
      <c r="J3874">
        <v>151.75800000000001</v>
      </c>
      <c r="K3874" t="str">
        <f>HYPERLINK("http://geology.information.qld.gov.au/NVCLDataServices/mosaic.html?datasetid=123ecdbe-fd0f-4e97-b1c0-0b3b9bc41f5","71372_Mount Rawdon RCD 0128_Core Image")</f>
        <v>71372_Mount Rawdon RCD 0128_Core Image</v>
      </c>
    </row>
    <row r="3875" spans="1:11" x14ac:dyDescent="0.25">
      <c r="A3875" t="str">
        <f>HYPERLINK("http://www.corstruth.com.au/Qld/71373_Mount_Rawdon_RCD_0144_cs.png","71373_Mount Rawdon RCD 0144_A4")</f>
        <v>71373_Mount Rawdon RCD 0144_A4</v>
      </c>
      <c r="B3875" t="str">
        <f>HYPERLINK("http://www.corstruth.com.au/Qld/PNG2/71373_Mount_Rawdon_RCD_0144_cs.png","71373_Mount Rawdon RCD 0144_0.25m Bins")</f>
        <v>71373_Mount Rawdon RCD 0144_0.25m Bins</v>
      </c>
      <c r="C3875" t="str">
        <f>HYPERLINK("http://www.corstruth.com.au/Qld/CSV/71373_Mount_Rawdon_RCD_0144.csv","71373_Mount Rawdon RCD 0144_CSV File 1m Bins")</f>
        <v>71373_Mount Rawdon RCD 0144_CSV File 1m Bins</v>
      </c>
      <c r="D3875">
        <v>71373</v>
      </c>
      <c r="E3875" t="s">
        <v>2193</v>
      </c>
      <c r="I3875">
        <v>-25.275700000000001</v>
      </c>
      <c r="J3875">
        <v>151.75899999999999</v>
      </c>
      <c r="K3875" t="str">
        <f>HYPERLINK("http://geology.information.qld.gov.au/NVCLDataServices/mosaic.html?datasetid=6d59363d-866c-444f-b131-7d066a3ba80","71373_Mount Rawdon RCD 0144_Core Image")</f>
        <v>71373_Mount Rawdon RCD 0144_Core Image</v>
      </c>
    </row>
    <row r="3876" spans="1:11" x14ac:dyDescent="0.25">
      <c r="A3876" t="str">
        <f>HYPERLINK("http://www.corstruth.com.au/Qld/71374_Mount_Rawdon_RCD_0145_cs.png","71374_Mount Rawdon RCD 0145_A4")</f>
        <v>71374_Mount Rawdon RCD 0145_A4</v>
      </c>
      <c r="B3876" t="str">
        <f>HYPERLINK("http://www.corstruth.com.au/Qld/PNG2/71374_Mount_Rawdon_RCD_0145_cs.png","71374_Mount Rawdon RCD 0145_0.25m Bins")</f>
        <v>71374_Mount Rawdon RCD 0145_0.25m Bins</v>
      </c>
      <c r="C3876" t="str">
        <f>HYPERLINK("http://www.corstruth.com.au/Qld/CSV/71374_Mount_Rawdon_RCD_0145.csv","71374_Mount Rawdon RCD 0145_CSV File 1m Bins")</f>
        <v>71374_Mount Rawdon RCD 0145_CSV File 1m Bins</v>
      </c>
      <c r="D3876">
        <v>71374</v>
      </c>
      <c r="E3876" t="s">
        <v>2193</v>
      </c>
      <c r="I3876">
        <v>-25.275200000000002</v>
      </c>
      <c r="J3876">
        <v>151.75800000000001</v>
      </c>
      <c r="K3876" t="str">
        <f>HYPERLINK("http://geology.information.qld.gov.au/NVCLDataServices/mosaic.html?datasetid=6209bbf8-8fd0-4b38-9c8c-f909896e722","71374_Mount Rawdon RCD 0145_Core Image")</f>
        <v>71374_Mount Rawdon RCD 0145_Core Image</v>
      </c>
    </row>
    <row r="3877" spans="1:11" x14ac:dyDescent="0.25">
      <c r="A3877" t="str">
        <f>HYPERLINK("http://www.corstruth.com.au/Qld/71375_Mount_Rawdon_RCD_0146_cs.png","71375_Mount Rawdon RCD 0146_A4")</f>
        <v>71375_Mount Rawdon RCD 0146_A4</v>
      </c>
      <c r="B3877" t="str">
        <f>HYPERLINK("http://www.corstruth.com.au/Qld/PNG2/71375_Mount_Rawdon_RCD_0146_cs.png","71375_Mount Rawdon RCD 0146_0.25m Bins")</f>
        <v>71375_Mount Rawdon RCD 0146_0.25m Bins</v>
      </c>
      <c r="C3877" t="str">
        <f>HYPERLINK("http://www.corstruth.com.au/Qld/CSV/71375_Mount_Rawdon_RCD_0146.csv","71375_Mount Rawdon RCD 0146_CSV File 1m Bins")</f>
        <v>71375_Mount Rawdon RCD 0146_CSV File 1m Bins</v>
      </c>
      <c r="D3877">
        <v>71375</v>
      </c>
      <c r="E3877" t="s">
        <v>2193</v>
      </c>
      <c r="I3877">
        <v>-25.275099999999998</v>
      </c>
      <c r="J3877">
        <v>151.75800000000001</v>
      </c>
      <c r="K3877" t="str">
        <f>HYPERLINK("http://geology.information.qld.gov.au/NVCLDataServices/mosaic.html?datasetid=c3f17634-a8bb-4191-a25c-9c702db4611","71375_Mount Rawdon RCD 0146_Core Image")</f>
        <v>71375_Mount Rawdon RCD 0146_Core Image</v>
      </c>
    </row>
    <row r="3878" spans="1:11" x14ac:dyDescent="0.25">
      <c r="A3878" t="str">
        <f>HYPERLINK("http://www.corstruth.com.au/Qld/71376_Mount_Rawdon_RCD_0147_cs.png","71376_Mount Rawdon RCD 0147_A4")</f>
        <v>71376_Mount Rawdon RCD 0147_A4</v>
      </c>
      <c r="B3878" t="str">
        <f>HYPERLINK("http://www.corstruth.com.au/Qld/PNG2/71376_Mount_Rawdon_RCD_0147_cs.png","71376_Mount Rawdon RCD 0147_0.25m Bins")</f>
        <v>71376_Mount Rawdon RCD 0147_0.25m Bins</v>
      </c>
      <c r="C3878" t="str">
        <f>HYPERLINK("http://www.corstruth.com.au/Qld/CSV/71376_Mount_Rawdon_RCD_0147.csv","71376_Mount Rawdon RCD 0147_CSV File 1m Bins")</f>
        <v>71376_Mount Rawdon RCD 0147_CSV File 1m Bins</v>
      </c>
      <c r="D3878">
        <v>71376</v>
      </c>
      <c r="E3878" t="s">
        <v>2193</v>
      </c>
      <c r="I3878">
        <v>-25.275200000000002</v>
      </c>
      <c r="J3878">
        <v>151.75800000000001</v>
      </c>
      <c r="K3878" t="str">
        <f>HYPERLINK("http://geology.information.qld.gov.au/NVCLDataServices/mosaic.html?datasetid=c0c3e849-5d31-4ce5-9eeb-8f18a826b82","71376_Mount Rawdon RCD 0147_Core Image")</f>
        <v>71376_Mount Rawdon RCD 0147_Core Image</v>
      </c>
    </row>
    <row r="3879" spans="1:11" x14ac:dyDescent="0.25">
      <c r="A3879" t="str">
        <f>HYPERLINK("http://www.corstruth.com.au/Qld/71573_Starra_276_STQ1097_cs.png","71573_Starra 276 STQ1097_A4")</f>
        <v>71573_Starra 276 STQ1097_A4</v>
      </c>
      <c r="B3879" t="str">
        <f>HYPERLINK("http://www.corstruth.com.au/Qld/PNG2/71573_Starra_276_STQ1097_cs.png","71573_Starra 276 STQ1097_0.25m Bins")</f>
        <v>71573_Starra 276 STQ1097_0.25m Bins</v>
      </c>
      <c r="C3879" t="str">
        <f>HYPERLINK("http://www.corstruth.com.au/Qld/CSV/71573_Starra_276_STQ1097.csv","71573_Starra 276 STQ1097_CSV File 1m Bins")</f>
        <v>71573_Starra 276 STQ1097_CSV File 1m Bins</v>
      </c>
      <c r="D3879">
        <v>71573</v>
      </c>
      <c r="E3879" t="s">
        <v>2193</v>
      </c>
      <c r="I3879">
        <v>-21.665400000000002</v>
      </c>
      <c r="J3879">
        <v>140.47800000000001</v>
      </c>
      <c r="K3879" t="str">
        <f>HYPERLINK("http://geology.information.qld.gov.au/NVCLDataServices/mosaic.html?datasetid=NONE","71573_Starra 276 STQ1097_Core Image")</f>
        <v>71573_Starra 276 STQ1097_Core Image</v>
      </c>
    </row>
    <row r="3880" spans="1:11" x14ac:dyDescent="0.25">
      <c r="A3880" t="str">
        <f>HYPERLINK("http://www.corstruth.com.au/Qld/71574_Starra_276_STQ1099W1_cs.png","71574_Starra 276 STQ1099W1_A4")</f>
        <v>71574_Starra 276 STQ1099W1_A4</v>
      </c>
      <c r="B3880" t="str">
        <f>HYPERLINK("http://www.corstruth.com.au/Qld/PNG2/71574_Starra_276_STQ1099W1_cs.png","71574_Starra 276 STQ1099W1_0.25m Bins")</f>
        <v>71574_Starra 276 STQ1099W1_0.25m Bins</v>
      </c>
      <c r="C3880" t="str">
        <f>HYPERLINK("http://www.corstruth.com.au/Qld/CSV/71574_Starra_276_STQ1099W1.csv","71574_Starra 276 STQ1099W1_CSV File 1m Bins")</f>
        <v>71574_Starra 276 STQ1099W1_CSV File 1m Bins</v>
      </c>
      <c r="D3880">
        <v>71574</v>
      </c>
      <c r="E3880" t="s">
        <v>2193</v>
      </c>
      <c r="I3880">
        <v>-21.6632</v>
      </c>
      <c r="J3880">
        <v>140.47399999999999</v>
      </c>
      <c r="K3880" t="str">
        <f>HYPERLINK("http://geology.information.qld.gov.au/NVCLDataServices/mosaic.html?datasetid=620d66e1-ad26-4971-b581-80cae07d02c","71574_Starra 276 STQ1099W1_Core Image")</f>
        <v>71574_Starra 276 STQ1099W1_Core Image</v>
      </c>
    </row>
    <row r="3881" spans="1:11" x14ac:dyDescent="0.25">
      <c r="A3881" t="str">
        <f>HYPERLINK("http://www.corstruth.com.au/Qld/71575_Merlin_MDQ0354_cs.png","71575_Merlin MDQ0354_A4")</f>
        <v>71575_Merlin MDQ0354_A4</v>
      </c>
      <c r="B3881" t="str">
        <f>HYPERLINK("http://www.corstruth.com.au/Qld/PNG2/71575_Merlin_MDQ0354_cs.png","71575_Merlin MDQ0354_0.25m Bins")</f>
        <v>71575_Merlin MDQ0354_0.25m Bins</v>
      </c>
      <c r="C3881" t="str">
        <f>HYPERLINK("http://www.corstruth.com.au/Qld/CSV/71575_Merlin_MDQ0354.csv","71575_Merlin MDQ0354_CSV File 1m Bins")</f>
        <v>71575_Merlin MDQ0354_CSV File 1m Bins</v>
      </c>
      <c r="D3881">
        <v>71575</v>
      </c>
      <c r="E3881" t="s">
        <v>2193</v>
      </c>
      <c r="I3881">
        <v>-21.651499999999999</v>
      </c>
      <c r="J3881">
        <v>140.494</v>
      </c>
      <c r="K3881" t="str">
        <f>HYPERLINK("http://geology.information.qld.gov.au/NVCLDataServices/mosaic.html?datasetid=f0b9b9a5-8ff3-46cd-9e00-93dc2e322cd","71575_Merlin MDQ0354_Core Image")</f>
        <v>71575_Merlin MDQ0354_Core Image</v>
      </c>
    </row>
    <row r="3882" spans="1:11" x14ac:dyDescent="0.25">
      <c r="A3882" t="str">
        <f>HYPERLINK("http://www.corstruth.com.au/Qld/71754_Cannington_CUD5198_cs.png","71754_Cannington CUD5198_A4")</f>
        <v>71754_Cannington CUD5198_A4</v>
      </c>
      <c r="B3882" t="str">
        <f>HYPERLINK("http://www.corstruth.com.au/Qld/PNG2/71754_Cannington_CUD5198_cs.png","71754_Cannington CUD5198_0.25m Bins")</f>
        <v>71754_Cannington CUD5198_0.25m Bins</v>
      </c>
      <c r="C3882" t="str">
        <f>HYPERLINK("http://www.corstruth.com.au/Qld/CSV/71754_Cannington_CUD5198.csv","71754_Cannington CUD5198_CSV File 1m Bins")</f>
        <v>71754_Cannington CUD5198_CSV File 1m Bins</v>
      </c>
      <c r="D3882">
        <v>71754</v>
      </c>
      <c r="E3882" t="s">
        <v>2193</v>
      </c>
      <c r="I3882">
        <v>-21.8628</v>
      </c>
      <c r="J3882">
        <v>140.923</v>
      </c>
      <c r="K3882" t="str">
        <f>HYPERLINK("http://geology.information.qld.gov.au/NVCLDataServices/mosaic.html?datasetid=b5fecb90-e0f8-4f36-83df-a2045c665be","71754_Cannington CUD5198_Core Image")</f>
        <v>71754_Cannington CUD5198_Core Image</v>
      </c>
    </row>
    <row r="3883" spans="1:11" x14ac:dyDescent="0.25">
      <c r="A3883" t="str">
        <f>HYPERLINK("http://www.corstruth.com.au/Qld/71762_Ernest_Henry_EH435_cs.png","71762_Ernest Henry EH435_A4")</f>
        <v>71762_Ernest Henry EH435_A4</v>
      </c>
      <c r="B3883" t="str">
        <f>HYPERLINK("http://www.corstruth.com.au/Qld/PNG2/71762_Ernest_Henry_EH435_cs.png","71762_Ernest Henry EH435_0.25m Bins")</f>
        <v>71762_Ernest Henry EH435_0.25m Bins</v>
      </c>
      <c r="C3883" t="str">
        <f>HYPERLINK("http://www.corstruth.com.au/Qld/CSV/71762_Ernest_Henry_EH435.csv","71762_Ernest Henry EH435_CSV File 1m Bins")</f>
        <v>71762_Ernest Henry EH435_CSV File 1m Bins</v>
      </c>
      <c r="D3883">
        <v>71762</v>
      </c>
      <c r="E3883" t="s">
        <v>2193</v>
      </c>
      <c r="I3883">
        <v>-20.447600000000001</v>
      </c>
      <c r="J3883">
        <v>140.70500000000001</v>
      </c>
      <c r="K3883" t="str">
        <f>HYPERLINK("http://geology.information.qld.gov.au/NVCLDataServices/mosaic.html?datasetid=f34c97f9-b070-42e0-87a6-15024afd886","71762_Ernest Henry EH435_Core Image")</f>
        <v>71762_Ernest Henry EH435_Core Image</v>
      </c>
    </row>
    <row r="3884" spans="1:11" x14ac:dyDescent="0.25">
      <c r="A3884" t="str">
        <f>HYPERLINK("http://www.corstruth.com.au/Qld/71763_Ernest_Henry_EH550_cs.png","71763_Ernest Henry EH550_A4")</f>
        <v>71763_Ernest Henry EH550_A4</v>
      </c>
      <c r="B3884" t="str">
        <f>HYPERLINK("http://www.corstruth.com.au/Qld/PNG2/71763_Ernest_Henry_EH550_cs.png","71763_Ernest Henry EH550_0.25m Bins")</f>
        <v>71763_Ernest Henry EH550_0.25m Bins</v>
      </c>
      <c r="C3884" t="str">
        <f>HYPERLINK("http://www.corstruth.com.au/Qld/CSV/71763_Ernest_Henry_EH550.csv","71763_Ernest Henry EH550_CSV File 1m Bins")</f>
        <v>71763_Ernest Henry EH550_CSV File 1m Bins</v>
      </c>
      <c r="D3884">
        <v>71763</v>
      </c>
      <c r="E3884" t="s">
        <v>2193</v>
      </c>
      <c r="I3884">
        <v>-20.451599999999999</v>
      </c>
      <c r="J3884">
        <v>140.70599999999999</v>
      </c>
      <c r="K3884" t="str">
        <f>HYPERLINK("http://geology.information.qld.gov.au/NVCLDataServices/mosaic.html?datasetid=01ef12f1-cc9e-42af-af72-72a89cddada","71763_Ernest Henry EH550_Core Image")</f>
        <v>71763_Ernest Henry EH550_Core Image</v>
      </c>
    </row>
    <row r="3885" spans="1:11" x14ac:dyDescent="0.25">
      <c r="A3885" t="str">
        <f>HYPERLINK("http://www.corstruth.com.au/Qld/71815_TickHillTH007_cs.png","71815_TickHillTH007_A4")</f>
        <v>71815_TickHillTH007_A4</v>
      </c>
      <c r="B3885" t="str">
        <f>HYPERLINK("http://www.corstruth.com.au/Qld/PNG2/71815_TickHillTH007_cs.png","71815_TickHillTH007_0.25m Bins")</f>
        <v>71815_TickHillTH007_0.25m Bins</v>
      </c>
      <c r="C3885" t="str">
        <f>HYPERLINK("http://www.corstruth.com.au/Qld/CSV/71815_TickHillTH007.csv","71815_TickHillTH007_CSV File 1m Bins")</f>
        <v>71815_TickHillTH007_CSV File 1m Bins</v>
      </c>
      <c r="D3885">
        <v>71815</v>
      </c>
      <c r="E3885" t="s">
        <v>2193</v>
      </c>
      <c r="I3885">
        <v>-21.6463</v>
      </c>
      <c r="J3885">
        <v>139.92500000000001</v>
      </c>
      <c r="K3885" t="str">
        <f>HYPERLINK("http://geology.information.qld.gov.au/NVCLDataServices/mosaic.html?datasetid=97dad2b3-9da4-4296-ae57-e4e35a9c6e7","71815_TickHillTH007_Core Image")</f>
        <v>71815_TickHillTH007_Core Image</v>
      </c>
    </row>
    <row r="3886" spans="1:11" x14ac:dyDescent="0.25">
      <c r="A3886" t="str">
        <f>HYPERLINK("http://www.corstruth.com.au/Qld/71841_TickHillTH547_cs.png","71841_TickHillTH547_A4")</f>
        <v>71841_TickHillTH547_A4</v>
      </c>
      <c r="B3886" t="str">
        <f>HYPERLINK("http://www.corstruth.com.au/Qld/PNG2/71841_TickHillTH547_cs.png","71841_TickHillTH547_0.25m Bins")</f>
        <v>71841_TickHillTH547_0.25m Bins</v>
      </c>
      <c r="C3886" t="str">
        <f>HYPERLINK("http://www.corstruth.com.au/Qld/CSV/71841_TickHillTH547.csv","71841_TickHillTH547_CSV File 1m Bins")</f>
        <v>71841_TickHillTH547_CSV File 1m Bins</v>
      </c>
      <c r="D3886">
        <v>71841</v>
      </c>
      <c r="E3886" t="s">
        <v>2193</v>
      </c>
      <c r="I3886">
        <v>-21.6496</v>
      </c>
      <c r="J3886">
        <v>139.92099999999999</v>
      </c>
      <c r="K3886" t="str">
        <f>HYPERLINK("http://geology.information.qld.gov.au/NVCLDataServices/mosaic.html?datasetid=fd4f7c03-9758-4029-9420-439a7c1cdaa","71841_TickHillTH547_Core Image")</f>
        <v>71841_TickHillTH547_Core Image</v>
      </c>
    </row>
    <row r="3887" spans="1:11" x14ac:dyDescent="0.25">
      <c r="A3887" t="str">
        <f>HYPERLINK("http://www.corstruth.com.au/Qld/72249_Maronan_MND26_cs.png","72249_Maronan MND26_A4")</f>
        <v>72249_Maronan MND26_A4</v>
      </c>
      <c r="B3887" t="str">
        <f>HYPERLINK("http://www.corstruth.com.au/Qld/PNG2/72249_Maronan_MND26_cs.png","72249_Maronan MND26_0.25m Bins")</f>
        <v>72249_Maronan MND26_0.25m Bins</v>
      </c>
      <c r="C3887" t="str">
        <f>HYPERLINK("http://www.corstruth.com.au/Qld/CSV/72249_Maronan_MND26.csv","72249_Maronan MND26_CSV File 1m Bins")</f>
        <v>72249_Maronan MND26_CSV File 1m Bins</v>
      </c>
      <c r="D3887">
        <v>72249</v>
      </c>
      <c r="E3887" t="s">
        <v>2193</v>
      </c>
      <c r="I3887">
        <v>-21.067699999999999</v>
      </c>
      <c r="J3887">
        <v>140.92099999999999</v>
      </c>
      <c r="K3887" t="str">
        <f>HYPERLINK("http://geology.information.qld.gov.au/NVCLDataServices/mosaic.html?datasetid=258da22c-f333-485d-ad27-b16785522d6","72249_Maronan MND26_Core Image")</f>
        <v>72249_Maronan MND26_Core Image</v>
      </c>
    </row>
    <row r="3888" spans="1:11" x14ac:dyDescent="0.25">
      <c r="A3888" t="str">
        <f>HYPERLINK("http://www.corstruth.com.au/Qld/72250_Maronan_MRN6005_cs.png","72250_Maronan MRN6005_A4")</f>
        <v>72250_Maronan MRN6005_A4</v>
      </c>
      <c r="B3888" t="str">
        <f>HYPERLINK("http://www.corstruth.com.au/Qld/PNG2/72250_Maronan_MRN6005_cs.png","72250_Maronan MRN6005_0.25m Bins")</f>
        <v>72250_Maronan MRN6005_0.25m Bins</v>
      </c>
      <c r="C3888" t="str">
        <f>HYPERLINK("http://www.corstruth.com.au/Qld/CSV/72250_Maronan_MRN6005.csv","72250_Maronan MRN6005_CSV File 1m Bins")</f>
        <v>72250_Maronan MRN6005_CSV File 1m Bins</v>
      </c>
      <c r="D3888">
        <v>72250</v>
      </c>
      <c r="E3888" t="s">
        <v>2193</v>
      </c>
      <c r="I3888">
        <v>-21.072099999999999</v>
      </c>
      <c r="J3888">
        <v>140.91900000000001</v>
      </c>
      <c r="K3888" t="str">
        <f>HYPERLINK("http://geology.information.qld.gov.au/NVCLDataServices/mosaic.html?datasetid=ab1e3412-fee3-40e3-a775-0d45009f27b","72250_Maronan MRN6005_Core Image")</f>
        <v>72250_Maronan MRN6005_Core Image</v>
      </c>
    </row>
    <row r="3889" spans="1:11" x14ac:dyDescent="0.25">
      <c r="A3889" t="str">
        <f>HYPERLINK("http://www.corstruth.com.au/Qld/72251_Maronan_MRN8003_cs.png","72251_Maronan MRN8003_A4")</f>
        <v>72251_Maronan MRN8003_A4</v>
      </c>
      <c r="B3889" t="str">
        <f>HYPERLINK("http://www.corstruth.com.au/Qld/PNG2/72251_Maronan_MRN8003_cs.png","72251_Maronan MRN8003_0.25m Bins")</f>
        <v>72251_Maronan MRN8003_0.25m Bins</v>
      </c>
      <c r="C3889" t="str">
        <f>HYPERLINK("http://www.corstruth.com.au/Qld/CSV/72251_Maronan_MRN8003.csv","72251_Maronan MRN8003_CSV File 1m Bins")</f>
        <v>72251_Maronan MRN8003_CSV File 1m Bins</v>
      </c>
      <c r="D3889">
        <v>72251</v>
      </c>
      <c r="E3889" t="s">
        <v>2193</v>
      </c>
      <c r="I3889">
        <v>-21.0688</v>
      </c>
      <c r="J3889">
        <v>140.90899999999999</v>
      </c>
      <c r="K3889" t="str">
        <f>HYPERLINK("http://geology.information.qld.gov.au/NVCLDataServices/mosaic.html?datasetid=259d027b-d299-4898-9c7d-0585fd220a9","72251_Maronan MRN8003_Core Image")</f>
        <v>72251_Maronan MRN8003_Core Image</v>
      </c>
    </row>
    <row r="3890" spans="1:11" x14ac:dyDescent="0.25">
      <c r="A3890" t="str">
        <f>HYPERLINK("http://www.corstruth.com.au/Qld/72252_Maronan_MRN14003_cs.png","72252_Maronan MRN14003_A4")</f>
        <v>72252_Maronan MRN14003_A4</v>
      </c>
      <c r="B3890" t="str">
        <f>HYPERLINK("http://www.corstruth.com.au/Qld/PNG2/72252_Maronan_MRN14003_cs.png","72252_Maronan MRN14003_0.25m Bins")</f>
        <v>72252_Maronan MRN14003_0.25m Bins</v>
      </c>
      <c r="C3890" t="str">
        <f>HYPERLINK("http://www.corstruth.com.au/Qld/CSV/72252_Maronan_MRN14003.csv","72252_Maronan MRN14003_CSV File 1m Bins")</f>
        <v>72252_Maronan MRN14003_CSV File 1m Bins</v>
      </c>
      <c r="D3890">
        <v>72252</v>
      </c>
      <c r="E3890" t="s">
        <v>2193</v>
      </c>
      <c r="I3890">
        <v>-21.060600000000001</v>
      </c>
      <c r="J3890">
        <v>140.917</v>
      </c>
      <c r="K3890" t="str">
        <f>HYPERLINK("http://geology.information.qld.gov.au/NVCLDataServices/mosaic.html?datasetid=60d8c814-8ad5-45bc-8172-dfd11d67f1f","72252_Maronan MRN14003_Core Image")</f>
        <v>72252_Maronan MRN14003_Core Image</v>
      </c>
    </row>
    <row r="3891" spans="1:11" x14ac:dyDescent="0.25">
      <c r="A3891" t="str">
        <f>HYPERLINK("http://www.corstruth.com.au/Qld/72253_Maronan_MRN14008_cs.png","72253_Maronan MRN14008_A4")</f>
        <v>72253_Maronan MRN14008_A4</v>
      </c>
      <c r="B3891" t="str">
        <f>HYPERLINK("http://www.corstruth.com.au/Qld/PNG2/72253_Maronan_MRN14008_cs.png","72253_Maronan MRN14008_0.25m Bins")</f>
        <v>72253_Maronan MRN14008_0.25m Bins</v>
      </c>
      <c r="C3891" t="str">
        <f>HYPERLINK("http://www.corstruth.com.au/Qld/CSV/72253_Maronan_MRN14008.csv","72253_Maronan MRN14008_CSV File 1m Bins")</f>
        <v>72253_Maronan MRN14008_CSV File 1m Bins</v>
      </c>
      <c r="D3891">
        <v>72253</v>
      </c>
      <c r="E3891" t="s">
        <v>2193</v>
      </c>
      <c r="I3891">
        <v>-21.0608</v>
      </c>
      <c r="J3891">
        <v>140.916</v>
      </c>
      <c r="K3891" t="str">
        <f>HYPERLINK("http://geology.information.qld.gov.au/NVCLDataServices/mosaic.html?datasetid=ef077306-fd7a-4b79-bb5e-eb63ea06cb2","72253_Maronan MRN14008_Core Image")</f>
        <v>72253_Maronan MRN14008_Core Image</v>
      </c>
    </row>
    <row r="3892" spans="1:11" x14ac:dyDescent="0.25">
      <c r="A3892" t="str">
        <f>HYPERLINK("http://www.corstruth.com.au/Qld/72254_MtLeyshonMLD252_cs.png","72254_MtLeyshonMLD252_A4")</f>
        <v>72254_MtLeyshonMLD252_A4</v>
      </c>
      <c r="B3892" t="str">
        <f>HYPERLINK("http://www.corstruth.com.au/Qld/PNG2/72254_MtLeyshonMLD252_cs.png","72254_MtLeyshonMLD252_0.25m Bins")</f>
        <v>72254_MtLeyshonMLD252_0.25m Bins</v>
      </c>
      <c r="C3892" t="str">
        <f>HYPERLINK("http://www.corstruth.com.au/Qld/CSV/72254_MtLeyshonMLD252.csv","72254_MtLeyshonMLD252_CSV File 1m Bins")</f>
        <v>72254_MtLeyshonMLD252_CSV File 1m Bins</v>
      </c>
      <c r="D3892">
        <v>72254</v>
      </c>
      <c r="E3892" t="s">
        <v>2193</v>
      </c>
      <c r="I3892">
        <v>-20.292100000000001</v>
      </c>
      <c r="J3892">
        <v>146.273</v>
      </c>
      <c r="K3892" t="str">
        <f>HYPERLINK("http://geology.information.qld.gov.au/NVCLDataServices/mosaic.html?datasetid=15d0a09b-003a-4136-9c43-b8b641f2d7f","72254_MtLeyshonMLD252_Core Image")</f>
        <v>72254_MtLeyshonMLD252_Core Image</v>
      </c>
    </row>
    <row r="3893" spans="1:11" x14ac:dyDescent="0.25">
      <c r="A3893" t="str">
        <f>HYPERLINK("http://www.corstruth.com.au/Qld/72255_MtLeyshonMLD301_cs.png","72255_MtLeyshonMLD301_A4")</f>
        <v>72255_MtLeyshonMLD301_A4</v>
      </c>
      <c r="B3893" t="str">
        <f>HYPERLINK("http://www.corstruth.com.au/Qld/PNG2/72255_MtLeyshonMLD301_cs.png","72255_MtLeyshonMLD301_0.25m Bins")</f>
        <v>72255_MtLeyshonMLD301_0.25m Bins</v>
      </c>
      <c r="C3893" t="str">
        <f>HYPERLINK("http://www.corstruth.com.au/Qld/CSV/72255_MtLeyshonMLD301.csv","72255_MtLeyshonMLD301_CSV File 1m Bins")</f>
        <v>72255_MtLeyshonMLD301_CSV File 1m Bins</v>
      </c>
      <c r="D3893">
        <v>72255</v>
      </c>
      <c r="E3893" t="s">
        <v>2193</v>
      </c>
      <c r="I3893">
        <v>-20.292300000000001</v>
      </c>
      <c r="J3893">
        <v>146.268</v>
      </c>
      <c r="K3893" t="str">
        <f>HYPERLINK("http://geology.information.qld.gov.au/NVCLDataServices/mosaic.html?datasetid=85cf766d-2d7c-45c9-956d-ca0b474a034","72255_MtLeyshonMLD301_Core Image")</f>
        <v>72255_MtLeyshonMLD301_Core Image</v>
      </c>
    </row>
    <row r="3894" spans="1:11" x14ac:dyDescent="0.25">
      <c r="A3894" t="str">
        <f>HYPERLINK("http://www.corstruth.com.au/Qld/72256_MtLeyshonMLD426_cs.png","72256_MtLeyshonMLD426_A4")</f>
        <v>72256_MtLeyshonMLD426_A4</v>
      </c>
      <c r="B3894" t="str">
        <f>HYPERLINK("http://www.corstruth.com.au/Qld/PNG2/72256_MtLeyshonMLD426_cs.png","72256_MtLeyshonMLD426_0.25m Bins")</f>
        <v>72256_MtLeyshonMLD426_0.25m Bins</v>
      </c>
      <c r="C3894" t="str">
        <f>HYPERLINK("http://www.corstruth.com.au/Qld/CSV/72256_MtLeyshonMLD426.csv","72256_MtLeyshonMLD426_CSV File 1m Bins")</f>
        <v>72256_MtLeyshonMLD426_CSV File 1m Bins</v>
      </c>
      <c r="D3894">
        <v>72256</v>
      </c>
      <c r="E3894" t="s">
        <v>2193</v>
      </c>
      <c r="I3894">
        <v>-20.292400000000001</v>
      </c>
      <c r="J3894">
        <v>146.274</v>
      </c>
      <c r="K3894" t="str">
        <f>HYPERLINK("http://geology.information.qld.gov.au/NVCLDataServices/mosaic.html?datasetid=73125e4b-8558-4223-8215-9033eb07b84","72256_MtLeyshonMLD426_Core Image")</f>
        <v>72256_MtLeyshonMLD426_Core Image</v>
      </c>
    </row>
    <row r="3895" spans="1:11" x14ac:dyDescent="0.25">
      <c r="A3895" t="str">
        <f>HYPERLINK("http://www.corstruth.com.au/Qld/72557_Mt_Dore_MDHQ-04-0075_cs.png","72557_Mt Dore MDHQ-04-0075_A4")</f>
        <v>72557_Mt Dore MDHQ-04-0075_A4</v>
      </c>
      <c r="B3895" t="str">
        <f>HYPERLINK("http://www.corstruth.com.au/Qld/PNG2/72557_Mt_Dore_MDHQ-04-0075_cs.png","72557_Mt Dore MDHQ-04-0075_0.25m Bins")</f>
        <v>72557_Mt Dore MDHQ-04-0075_0.25m Bins</v>
      </c>
      <c r="C3895" t="str">
        <f>HYPERLINK("http://www.corstruth.com.au/Qld/CSV/72557_Mt_Dore_MDHQ-04-0075.csv","72557_Mt Dore MDHQ-04-0075_CSV File 1m Bins")</f>
        <v>72557_Mt Dore MDHQ-04-0075_CSV File 1m Bins</v>
      </c>
      <c r="D3895">
        <v>72557</v>
      </c>
      <c r="E3895" t="s">
        <v>2193</v>
      </c>
      <c r="I3895">
        <v>-21.661999999999999</v>
      </c>
      <c r="J3895">
        <v>140.494</v>
      </c>
      <c r="K3895" t="str">
        <f>HYPERLINK("http://geology.information.qld.gov.au/NVCLDataServices/mosaic.html?datasetid=17f3f8af-f23e-4959-9f0b-5c941f3b3fb","72557_Mt Dore MDHQ-04-0075_Core Image")</f>
        <v>72557_Mt Dore MDHQ-04-0075_Core Image</v>
      </c>
    </row>
    <row r="3896" spans="1:11" x14ac:dyDescent="0.25">
      <c r="A3896" t="str">
        <f>HYPERLINK("http://www.corstruth.com.au/Qld/72558_Trekelano_TKD0174_cs.png","72558_Trekelano TKD0174_A4")</f>
        <v>72558_Trekelano TKD0174_A4</v>
      </c>
      <c r="B3896" t="str">
        <f>HYPERLINK("http://www.corstruth.com.au/Qld/PNG2/72558_Trekelano_TKD0174_cs.png","72558_Trekelano TKD0174_0.25m Bins")</f>
        <v>72558_Trekelano TKD0174_0.25m Bins</v>
      </c>
      <c r="C3896" t="str">
        <f>HYPERLINK("http://www.corstruth.com.au/Qld/CSV/72558_Trekelano_TKD0174.csv","72558_Trekelano TKD0174_CSV File 1m Bins")</f>
        <v>72558_Trekelano TKD0174_CSV File 1m Bins</v>
      </c>
      <c r="D3896">
        <v>72558</v>
      </c>
      <c r="E3896" t="s">
        <v>2193</v>
      </c>
      <c r="I3896">
        <v>-21.485199999999999</v>
      </c>
      <c r="J3896">
        <v>139.9</v>
      </c>
      <c r="K3896" t="str">
        <f>HYPERLINK("http://geology.information.qld.gov.au/NVCLDataServices/mosaic.html?datasetid=a2f60f65-1887-42d3-a0c2-8cdbf842fe4","72558_Trekelano TKD0174_Core Image")</f>
        <v>72558_Trekelano TKD0174_Core Image</v>
      </c>
    </row>
    <row r="3897" spans="1:11" x14ac:dyDescent="0.25">
      <c r="A3897" t="str">
        <f>HYPERLINK("http://www.corstruth.com.au/Qld/72560_StarraSTQ1095_cs.png","72560_StarraSTQ1095_A4")</f>
        <v>72560_StarraSTQ1095_A4</v>
      </c>
      <c r="B3897" t="str">
        <f>HYPERLINK("http://www.corstruth.com.au/Qld/PNG2/72560_StarraSTQ1095_cs.png","72560_StarraSTQ1095_0.25m Bins")</f>
        <v>72560_StarraSTQ1095_0.25m Bins</v>
      </c>
      <c r="C3897" t="str">
        <f>HYPERLINK("http://www.corstruth.com.au/Qld/CSV/72560_StarraSTQ1095.csv","72560_StarraSTQ1095_CSV File 1m Bins")</f>
        <v>72560_StarraSTQ1095_CSV File 1m Bins</v>
      </c>
      <c r="D3897">
        <v>72560</v>
      </c>
      <c r="E3897" t="s">
        <v>2193</v>
      </c>
      <c r="I3897">
        <v>-21.6784</v>
      </c>
      <c r="J3897">
        <v>140.48099999999999</v>
      </c>
      <c r="K3897" t="str">
        <f>HYPERLINK("http://geology.information.qld.gov.au/NVCLDataServices/mosaic.html?datasetid=87176421-ee42-4142-af90-3cc9cdb59fb","72560_StarraSTQ1095_Core Image")</f>
        <v>72560_StarraSTQ1095_Core Image</v>
      </c>
    </row>
    <row r="3898" spans="1:11" x14ac:dyDescent="0.25">
      <c r="A3898" t="str">
        <f>HYPERLINK("http://www.corstruth.com.au/Qld/72561_SwanMEQ1215_cs.png","72561_SwanMEQ1215_A4")</f>
        <v>72561_SwanMEQ1215_A4</v>
      </c>
      <c r="B3898" t="str">
        <f>HYPERLINK("http://www.corstruth.com.au/Qld/PNG2/72561_SwanMEQ1215_cs.png","72561_SwanMEQ1215_0.25m Bins")</f>
        <v>72561_SwanMEQ1215_0.25m Bins</v>
      </c>
      <c r="C3898" t="str">
        <f>HYPERLINK("http://www.corstruth.com.au/Qld/CSV/72561_SwanMEQ1215.csv","72561_SwanMEQ1215_CSV File 1m Bins")</f>
        <v>72561_SwanMEQ1215_CSV File 1m Bins</v>
      </c>
      <c r="D3898">
        <v>72561</v>
      </c>
      <c r="E3898" t="s">
        <v>2193</v>
      </c>
      <c r="I3898">
        <v>-21.536799999999999</v>
      </c>
      <c r="J3898">
        <v>140.49700000000001</v>
      </c>
      <c r="K3898" t="str">
        <f>HYPERLINK("http://geology.information.qld.gov.au/NVCLDataServices/mosaic.html?datasetid=b3614e14-191b-48e6-9872-5006f3362f5","72561_SwanMEQ1215_Core Image")</f>
        <v>72561_SwanMEQ1215_Core Image</v>
      </c>
    </row>
    <row r="3899" spans="1:11" x14ac:dyDescent="0.25">
      <c r="A3899" t="str">
        <f>HYPERLINK("http://www.corstruth.com.au/Qld/72562_OsborneOSHQ0067_cs.png","72562_OsborneOSHQ0067_A4")</f>
        <v>72562_OsborneOSHQ0067_A4</v>
      </c>
      <c r="B3899" t="str">
        <f>HYPERLINK("http://www.corstruth.com.au/Qld/PNG2/72562_OsborneOSHQ0067_cs.png","72562_OsborneOSHQ0067_0.25m Bins")</f>
        <v>72562_OsborneOSHQ0067_0.25m Bins</v>
      </c>
      <c r="C3899" t="str">
        <f>HYPERLINK("http://www.corstruth.com.au/Qld/CSV/72562_OsborneOSHQ0067.csv","72562_OsborneOSHQ0067_CSV File 1m Bins")</f>
        <v>72562_OsborneOSHQ0067_CSV File 1m Bins</v>
      </c>
      <c r="D3899">
        <v>72562</v>
      </c>
      <c r="E3899" t="s">
        <v>2193</v>
      </c>
      <c r="I3899">
        <v>-22.0959</v>
      </c>
      <c r="J3899">
        <v>140.476</v>
      </c>
      <c r="K3899" t="str">
        <f>HYPERLINK("http://geology.information.qld.gov.au/NVCLDataServices/mosaic.html?datasetid=27997f44-a1fc-4a57-9d5b-00c8ce4f91d","72562_OsborneOSHQ0067_Core Image")</f>
        <v>72562_OsborneOSHQ0067_Core Image</v>
      </c>
    </row>
    <row r="3900" spans="1:11" x14ac:dyDescent="0.25">
      <c r="A3900" t="str">
        <f>HYPERLINK("http://www.corstruth.com.au/Qld/72563_Kulthor_SUNQ0215_cs.png","72563_Kulthor SUNQ0215_A4")</f>
        <v>72563_Kulthor SUNQ0215_A4</v>
      </c>
      <c r="B3900" t="str">
        <f>HYPERLINK("http://www.corstruth.com.au/Qld/PNG2/72563_Kulthor_SUNQ0215_cs.png","72563_Kulthor SUNQ0215_0.25m Bins")</f>
        <v>72563_Kulthor SUNQ0215_0.25m Bins</v>
      </c>
      <c r="C3900" t="str">
        <f>HYPERLINK("http://www.corstruth.com.au/Qld/CSV/72563_Kulthor_SUNQ0215.csv","72563_Kulthor SUNQ0215_CSV File 1m Bins")</f>
        <v>72563_Kulthor SUNQ0215_CSV File 1m Bins</v>
      </c>
      <c r="D3900">
        <v>72563</v>
      </c>
      <c r="E3900" t="s">
        <v>2193</v>
      </c>
      <c r="I3900">
        <v>-22.098299999999998</v>
      </c>
      <c r="J3900">
        <v>140.55199999999999</v>
      </c>
      <c r="K3900" t="str">
        <f>HYPERLINK("http://geology.information.qld.gov.au/NVCLDataServices/mosaic.html?datasetid=ff1f4acd-be18-4cbb-9156-dbb029bb7b2","72563_Kulthor SUNQ0215_Core Image")</f>
        <v>72563_Kulthor SUNQ0215_Core Image</v>
      </c>
    </row>
    <row r="3901" spans="1:11" x14ac:dyDescent="0.25">
      <c r="A3901" t="str">
        <f>HYPERLINK("http://www.corstruth.com.au/Qld/72564_Osborne_TTNQ0364_cs.png","72564_Osborne TTNQ0364_A4")</f>
        <v>72564_Osborne TTNQ0364_A4</v>
      </c>
      <c r="B3901" t="str">
        <f>HYPERLINK("http://www.corstruth.com.au/Qld/PNG2/72564_Osborne_TTNQ0364_cs.png","72564_Osborne TTNQ0364_0.25m Bins")</f>
        <v>72564_Osborne TTNQ0364_0.25m Bins</v>
      </c>
      <c r="C3901" t="str">
        <f>HYPERLINK("http://www.corstruth.com.au/Qld/CSV/72564_Osborne_TTNQ0364.csv","72564_Osborne TTNQ0364_CSV File 1m Bins")</f>
        <v>72564_Osborne TTNQ0364_CSV File 1m Bins</v>
      </c>
      <c r="D3901">
        <v>72564</v>
      </c>
      <c r="E3901" t="s">
        <v>2193</v>
      </c>
      <c r="I3901">
        <v>-22.096499999999999</v>
      </c>
      <c r="J3901">
        <v>140.578</v>
      </c>
      <c r="K3901" t="str">
        <f>HYPERLINK("http://geology.information.qld.gov.au/NVCLDataServices/mosaic.html?datasetid=713f6fb5-2b4e-43c2-afc9-f40e1018341","72564_Osborne TTNQ0364_Core Image")</f>
        <v>72564_Osborne TTNQ0364_Core Image</v>
      </c>
    </row>
    <row r="3902" spans="1:11" x14ac:dyDescent="0.25">
      <c r="A3902" t="str">
        <f>HYPERLINK("http://www.corstruth.com.au/Qld/72653_MountElizabeth_MRD017_cs.png","72653_MountElizabeth_MRD017_A4")</f>
        <v>72653_MountElizabeth_MRD017_A4</v>
      </c>
      <c r="B3902" t="str">
        <f>HYPERLINK("http://www.corstruth.com.au/Qld/PNG2/72653_MountElizabeth_MRD017_cs.png","72653_MountElizabeth_MRD017_0.25m Bins")</f>
        <v>72653_MountElizabeth_MRD017_0.25m Bins</v>
      </c>
      <c r="C3902" t="str">
        <f>HYPERLINK("http://www.corstruth.com.au/Qld/CSV/72653_MountElizabeth_MRD017.csv","72653_MountElizabeth_MRD017_CSV File 1m Bins")</f>
        <v>72653_MountElizabeth_MRD017_CSV File 1m Bins</v>
      </c>
      <c r="D3902">
        <v>72653</v>
      </c>
      <c r="E3902" t="s">
        <v>2193</v>
      </c>
      <c r="I3902">
        <v>-25.593800000000002</v>
      </c>
      <c r="J3902">
        <v>152.57300000000001</v>
      </c>
      <c r="K3902" t="str">
        <f>HYPERLINK("http://geology.information.qld.gov.au/NVCLDataServices/mosaic.html?datasetid=3932d07b-8d41-4624-96c2-732b45635fa","72653_MountElizabeth_MRD017_Core Image")</f>
        <v>72653_MountElizabeth_MRD017_Core Image</v>
      </c>
    </row>
    <row r="3903" spans="1:11" x14ac:dyDescent="0.25">
      <c r="A3903" t="str">
        <f>HYPERLINK("http://www.corstruth.com.au/Qld/729_Warrinilla_North_1_cs.png","729_Warrinilla North 1_A4")</f>
        <v>729_Warrinilla North 1_A4</v>
      </c>
      <c r="B3903" t="str">
        <f>HYPERLINK("http://www.corstruth.com.au/Qld/PNG2/729_Warrinilla_North_1_cs.png","729_Warrinilla North 1_0.25m Bins")</f>
        <v>729_Warrinilla North 1_0.25m Bins</v>
      </c>
      <c r="C3903" t="str">
        <f>HYPERLINK("http://www.corstruth.com.au/Qld/CSV/729_Warrinilla_North_1.csv","729_Warrinilla North 1_CSV File 1m Bins")</f>
        <v>729_Warrinilla North 1_CSV File 1m Bins</v>
      </c>
      <c r="D3903">
        <v>729</v>
      </c>
      <c r="E3903" t="s">
        <v>2193</v>
      </c>
      <c r="I3903">
        <v>-24.878599999999999</v>
      </c>
      <c r="J3903">
        <v>148.53</v>
      </c>
    </row>
    <row r="3904" spans="1:11" x14ac:dyDescent="0.25">
      <c r="A3904" t="str">
        <f>HYPERLINK("http://www.corstruth.com.au/Qld/73369_Eulo_1_cs.png","73369_Eulo 1_A4")</f>
        <v>73369_Eulo 1_A4</v>
      </c>
      <c r="B3904" t="str">
        <f>HYPERLINK("http://www.corstruth.com.au/Qld/PNG2/73369_Eulo_1_cs.png","73369_Eulo 1_0.25m Bins")</f>
        <v>73369_Eulo 1_0.25m Bins</v>
      </c>
      <c r="C3904" t="str">
        <f>HYPERLINK("http://www.corstruth.com.au/Qld/CSV/73369_Eulo_1.csv","73369_Eulo 1_CSV File 1m Bins")</f>
        <v>73369_Eulo 1_CSV File 1m Bins</v>
      </c>
      <c r="D3904">
        <v>73369</v>
      </c>
      <c r="E3904" t="s">
        <v>2193</v>
      </c>
      <c r="I3904">
        <v>-27.461400000000001</v>
      </c>
      <c r="J3904">
        <v>145.267</v>
      </c>
      <c r="K3904" t="str">
        <f>HYPERLINK("http://geology.information.qld.gov.au/NVCLDataServices/mosaic.html?datasetid=0cee161d-1cc8-4d39-8c91-1f30e532354","73369_Eulo 1_Core Image")</f>
        <v>73369_Eulo 1_Core Image</v>
      </c>
    </row>
    <row r="3905" spans="1:11" x14ac:dyDescent="0.25">
      <c r="A3905" t="str">
        <f>HYPERLINK("http://www.corstruth.com.au/Qld/73370_Eulo_2_cs.png","73370_Eulo 2_A4")</f>
        <v>73370_Eulo 2_A4</v>
      </c>
      <c r="B3905" t="str">
        <f>HYPERLINK("http://www.corstruth.com.au/Qld/PNG2/73370_Eulo_2_cs.png","73370_Eulo 2_0.25m Bins")</f>
        <v>73370_Eulo 2_0.25m Bins</v>
      </c>
      <c r="C3905" t="str">
        <f>HYPERLINK("http://www.corstruth.com.au/Qld/CSV/73370_Eulo_2.csv","73370_Eulo 2_CSV File 1m Bins")</f>
        <v>73370_Eulo 2_CSV File 1m Bins</v>
      </c>
      <c r="D3905">
        <v>73370</v>
      </c>
      <c r="E3905" t="s">
        <v>2193</v>
      </c>
      <c r="I3905">
        <v>-28.31</v>
      </c>
      <c r="J3905">
        <v>145.10300000000001</v>
      </c>
      <c r="K3905" t="str">
        <f>HYPERLINK("http://geology.information.qld.gov.au/NVCLDataServices/mosaic.html?datasetid=48924903-afa8-422a-8194-ab24d0a8bb6","73370_Eulo 2_Core Image")</f>
        <v>73370_Eulo 2_Core Image</v>
      </c>
    </row>
    <row r="3906" spans="1:11" x14ac:dyDescent="0.25">
      <c r="A3906" t="str">
        <f>HYPERLINK("http://www.corstruth.com.au/Qld/73371_Boondoona1_cs.png","73371_Boondoona1_A4")</f>
        <v>73371_Boondoona1_A4</v>
      </c>
      <c r="B3906" t="str">
        <f>HYPERLINK("http://www.corstruth.com.au/Qld/PNG2/73371_Boondoona1_cs.png","73371_Boondoona1_0.25m Bins")</f>
        <v>73371_Boondoona1_0.25m Bins</v>
      </c>
      <c r="C3906" t="str">
        <f>HYPERLINK("http://www.corstruth.com.au/Qld/CSV/73371_Boondoona1.csv","73371_Boondoona1_CSV File 1m Bins")</f>
        <v>73371_Boondoona1_CSV File 1m Bins</v>
      </c>
      <c r="D3906">
        <v>73371</v>
      </c>
      <c r="E3906" t="s">
        <v>2193</v>
      </c>
      <c r="I3906">
        <v>-27.946100000000001</v>
      </c>
      <c r="J3906">
        <v>144.83799999999999</v>
      </c>
      <c r="K3906" t="str">
        <f>HYPERLINK("http://geology.information.qld.gov.au/NVCLDataServices/mosaic.html?datasetid=b10b1069-86e9-4929-b834-4b4a0475460","73371_Boondoona1_Core Image")</f>
        <v>73371_Boondoona1_Core Image</v>
      </c>
    </row>
    <row r="3907" spans="1:11" x14ac:dyDescent="0.25">
      <c r="A3907" t="str">
        <f>HYPERLINK("http://www.corstruth.com.au/Qld/73374_Boondoona_1A_cs.png","73374_Boondoona 1A_A4")</f>
        <v>73374_Boondoona 1A_A4</v>
      </c>
      <c r="B3907" t="str">
        <f>HYPERLINK("http://www.corstruth.com.au/Qld/PNG2/73374_Boondoona_1A_cs.png","73374_Boondoona 1A_0.25m Bins")</f>
        <v>73374_Boondoona 1A_0.25m Bins</v>
      </c>
      <c r="C3907" t="str">
        <f>HYPERLINK("http://www.corstruth.com.au/Qld/CSV/73374_Boondoona_1A.csv","73374_Boondoona 1A_CSV File 1m Bins")</f>
        <v>73374_Boondoona 1A_CSV File 1m Bins</v>
      </c>
      <c r="D3907">
        <v>73374</v>
      </c>
      <c r="E3907" t="s">
        <v>2193</v>
      </c>
      <c r="I3907">
        <v>-27.946100000000001</v>
      </c>
      <c r="J3907">
        <v>144.83799999999999</v>
      </c>
      <c r="K3907" t="str">
        <f>HYPERLINK("http://geology.information.qld.gov.au/NVCLDataServices/mosaic.html?datasetid=341abae2-61ff-4a36-97dc-1bfbb8afe4c","73374_Boondoona 1A_Core Image")</f>
        <v>73374_Boondoona 1A_Core Image</v>
      </c>
    </row>
    <row r="3908" spans="1:11" x14ac:dyDescent="0.25">
      <c r="A3908" t="str">
        <f>HYPERLINK("http://www.corstruth.com.au/Qld/73375_Mount_Dewella_DDH_DEW_1A_cs.png","73375_Mount Dewella DDH DEW 1A_A4")</f>
        <v>73375_Mount Dewella DDH DEW 1A_A4</v>
      </c>
      <c r="B3908" t="str">
        <f>HYPERLINK("http://www.corstruth.com.au/Qld/PNG2/73375_Mount_Dewella_DDH_DEW_1A_cs.png","73375_Mount Dewella DDH DEW 1A_0.25m Bins")</f>
        <v>73375_Mount Dewella DDH DEW 1A_0.25m Bins</v>
      </c>
      <c r="C3908" t="str">
        <f>HYPERLINK("http://www.corstruth.com.au/Qld/CSV/73375_Mount_Dewella_DDH_DEW_1A.csv","73375_Mount Dewella DDH DEW 1A_CSV File 1m Bins")</f>
        <v>73375_Mount Dewella DDH DEW 1A_CSV File 1m Bins</v>
      </c>
      <c r="D3908">
        <v>73375</v>
      </c>
      <c r="E3908" t="s">
        <v>2193</v>
      </c>
      <c r="I3908">
        <v>-28.1082</v>
      </c>
      <c r="J3908">
        <v>144.68600000000001</v>
      </c>
      <c r="K3908" t="str">
        <f>HYPERLINK("http://geology.information.qld.gov.au/NVCLDataServices/mosaic.html?datasetid=695dcd3f-389e-43b2-99d4-4258e2583be","73375_Mount Dewella DDH DEW 1A_Core Image")</f>
        <v>73375_Mount Dewella DDH DEW 1A_Core Image</v>
      </c>
    </row>
    <row r="3909" spans="1:11" x14ac:dyDescent="0.25">
      <c r="A3909" t="str">
        <f>HYPERLINK("http://www.corstruth.com.au/Qld/73557_ReedyCreekSouth175_cs.png","73557_ReedyCreekSouth175_A4")</f>
        <v>73557_ReedyCreekSouth175_A4</v>
      </c>
      <c r="B3909" t="str">
        <f>HYPERLINK("http://www.corstruth.com.au/Qld/PNG2/73557_ReedyCreekSouth175_cs.png","73557_ReedyCreekSouth175_0.25m Bins")</f>
        <v>73557_ReedyCreekSouth175_0.25m Bins</v>
      </c>
      <c r="C3909" t="str">
        <f>HYPERLINK("http://www.corstruth.com.au/Qld/CSV/73557_ReedyCreekSouth175.csv","73557_ReedyCreekSouth175_CSV File 1m Bins")</f>
        <v>73557_ReedyCreekSouth175_CSV File 1m Bins</v>
      </c>
      <c r="D3909">
        <v>73557</v>
      </c>
      <c r="E3909" t="s">
        <v>2193</v>
      </c>
      <c r="I3909">
        <v>-26.4068</v>
      </c>
      <c r="J3909">
        <v>149.42599999999999</v>
      </c>
    </row>
    <row r="3910" spans="1:11" x14ac:dyDescent="0.25">
      <c r="A3910" t="str">
        <f>HYPERLINK("http://www.corstruth.com.au/Qld/73892_Eulo_3_cs.png","73892_Eulo 3_A4")</f>
        <v>73892_Eulo 3_A4</v>
      </c>
      <c r="B3910" t="str">
        <f>HYPERLINK("http://www.corstruth.com.au/Qld/PNG2/73892_Eulo_3_cs.png","73892_Eulo 3_0.25m Bins")</f>
        <v>73892_Eulo 3_0.25m Bins</v>
      </c>
      <c r="C3910" t="str">
        <f>HYPERLINK("http://www.corstruth.com.au/Qld/CSV/73892_Eulo_3.csv","73892_Eulo 3_CSV File 1m Bins")</f>
        <v>73892_Eulo 3_CSV File 1m Bins</v>
      </c>
      <c r="D3910">
        <v>73892</v>
      </c>
      <c r="E3910" t="s">
        <v>2193</v>
      </c>
      <c r="I3910">
        <v>-28.5806</v>
      </c>
      <c r="J3910">
        <v>144.76400000000001</v>
      </c>
      <c r="K3910" t="str">
        <f>HYPERLINK("http://geology.information.qld.gov.au/NVCLDataServices/mosaic.html?datasetid=NONE","73892_Eulo 3_Core Image")</f>
        <v>73892_Eulo 3_Core Image</v>
      </c>
    </row>
    <row r="3911" spans="1:11" x14ac:dyDescent="0.25">
      <c r="A3911" t="str">
        <f>HYPERLINK("http://www.corstruth.com.au/Qld/73893_Eulo_4_cs.png","73893_Eulo 4_A4")</f>
        <v>73893_Eulo 4_A4</v>
      </c>
      <c r="B3911" t="str">
        <f>HYPERLINK("http://www.corstruth.com.au/Qld/PNG2/73893_Eulo_4_cs.png","73893_Eulo 4_0.25m Bins")</f>
        <v>73893_Eulo 4_0.25m Bins</v>
      </c>
      <c r="C3911" t="str">
        <f>HYPERLINK("http://www.corstruth.com.au/Qld/CSV/73893_Eulo_4.csv","73893_Eulo 4_CSV File 1m Bins")</f>
        <v>73893_Eulo 4_CSV File 1m Bins</v>
      </c>
      <c r="D3911">
        <v>73893</v>
      </c>
      <c r="E3911" t="s">
        <v>2193</v>
      </c>
      <c r="I3911">
        <v>-28.388300000000001</v>
      </c>
      <c r="J3911">
        <v>144.78899999999999</v>
      </c>
      <c r="K3911" t="str">
        <f>HYPERLINK("http://geology.information.qld.gov.au/NVCLDataServices/mosaic.html?datasetid=11ed7ac4-4480-419a-a758-38afe4ab750","73893_Eulo 4_Core Image")</f>
        <v>73893_Eulo 4_Core Image</v>
      </c>
    </row>
    <row r="3912" spans="1:11" x14ac:dyDescent="0.25">
      <c r="A3912" t="str">
        <f>HYPERLINK("http://www.corstruth.com.au/Qld/74009_Cunnamulla_1_cs.png","74009_Cunnamulla 1_A4")</f>
        <v>74009_Cunnamulla 1_A4</v>
      </c>
      <c r="B3912" t="str">
        <f>HYPERLINK("http://www.corstruth.com.au/Qld/PNG2/74009_Cunnamulla_1_cs.png","74009_Cunnamulla 1_0.25m Bins")</f>
        <v>74009_Cunnamulla 1_0.25m Bins</v>
      </c>
      <c r="C3912" t="str">
        <f>HYPERLINK("http://www.corstruth.com.au/Qld/CSV/74009_Cunnamulla_1.csv","74009_Cunnamulla 1_CSV File 1m Bins")</f>
        <v>74009_Cunnamulla 1_CSV File 1m Bins</v>
      </c>
      <c r="D3912">
        <v>74009</v>
      </c>
      <c r="E3912" t="s">
        <v>2193</v>
      </c>
      <c r="I3912">
        <v>-28.898800000000001</v>
      </c>
      <c r="J3912">
        <v>146.32599999999999</v>
      </c>
      <c r="K3912" t="str">
        <f>HYPERLINK("http://geology.information.qld.gov.au/NVCLDataServices/mosaic.html?datasetid=67847f30-1cb6-4405-8812-0d0197bc0f5","74009_Cunnamulla 1_Core Image")</f>
        <v>74009_Cunnamulla 1_Core Image</v>
      </c>
    </row>
    <row r="3913" spans="1:11" x14ac:dyDescent="0.25">
      <c r="A3913" t="str">
        <f>HYPERLINK("http://www.corstruth.com.au/Qld/74023_Plainview34_cs.png","74023_Plainview34_A4")</f>
        <v>74023_Plainview34_A4</v>
      </c>
      <c r="B3913" t="str">
        <f>HYPERLINK("http://www.corstruth.com.au/Qld/PNG2/74023_Plainview34_cs.png","74023_Plainview34_0.25m Bins")</f>
        <v>74023_Plainview34_0.25m Bins</v>
      </c>
      <c r="C3913" t="str">
        <f>HYPERLINK("http://www.corstruth.com.au/Qld/CSV/74023_Plainview34.csv","74023_Plainview34_CSV File 1m Bins")</f>
        <v>74023_Plainview34_CSV File 1m Bins</v>
      </c>
      <c r="D3913">
        <v>74023</v>
      </c>
      <c r="E3913" t="s">
        <v>2193</v>
      </c>
      <c r="I3913">
        <v>-27.3828</v>
      </c>
      <c r="J3913">
        <v>151.18700000000001</v>
      </c>
    </row>
    <row r="3914" spans="1:11" x14ac:dyDescent="0.25">
      <c r="A3914" t="str">
        <f>HYPERLINK("http://www.corstruth.com.au/Qld/74671_FC4S_MMA001_cs.png","74671_FC4S MMA001_A4")</f>
        <v>74671_FC4S MMA001_A4</v>
      </c>
      <c r="B3914" t="str">
        <f>HYPERLINK("http://www.corstruth.com.au/Qld/PNG2/74671_FC4S_MMA001_cs.png","74671_FC4S MMA001_0.25m Bins")</f>
        <v>74671_FC4S MMA001_0.25m Bins</v>
      </c>
      <c r="C3914" t="str">
        <f>HYPERLINK("http://www.corstruth.com.au/Qld/CSV/74671_FC4S_MMA001.csv","74671_FC4S MMA001_CSV File 1m Bins")</f>
        <v>74671_FC4S MMA001_CSV File 1m Bins</v>
      </c>
      <c r="D3914">
        <v>74671</v>
      </c>
      <c r="E3914" t="s">
        <v>2193</v>
      </c>
      <c r="I3914">
        <v>-20.414300000000001</v>
      </c>
      <c r="J3914">
        <v>140.72399999999999</v>
      </c>
      <c r="K3914" t="str">
        <f>HYPERLINK("http://geology.information.qld.gov.au/NVCLDataServices/mosaic.html?datasetid=57b1c279-9c1c-43b5-9ade-ee502b00c25","74671_FC4S MMA001_Core Image")</f>
        <v>74671_FC4S MMA001_Core Image</v>
      </c>
    </row>
    <row r="3915" spans="1:11" x14ac:dyDescent="0.25">
      <c r="A3915" t="str">
        <f>HYPERLINK("http://www.corstruth.com.au/Qld/74672_FC4S_MMA002_cs.png","74672_FC4S MMA002_A4")</f>
        <v>74672_FC4S MMA002_A4</v>
      </c>
      <c r="B3915" t="str">
        <f>HYPERLINK("http://www.corstruth.com.au/Qld/PNG2/74672_FC4S_MMA002_cs.png","74672_FC4S MMA002_0.25m Bins")</f>
        <v>74672_FC4S MMA002_0.25m Bins</v>
      </c>
      <c r="C3915" t="str">
        <f>HYPERLINK("http://www.corstruth.com.au/Qld/CSV/74672_FC4S_MMA002.csv","74672_FC4S MMA002_CSV File 1m Bins")</f>
        <v>74672_FC4S MMA002_CSV File 1m Bins</v>
      </c>
      <c r="D3915">
        <v>74672</v>
      </c>
      <c r="E3915" t="s">
        <v>2193</v>
      </c>
      <c r="I3915">
        <v>-20.401399999999999</v>
      </c>
      <c r="J3915">
        <v>140.72499999999999</v>
      </c>
      <c r="K3915" t="str">
        <f>HYPERLINK("http://geology.information.qld.gov.au/NVCLDataServices/mosaic.html?datasetid=49c8f25c-46b6-4c5d-8326-521147a7210","74672_FC4S MMA002_Core Image")</f>
        <v>74672_FC4S MMA002_Core Image</v>
      </c>
    </row>
    <row r="3916" spans="1:11" x14ac:dyDescent="0.25">
      <c r="A3916" t="str">
        <f>HYPERLINK("http://www.corstruth.com.au/Qld/74673_FC4S_MMA003_cs.png","74673_FC4S MMA003_A4")</f>
        <v>74673_FC4S MMA003_A4</v>
      </c>
      <c r="B3916" t="str">
        <f>HYPERLINK("http://www.corstruth.com.au/Qld/PNG2/74673_FC4S_MMA003_cs.png","74673_FC4S MMA003_0.25m Bins")</f>
        <v>74673_FC4S MMA003_0.25m Bins</v>
      </c>
      <c r="C3916" t="str">
        <f>HYPERLINK("http://www.corstruth.com.au/Qld/CSV/74673_FC4S_MMA003.csv","74673_FC4S MMA003_CSV File 1m Bins")</f>
        <v>74673_FC4S MMA003_CSV File 1m Bins</v>
      </c>
      <c r="D3916">
        <v>74673</v>
      </c>
      <c r="E3916" t="s">
        <v>2193</v>
      </c>
      <c r="I3916">
        <v>-20.414300000000001</v>
      </c>
      <c r="J3916">
        <v>140.727</v>
      </c>
      <c r="K3916" t="str">
        <f>HYPERLINK("http://geology.information.qld.gov.au/NVCLDataServices/mosaic.html?datasetid=bb4ebec5-4c3a-4dcf-9b28-77c1053dcda","74673_FC4S MMA003_Core Image")</f>
        <v>74673_FC4S MMA003_Core Image</v>
      </c>
    </row>
    <row r="3917" spans="1:11" x14ac:dyDescent="0.25">
      <c r="A3917" t="str">
        <f>HYPERLINK("http://www.corstruth.com.au/Qld/74842_Mount_Fort_ConstantineEHMT001_cs.png","74842_Mount Fort ConstantineEHMT001_A4")</f>
        <v>74842_Mount Fort ConstantineEHMT001_A4</v>
      </c>
      <c r="B3917" t="str">
        <f>HYPERLINK("http://www.corstruth.com.au/Qld/PNG2/74842_Mount_Fort_ConstantineEHMT001_cs.png","74842_Mount Fort ConstantineEHMT001_0.25m Bins")</f>
        <v>74842_Mount Fort ConstantineEHMT001_0.25m Bins</v>
      </c>
      <c r="C3917" t="str">
        <f>HYPERLINK("http://www.corstruth.com.au/Qld/CSV/74842_Mount_Fort_ConstantineEHMT001.csv","74842_Mount Fort ConstantineEHMT001_CSV File 1m Bins")</f>
        <v>74842_Mount Fort ConstantineEHMT001_CSV File 1m Bins</v>
      </c>
      <c r="D3917">
        <v>74842</v>
      </c>
      <c r="E3917" t="s">
        <v>2193</v>
      </c>
      <c r="I3917">
        <v>-20.465499999999999</v>
      </c>
      <c r="J3917">
        <v>140.71600000000001</v>
      </c>
      <c r="K3917" t="str">
        <f>HYPERLINK("http://geology.information.qld.gov.au/NVCLDataServices/mosaic.html?datasetid=5532ed04-d369-48cf-8385-aef8b457d80","74842_Mount Fort ConstantineEHMT001_Core Image")</f>
        <v>74842_Mount Fort ConstantineEHMT001_Core Image</v>
      </c>
    </row>
    <row r="3918" spans="1:11" x14ac:dyDescent="0.25">
      <c r="A3918" t="str">
        <f>HYPERLINK("http://www.corstruth.com.au/Qld/74886_E1Prospect_ELZD0132_cs.png","74886_E1Prospect_ELZD0132_A4")</f>
        <v>74886_E1Prospect_ELZD0132_A4</v>
      </c>
      <c r="B3918" t="str">
        <f>HYPERLINK("http://www.corstruth.com.au/Qld/PNG2/74886_E1Prospect_ELZD0132_cs.png","74886_E1Prospect_ELZD0132_0.25m Bins")</f>
        <v>74886_E1Prospect_ELZD0132_0.25m Bins</v>
      </c>
      <c r="C3918" t="str">
        <f>HYPERLINK("http://www.corstruth.com.au/Qld/CSV/74886_E1Prospect_ELZD0132.csv","74886_E1Prospect_ELZD0132_CSV File 1m Bins")</f>
        <v>74886_E1Prospect_ELZD0132_CSV File 1m Bins</v>
      </c>
      <c r="D3918">
        <v>74886</v>
      </c>
      <c r="E3918" t="s">
        <v>2193</v>
      </c>
      <c r="I3918">
        <v>-20.443100000000001</v>
      </c>
      <c r="J3918">
        <v>140.79499999999999</v>
      </c>
      <c r="K3918" t="str">
        <f>HYPERLINK("http://geology.information.qld.gov.au/NVCLDataServices/mosaic.html?datasetid=NONE","74886_E1Prospect_ELZD0132_Core Image")</f>
        <v>74886_E1Prospect_ELZD0132_Core Image</v>
      </c>
    </row>
    <row r="3919" spans="1:11" x14ac:dyDescent="0.25">
      <c r="A3919" t="str">
        <f>HYPERLINK("http://www.corstruth.com.au/Qld/74887_E1Prospect_ELZD0133_cs.png","74887_E1Prospect_ELZD0133_A4")</f>
        <v>74887_E1Prospect_ELZD0133_A4</v>
      </c>
      <c r="B3919" t="str">
        <f>HYPERLINK("http://www.corstruth.com.au/Qld/PNG2/74887_E1Prospect_ELZD0133_cs.png","74887_E1Prospect_ELZD0133_0.25m Bins")</f>
        <v>74887_E1Prospect_ELZD0133_0.25m Bins</v>
      </c>
      <c r="C3919" t="str">
        <f>HYPERLINK("http://www.corstruth.com.au/Qld/CSV/74887_E1Prospect_ELZD0133.csv","74887_E1Prospect_ELZD0133_CSV File 1m Bins")</f>
        <v>74887_E1Prospect_ELZD0133_CSV File 1m Bins</v>
      </c>
      <c r="D3919">
        <v>74887</v>
      </c>
      <c r="E3919" t="s">
        <v>2193</v>
      </c>
      <c r="I3919">
        <v>-20.4512</v>
      </c>
      <c r="J3919">
        <v>140.79499999999999</v>
      </c>
    </row>
    <row r="3920" spans="1:11" x14ac:dyDescent="0.25">
      <c r="A3920" t="str">
        <f>HYPERLINK("http://www.corstruth.com.au/Qld/74889_E1Prospect_ELZD0135_cs.png","74889_E1Prospect_ELZD0135_A4")</f>
        <v>74889_E1Prospect_ELZD0135_A4</v>
      </c>
      <c r="B3920" t="str">
        <f>HYPERLINK("http://www.corstruth.com.au/Qld/PNG2/74889_E1Prospect_ELZD0135_cs.png","74889_E1Prospect_ELZD0135_0.25m Bins")</f>
        <v>74889_E1Prospect_ELZD0135_0.25m Bins</v>
      </c>
      <c r="C3920" t="str">
        <f>HYPERLINK("http://www.corstruth.com.au/Qld/CSV/74889_E1Prospect_ELZD0135.csv","74889_E1Prospect_ELZD0135_CSV File 1m Bins")</f>
        <v>74889_E1Prospect_ELZD0135_CSV File 1m Bins</v>
      </c>
      <c r="D3920">
        <v>74889</v>
      </c>
      <c r="E3920" t="s">
        <v>2193</v>
      </c>
      <c r="I3920">
        <v>-20.440200000000001</v>
      </c>
      <c r="J3920">
        <v>140.792</v>
      </c>
    </row>
    <row r="3921" spans="1:11" x14ac:dyDescent="0.25">
      <c r="A3921" t="str">
        <f>HYPERLINK("http://www.corstruth.com.au/Qld/74890_E1Prospect_ELZD0119_cs.png","74890_E1Prospect_ELZD0119_A4")</f>
        <v>74890_E1Prospect_ELZD0119_A4</v>
      </c>
      <c r="B3921" t="str">
        <f>HYPERLINK("http://www.corstruth.com.au/Qld/PNG2/74890_E1Prospect_ELZD0119_cs.png","74890_E1Prospect_ELZD0119_0.25m Bins")</f>
        <v>74890_E1Prospect_ELZD0119_0.25m Bins</v>
      </c>
      <c r="C3921" t="str">
        <f>HYPERLINK("http://www.corstruth.com.au/Qld/CSV/74890_E1Prospect_ELZD0119.csv","74890_E1Prospect_ELZD0119_CSV File 1m Bins")</f>
        <v>74890_E1Prospect_ELZD0119_CSV File 1m Bins</v>
      </c>
      <c r="D3921">
        <v>74890</v>
      </c>
      <c r="E3921" t="s">
        <v>2193</v>
      </c>
      <c r="I3921">
        <v>-20.450299999999999</v>
      </c>
      <c r="J3921">
        <v>140.797</v>
      </c>
    </row>
    <row r="3922" spans="1:11" x14ac:dyDescent="0.25">
      <c r="A3922" t="str">
        <f>HYPERLINK("http://www.corstruth.com.au/Qld/74969_Ernest_Henry_EH154_cs.png","74969_Ernest Henry EH154_A4")</f>
        <v>74969_Ernest Henry EH154_A4</v>
      </c>
      <c r="B3922" t="str">
        <f>HYPERLINK("http://www.corstruth.com.au/Qld/PNG2/74969_Ernest_Henry_EH154_cs.png","74969_Ernest Henry EH154_0.25m Bins")</f>
        <v>74969_Ernest Henry EH154_0.25m Bins</v>
      </c>
      <c r="C3922" t="str">
        <f>HYPERLINK("http://www.corstruth.com.au/Qld/CSV/74969_Ernest_Henry_EH154.csv","74969_Ernest Henry EH154_CSV File 1m Bins")</f>
        <v>74969_Ernest Henry EH154_CSV File 1m Bins</v>
      </c>
      <c r="D3922">
        <v>74969</v>
      </c>
      <c r="E3922" t="s">
        <v>2193</v>
      </c>
      <c r="I3922">
        <v>-20.441199999999998</v>
      </c>
      <c r="J3922">
        <v>140.71</v>
      </c>
    </row>
    <row r="3923" spans="1:11" x14ac:dyDescent="0.25">
      <c r="A3923" t="str">
        <f>HYPERLINK("http://www.corstruth.com.au/Qld/74970_Ernest_Henry_EH242_cs.png","74970_Ernest Henry EH242_A4")</f>
        <v>74970_Ernest Henry EH242_A4</v>
      </c>
      <c r="B3923" t="str">
        <f>HYPERLINK("http://www.corstruth.com.au/Qld/PNG2/74970_Ernest_Henry_EH242_cs.png","74970_Ernest Henry EH242_0.25m Bins")</f>
        <v>74970_Ernest Henry EH242_0.25m Bins</v>
      </c>
      <c r="C3923" t="str">
        <f>HYPERLINK("http://www.corstruth.com.au/Qld/CSV/74970_Ernest_Henry_EH242.csv","74970_Ernest Henry EH242_CSV File 1m Bins")</f>
        <v>74970_Ernest Henry EH242_CSV File 1m Bins</v>
      </c>
      <c r="D3923">
        <v>74970</v>
      </c>
      <c r="E3923" t="s">
        <v>2193</v>
      </c>
      <c r="I3923">
        <v>-20.442900000000002</v>
      </c>
      <c r="J3923">
        <v>140.709</v>
      </c>
      <c r="K3923" t="str">
        <f>HYPERLINK("http://geology.information.qld.gov.au/NVCLDataServices/mosaic.html?datasetid=89d0b575-78d0-4e65-8640-57ccaca1c18","74970_Ernest Henry EH242_Core Image")</f>
        <v>74970_Ernest Henry EH242_Core Image</v>
      </c>
    </row>
    <row r="3924" spans="1:11" x14ac:dyDescent="0.25">
      <c r="A3924" t="str">
        <f>HYPERLINK("http://www.corstruth.com.au/Qld/74971_Mount_Isa_I722_ED1_cs.png","74971_Mount Isa I722 ED1_A4")</f>
        <v>74971_Mount Isa I722 ED1_A4</v>
      </c>
      <c r="B3924" t="str">
        <f>HYPERLINK("http://www.corstruth.com.au/Qld/PNG2/74971_Mount_Isa_I722_ED1_cs.png","74971_Mount Isa I722 ED1_0.25m Bins")</f>
        <v>74971_Mount Isa I722 ED1_0.25m Bins</v>
      </c>
      <c r="C3924" t="str">
        <f>HYPERLINK("http://www.corstruth.com.au/Qld/CSV/74971_Mount_Isa_I722_ED1.csv","74971_Mount Isa I722 ED1_CSV File 1m Bins")</f>
        <v>74971_Mount Isa I722 ED1_CSV File 1m Bins</v>
      </c>
      <c r="D3924">
        <v>74971</v>
      </c>
      <c r="E3924" t="s">
        <v>2193</v>
      </c>
      <c r="I3924">
        <v>-20.705200000000001</v>
      </c>
      <c r="J3924">
        <v>139.47499999999999</v>
      </c>
      <c r="K3924" t="str">
        <f>HYPERLINK("http://geology.information.qld.gov.au/NVCLDataServices/mosaic.html?datasetid=e2dc2928-7a4f-4383-83f2-8fc75e41b5c","74971_Mount Isa I722 ED1_Core Image")</f>
        <v>74971_Mount Isa I722 ED1_Core Image</v>
      </c>
    </row>
    <row r="3925" spans="1:11" x14ac:dyDescent="0.25">
      <c r="A3925" t="str">
        <f>HYPERLINK("http://www.corstruth.com.au/Qld/74972_Mount_Isa_N739_ED1_cs.png","74972_Mount Isa N739 ED1_A4")</f>
        <v>74972_Mount Isa N739 ED1_A4</v>
      </c>
      <c r="B3925" t="str">
        <f>HYPERLINK("http://www.corstruth.com.au/Qld/PNG2/74972_Mount_Isa_N739_ED1_cs.png","74972_Mount Isa N739 ED1_0.25m Bins")</f>
        <v>74972_Mount Isa N739 ED1_0.25m Bins</v>
      </c>
      <c r="C3925" t="str">
        <f>HYPERLINK("http://www.corstruth.com.au/Qld/CSV/74972_Mount_Isa_N739_ED1.csv","74972_Mount Isa N739 ED1_CSV File 1m Bins")</f>
        <v>74972_Mount Isa N739 ED1_CSV File 1m Bins</v>
      </c>
      <c r="D3925">
        <v>74972</v>
      </c>
      <c r="E3925" t="s">
        <v>2193</v>
      </c>
      <c r="I3925">
        <v>-20.712800000000001</v>
      </c>
      <c r="J3925">
        <v>139.477</v>
      </c>
      <c r="K3925" t="str">
        <f>HYPERLINK("http://geology.information.qld.gov.au/NVCLDataServices/mosaic.html?datasetid=376803a8-2a97-4748-ba51-e5ca8f0772b","74972_Mount Isa N739 ED1_Core Image")</f>
        <v>74972_Mount Isa N739 ED1_Core Image</v>
      </c>
    </row>
    <row r="3926" spans="1:11" x14ac:dyDescent="0.25">
      <c r="A3926" t="str">
        <f>HYPERLINK("http://www.corstruth.com.au/Qld/75003_George_Fisher_00_L801_01_cs.png","75003_George Fisher 00_L801_01_A4")</f>
        <v>75003_George Fisher 00_L801_01_A4</v>
      </c>
      <c r="B3926" t="str">
        <f>HYPERLINK("http://www.corstruth.com.au/Qld/PNG2/75003_George_Fisher_00_L801_01_cs.png","75003_George Fisher 00_L801_01_0.25m Bins")</f>
        <v>75003_George Fisher 00_L801_01_0.25m Bins</v>
      </c>
      <c r="C3926" t="str">
        <f>HYPERLINK("http://www.corstruth.com.au/Qld/CSV/75003_George_Fisher_00_L801_01.csv","75003_George Fisher 00_L801_01_CSV File 1m Bins")</f>
        <v>75003_George Fisher 00_L801_01_CSV File 1m Bins</v>
      </c>
      <c r="D3926">
        <v>75003</v>
      </c>
      <c r="E3926" t="s">
        <v>2193</v>
      </c>
      <c r="I3926">
        <v>-20.542400000000001</v>
      </c>
      <c r="J3926">
        <v>139.465</v>
      </c>
      <c r="K3926" t="str">
        <f>HYPERLINK("http://geology.information.qld.gov.au/NVCLDataServices/mosaic.html?datasetid=ad9aae55-98a0-4270-9876-ec11daa980a","75003_George Fisher 00_L801_01_Core Image")</f>
        <v>75003_George Fisher 00_L801_01_Core Image</v>
      </c>
    </row>
    <row r="3927" spans="1:11" x14ac:dyDescent="0.25">
      <c r="A3927" t="str">
        <f>HYPERLINK("http://www.corstruth.com.au/Qld/75045_Spring_Creek_JX268ED3_cs.png","75045_Spring Creek JX268ED3_A4")</f>
        <v>75045_Spring Creek JX268ED3_A4</v>
      </c>
      <c r="B3927" t="str">
        <f>HYPERLINK("http://www.corstruth.com.au/Qld/PNG2/75045_Spring_Creek_JX268ED3_cs.png","75045_Spring Creek JX268ED3_0.25m Bins")</f>
        <v>75045_Spring Creek JX268ED3_0.25m Bins</v>
      </c>
      <c r="C3927" t="str">
        <f>HYPERLINK("http://www.corstruth.com.au/Qld/CSV/75045_Spring_Creek_JX268ED3.csv","75045_Spring Creek JX268ED3_CSV File 1m Bins")</f>
        <v>75045_Spring Creek JX268ED3_CSV File 1m Bins</v>
      </c>
      <c r="D3927">
        <v>75045</v>
      </c>
      <c r="E3927" t="s">
        <v>2193</v>
      </c>
      <c r="I3927">
        <v>-20.535799999999998</v>
      </c>
      <c r="J3927">
        <v>139.46</v>
      </c>
      <c r="K3927" t="str">
        <f>HYPERLINK("http://geology.information.qld.gov.au/NVCLDataServices/mosaic.html?datasetid=c9899852-fa37-49cc-8f65-f15135510f5","75045_Spring Creek JX268ED3_Core Image")</f>
        <v>75045_Spring Creek JX268ED3_Core Image</v>
      </c>
    </row>
    <row r="3928" spans="1:11" x14ac:dyDescent="0.25">
      <c r="A3928" t="str">
        <f>HYPERLINK("http://www.corstruth.com.au/Qld/75046_Star_Gully_813WD1_cs.png","75046_Star Gully 813WD1_A4")</f>
        <v>75046_Star Gully 813WD1_A4</v>
      </c>
      <c r="B3928" t="str">
        <f>HYPERLINK("http://www.corstruth.com.au/Qld/PNG2/75046_Star_Gully_813WD1_cs.png","75046_Star Gully 813WD1_0.25m Bins")</f>
        <v>75046_Star Gully 813WD1_0.25m Bins</v>
      </c>
      <c r="C3928" t="str">
        <f>HYPERLINK("http://www.corstruth.com.au/Qld/CSV/75046_Star_Gully_813WD1.csv","75046_Star Gully 813WD1_CSV File 1m Bins")</f>
        <v>75046_Star Gully 813WD1_CSV File 1m Bins</v>
      </c>
      <c r="D3928">
        <v>75046</v>
      </c>
      <c r="E3928" t="s">
        <v>2193</v>
      </c>
      <c r="I3928">
        <v>-20.7058</v>
      </c>
      <c r="J3928">
        <v>139.47200000000001</v>
      </c>
      <c r="K3928" t="str">
        <f>HYPERLINK("http://geology.information.qld.gov.au/NVCLDataServices/mosaic.html?datasetid=ce2a8929-7823-42d4-883c-f679f9af893","75046_Star Gully 813WD1_Core Image")</f>
        <v>75046_Star Gully 813WD1_Core Image</v>
      </c>
    </row>
    <row r="3929" spans="1:11" x14ac:dyDescent="0.25">
      <c r="A3929" t="str">
        <f>HYPERLINK("http://www.corstruth.com.au/Qld/75048_Star_Gully_813WD1A_cs.png","75048_Star Gully 813WD1A_A4")</f>
        <v>75048_Star Gully 813WD1A_A4</v>
      </c>
      <c r="B3929" t="str">
        <f>HYPERLINK("http://www.corstruth.com.au/Qld/PNG2/75048_Star_Gully_813WD1A_cs.png","75048_Star Gully 813WD1A_0.25m Bins")</f>
        <v>75048_Star Gully 813WD1A_0.25m Bins</v>
      </c>
      <c r="C3929" t="str">
        <f>HYPERLINK("http://www.corstruth.com.au/Qld/CSV/75048_Star_Gully_813WD1A.csv","75048_Star Gully 813WD1A_CSV File 1m Bins")</f>
        <v>75048_Star Gully 813WD1A_CSV File 1m Bins</v>
      </c>
      <c r="D3929">
        <v>75048</v>
      </c>
      <c r="E3929" t="s">
        <v>2193</v>
      </c>
      <c r="I3929">
        <v>-20.7058</v>
      </c>
      <c r="J3929">
        <v>139.47200000000001</v>
      </c>
      <c r="K3929" t="str">
        <f>HYPERLINK("http://geology.information.qld.gov.au/NVCLDataServices/mosaic.html?datasetid=92f7e519-ced2-43e8-b272-c734197d235","75048_Star Gully 813WD1A_Core Image")</f>
        <v>75048_Star Gully 813WD1A_Core Image</v>
      </c>
    </row>
    <row r="3930" spans="1:11" x14ac:dyDescent="0.25">
      <c r="A3930" t="str">
        <f>HYPERLINK("http://www.corstruth.com.au/Qld/75049_Star_Gully_813WD1B_cs.png","75049_Star Gully 813WD1B_A4")</f>
        <v>75049_Star Gully 813WD1B_A4</v>
      </c>
      <c r="B3930" t="str">
        <f>HYPERLINK("http://www.corstruth.com.au/Qld/PNG2/75049_Star_Gully_813WD1B_cs.png","75049_Star Gully 813WD1B_0.25m Bins")</f>
        <v>75049_Star Gully 813WD1B_0.25m Bins</v>
      </c>
      <c r="C3930" t="str">
        <f>HYPERLINK("http://www.corstruth.com.au/Qld/CSV/75049_Star_Gully_813WD1B.csv","75049_Star Gully 813WD1B_CSV File 1m Bins")</f>
        <v>75049_Star Gully 813WD1B_CSV File 1m Bins</v>
      </c>
      <c r="D3930">
        <v>75049</v>
      </c>
      <c r="E3930" t="s">
        <v>2193</v>
      </c>
      <c r="I3930">
        <v>-20.7058</v>
      </c>
      <c r="J3930">
        <v>139.47200000000001</v>
      </c>
      <c r="K3930" t="str">
        <f>HYPERLINK("http://geology.information.qld.gov.au/NVCLDataServices/mosaic.html?datasetid=e1d94fb4-a037-4992-89aa-5cf957d06e5","75049_Star Gully 813WD1B_Core Image")</f>
        <v>75049_Star Gully 813WD1B_Core Image</v>
      </c>
    </row>
    <row r="3931" spans="1:11" x14ac:dyDescent="0.25">
      <c r="A3931" t="str">
        <f>HYPERLINK("http://www.corstruth.com.au/Qld/75051_Star_Gully_813WD1C_cs.png","75051_Star Gully 813WD1C_A4")</f>
        <v>75051_Star Gully 813WD1C_A4</v>
      </c>
      <c r="B3931" t="str">
        <f>HYPERLINK("http://www.corstruth.com.au/Qld/PNG2/75051_Star_Gully_813WD1C_cs.png","75051_Star Gully 813WD1C_0.25m Bins")</f>
        <v>75051_Star Gully 813WD1C_0.25m Bins</v>
      </c>
      <c r="C3931" t="str">
        <f>HYPERLINK("http://www.corstruth.com.au/Qld/CSV/75051_Star_Gully_813WD1C.csv","75051_Star Gully 813WD1C_CSV File 1m Bins")</f>
        <v>75051_Star Gully 813WD1C_CSV File 1m Bins</v>
      </c>
      <c r="D3931">
        <v>75051</v>
      </c>
      <c r="E3931" t="s">
        <v>2193</v>
      </c>
      <c r="I3931">
        <v>-20.7058</v>
      </c>
      <c r="J3931">
        <v>139.47200000000001</v>
      </c>
      <c r="K3931" t="str">
        <f>HYPERLINK("http://geology.information.qld.gov.au/NVCLDataServices/mosaic.html?datasetid=7217de80-f98c-4f34-8794-cb2ad6b3a83","75051_Star Gully 813WD1C_Core Image")</f>
        <v>75051_Star Gully 813WD1C_Core Image</v>
      </c>
    </row>
    <row r="3932" spans="1:11" x14ac:dyDescent="0.25">
      <c r="A3932" t="str">
        <f>HYPERLINK("http://www.corstruth.com.au/Qld/75399_Yeti_OSD1605_cs.png","75399_Yeti_OSD1605_A4")</f>
        <v>75399_Yeti_OSD1605_A4</v>
      </c>
      <c r="B3932" t="str">
        <f>HYPERLINK("http://www.corstruth.com.au/Qld/PNG2/75399_Yeti_OSD1605_cs.png","75399_Yeti_OSD1605_0.25m Bins")</f>
        <v>75399_Yeti_OSD1605_0.25m Bins</v>
      </c>
      <c r="C3932" t="str">
        <f>HYPERLINK("http://www.corstruth.com.au/Qld/CSV/75399_Yeti_OSD1605.csv","75399_Yeti_OSD1605_CSV File 1m Bins")</f>
        <v>75399_Yeti_OSD1605_CSV File 1m Bins</v>
      </c>
      <c r="D3932">
        <v>75399</v>
      </c>
      <c r="E3932" t="s">
        <v>2193</v>
      </c>
      <c r="I3932">
        <v>-22.614599999999999</v>
      </c>
      <c r="J3932">
        <v>140.62299999999999</v>
      </c>
    </row>
    <row r="3933" spans="1:11" x14ac:dyDescent="0.25">
      <c r="A3933" t="str">
        <f>HYPERLINK("http://www.corstruth.com.au/Qld/754_Dio_DurhamDowns_cs.png","754_Dio DurhamDowns_A4")</f>
        <v>754_Dio DurhamDowns_A4</v>
      </c>
      <c r="B3933" t="str">
        <f>HYPERLINK("http://www.corstruth.com.au/Qld/PNG2/754_Dio_DurhamDowns_cs.png","754_Dio DurhamDowns_0.25m Bins")</f>
        <v>754_Dio DurhamDowns_0.25m Bins</v>
      </c>
      <c r="C3933" t="str">
        <f>HYPERLINK("http://www.corstruth.com.au/Qld/CSV/754_Dio_DurhamDowns.csv","754_Dio DurhamDowns_CSV File 1m Bins")</f>
        <v>754_Dio DurhamDowns_CSV File 1m Bins</v>
      </c>
      <c r="D3933">
        <v>754</v>
      </c>
      <c r="E3933" t="s">
        <v>2193</v>
      </c>
      <c r="I3933">
        <v>-27.0807</v>
      </c>
      <c r="J3933">
        <v>141.79</v>
      </c>
    </row>
    <row r="3934" spans="1:11" x14ac:dyDescent="0.25">
      <c r="A3934" t="str">
        <f>HYPERLINK("http://www.corstruth.com.au/Qld/75558_Plainview36_cs.png","75558_Plainview36_A4")</f>
        <v>75558_Plainview36_A4</v>
      </c>
      <c r="B3934" t="str">
        <f>HYPERLINK("http://www.corstruth.com.au/Qld/PNG2/75558_Plainview36_cs.png","75558_Plainview36_0.25m Bins")</f>
        <v>75558_Plainview36_0.25m Bins</v>
      </c>
      <c r="C3934" t="str">
        <f>HYPERLINK("http://www.corstruth.com.au/Qld/CSV/75558_Plainview36.csv","75558_Plainview36_CSV File 1m Bins")</f>
        <v>75558_Plainview36_CSV File 1m Bins</v>
      </c>
      <c r="D3934">
        <v>75558</v>
      </c>
      <c r="E3934" t="s">
        <v>2193</v>
      </c>
      <c r="I3934">
        <v>-27.386800000000001</v>
      </c>
      <c r="J3934">
        <v>151.21600000000001</v>
      </c>
      <c r="K3934" t="str">
        <f>HYPERLINK("http://geology.information.qld.gov.au/NVCLDataServices/mosaic.html?datasetid=NONE","75558_Plainview36_Core Image")</f>
        <v>75558_Plainview36_Core Image</v>
      </c>
    </row>
    <row r="3935" spans="1:11" x14ac:dyDescent="0.25">
      <c r="A3935" t="str">
        <f>HYPERLINK("http://www.corstruth.com.au/Qld/75584_WalfordCreek_WFPD179_cs.png","75584_WalfordCreek_WFPD179_A4")</f>
        <v>75584_WalfordCreek_WFPD179_A4</v>
      </c>
      <c r="B3935" t="str">
        <f>HYPERLINK("http://www.corstruth.com.au/Qld/PNG2/75584_WalfordCreek_WFPD179_cs.png","75584_WalfordCreek_WFPD179_0.25m Bins")</f>
        <v>75584_WalfordCreek_WFPD179_0.25m Bins</v>
      </c>
      <c r="C3935" t="str">
        <f>HYPERLINK("http://www.corstruth.com.au/Qld/CSV/75584_WalfordCreek_WFPD179.csv","75584_WalfordCreek_WFPD179_CSV File 1m Bins")</f>
        <v>75584_WalfordCreek_WFPD179_CSV File 1m Bins</v>
      </c>
      <c r="D3935">
        <v>75584</v>
      </c>
      <c r="E3935" t="s">
        <v>2193</v>
      </c>
      <c r="I3935">
        <v>-17.794499999999999</v>
      </c>
      <c r="J3935">
        <v>138.256</v>
      </c>
      <c r="K3935" t="str">
        <f>HYPERLINK("http://geology.information.qld.gov.au/NVCLDataServices/mosaic.html?datasetid=NONE","75584_WalfordCreek_WFPD179_Core Image")</f>
        <v>75584_WalfordCreek_WFPD179_Core Image</v>
      </c>
    </row>
    <row r="3936" spans="1:11" x14ac:dyDescent="0.25">
      <c r="A3936" t="str">
        <f>HYPERLINK("http://www.corstruth.com.au/Qld/75585_WalfordCreek_WFPD180_cs.png","75585_WalfordCreek_WFPD180_A4")</f>
        <v>75585_WalfordCreek_WFPD180_A4</v>
      </c>
      <c r="B3936" t="str">
        <f>HYPERLINK("http://www.corstruth.com.au/Qld/PNG2/75585_WalfordCreek_WFPD180_cs.png","75585_WalfordCreek_WFPD180_0.25m Bins")</f>
        <v>75585_WalfordCreek_WFPD180_0.25m Bins</v>
      </c>
      <c r="C3936" t="str">
        <f>HYPERLINK("http://www.corstruth.com.au/Qld/CSV/75585_WalfordCreek_WFPD180.csv","75585_WalfordCreek_WFPD180_CSV File 1m Bins")</f>
        <v>75585_WalfordCreek_WFPD180_CSV File 1m Bins</v>
      </c>
      <c r="D3936">
        <v>75585</v>
      </c>
      <c r="E3936" t="s">
        <v>2193</v>
      </c>
      <c r="I3936">
        <v>-17.7944</v>
      </c>
      <c r="J3936">
        <v>138.24799999999999</v>
      </c>
    </row>
    <row r="3937" spans="1:11" x14ac:dyDescent="0.25">
      <c r="A3937" t="str">
        <f>HYPERLINK("http://www.corstruth.com.au/Qld/75635_Hilton_K500WI_1_cs.png","75635_Hilton K500WI 1_A4")</f>
        <v>75635_Hilton K500WI 1_A4</v>
      </c>
      <c r="B3937" t="str">
        <f>HYPERLINK("http://www.corstruth.com.au/Qld/PNG2/75635_Hilton_K500WI_1_cs.png","75635_Hilton K500WI 1_0.25m Bins")</f>
        <v>75635_Hilton K500WI 1_0.25m Bins</v>
      </c>
      <c r="C3937" t="str">
        <f>HYPERLINK("http://www.corstruth.com.au/Qld/CSV/75635_Hilton_K500WI_1.csv","75635_Hilton K500WI 1_CSV File 1m Bins")</f>
        <v>75635_Hilton K500WI 1_CSV File 1m Bins</v>
      </c>
      <c r="D3937">
        <v>75635</v>
      </c>
      <c r="E3937" t="s">
        <v>2193</v>
      </c>
      <c r="I3937">
        <v>-20.5687</v>
      </c>
      <c r="J3937">
        <v>139.47200000000001</v>
      </c>
      <c r="K3937" t="str">
        <f>HYPERLINK("http://geology.information.qld.gov.au/NVCLDataServices/mosaic.html?datasetid=db18a815-2915-444e-bc43-e16d6bf60ea","75635_Hilton K500WI 1_Core Image")</f>
        <v>75635_Hilton K500WI 1_Core Image</v>
      </c>
    </row>
    <row r="3938" spans="1:11" x14ac:dyDescent="0.25">
      <c r="A3938" t="str">
        <f>HYPERLINK("http://www.corstruth.com.au/Qld/75636_Hilton_K500WI_2_cs.png","75636_Hilton K500WI 2_A4")</f>
        <v>75636_Hilton K500WI 2_A4</v>
      </c>
      <c r="B3938" t="str">
        <f>HYPERLINK("http://www.corstruth.com.au/Qld/PNG2/75636_Hilton_K500WI_2_cs.png","75636_Hilton K500WI 2_0.25m Bins")</f>
        <v>75636_Hilton K500WI 2_0.25m Bins</v>
      </c>
      <c r="C3938" t="str">
        <f>HYPERLINK("http://www.corstruth.com.au/Qld/CSV/75636_Hilton_K500WI_2.csv","75636_Hilton K500WI 2_CSV File 1m Bins")</f>
        <v>75636_Hilton K500WI 2_CSV File 1m Bins</v>
      </c>
      <c r="D3938">
        <v>75636</v>
      </c>
      <c r="E3938" t="s">
        <v>2193</v>
      </c>
      <c r="I3938">
        <v>-20.5687</v>
      </c>
      <c r="J3938">
        <v>139.47200000000001</v>
      </c>
      <c r="K3938" t="str">
        <f>HYPERLINK("http://geology.information.qld.gov.au/NVCLDataServices/mosaic.html?datasetid=a4f8f33a-5b35-4332-aed6-7a6a38be6d6","75636_Hilton K500WI 2_Core Image")</f>
        <v>75636_Hilton K500WI 2_Core Image</v>
      </c>
    </row>
    <row r="3939" spans="1:11" x14ac:dyDescent="0.25">
      <c r="A3939" t="str">
        <f>HYPERLINK("http://www.corstruth.com.au/Qld/76065_Mount_Elliott_MEQ-95-208_cs.png","76065_Mount Elliott MEQ-95-208_A4")</f>
        <v>76065_Mount Elliott MEQ-95-208_A4</v>
      </c>
      <c r="B3939" t="str">
        <f>HYPERLINK("http://www.corstruth.com.au/Qld/PNG2/76065_Mount_Elliott_MEQ-95-208_cs.png","76065_Mount Elliott MEQ-95-208_0.25m Bins")</f>
        <v>76065_Mount Elliott MEQ-95-208_0.25m Bins</v>
      </c>
      <c r="C3939" t="str">
        <f>HYPERLINK("http://www.corstruth.com.au/Qld/CSV/76065_Mount_Elliott_MEQ-95-208.csv","76065_Mount Elliott MEQ-95-208_CSV File 1m Bins")</f>
        <v>76065_Mount Elliott MEQ-95-208_CSV File 1m Bins</v>
      </c>
      <c r="D3939">
        <v>76065</v>
      </c>
      <c r="E3939" t="s">
        <v>2193</v>
      </c>
      <c r="I3939">
        <v>-21.538699999999999</v>
      </c>
      <c r="J3939">
        <v>140.5</v>
      </c>
      <c r="K3939" t="str">
        <f>HYPERLINK("http://geology.information.qld.gov.au/NVCLDataServices/mosaic.html?datasetid=3af4d784-58cd-46d5-83cf-fc45cd7d948","76065_Mount Elliott MEQ-95-208_Core Image")</f>
        <v>76065_Mount Elliott MEQ-95-208_Core Image</v>
      </c>
    </row>
    <row r="3940" spans="1:11" x14ac:dyDescent="0.25">
      <c r="A3940" t="str">
        <f>HYPERLINK("http://www.corstruth.com.au/Qld/76066_SWAN_MEHQ071105_cs.png","76066_SWAN MEHQ071105_A4")</f>
        <v>76066_SWAN MEHQ071105_A4</v>
      </c>
      <c r="B3940" t="str">
        <f>HYPERLINK("http://www.corstruth.com.au/Qld/PNG2/76066_SWAN_MEHQ071105_cs.png","76066_SWAN MEHQ071105_0.25m Bins")</f>
        <v>76066_SWAN MEHQ071105_0.25m Bins</v>
      </c>
      <c r="C3940" t="str">
        <f>HYPERLINK("http://www.corstruth.com.au/Qld/CSV/76066_SWAN_MEHQ071105.csv","76066_SWAN MEHQ071105_CSV File 1m Bins")</f>
        <v>76066_SWAN MEHQ071105_CSV File 1m Bins</v>
      </c>
      <c r="D3940">
        <v>76066</v>
      </c>
      <c r="E3940" t="s">
        <v>2193</v>
      </c>
      <c r="I3940">
        <v>-21.540099999999999</v>
      </c>
      <c r="J3940">
        <v>140.494</v>
      </c>
    </row>
    <row r="3941" spans="1:11" x14ac:dyDescent="0.25">
      <c r="A3941" t="str">
        <f>HYPERLINK("http://www.corstruth.com.au/Qld/76067_SWAN_MEHQ071130_cs.png","76067_SWAN MEHQ071130_A4")</f>
        <v>76067_SWAN MEHQ071130_A4</v>
      </c>
      <c r="B3941" t="str">
        <f>HYPERLINK("http://www.corstruth.com.au/Qld/PNG2/76067_SWAN_MEHQ071130_cs.png","76067_SWAN MEHQ071130_0.25m Bins")</f>
        <v>76067_SWAN MEHQ071130_0.25m Bins</v>
      </c>
      <c r="C3941" t="str">
        <f>HYPERLINK("http://www.corstruth.com.au/Qld/CSV/76067_SWAN_MEHQ071130.csv","76067_SWAN MEHQ071130_CSV File 1m Bins")</f>
        <v>76067_SWAN MEHQ071130_CSV File 1m Bins</v>
      </c>
      <c r="D3941">
        <v>76067</v>
      </c>
      <c r="E3941" t="s">
        <v>2193</v>
      </c>
      <c r="I3941">
        <v>-21.539100000000001</v>
      </c>
      <c r="J3941">
        <v>140.49100000000001</v>
      </c>
    </row>
    <row r="3942" spans="1:11" x14ac:dyDescent="0.25">
      <c r="A3942" t="str">
        <f>HYPERLINK("http://www.corstruth.com.au/Qld/76080_Little_Eva_LE050_cs.png","76080_Little Eva LE050_A4")</f>
        <v>76080_Little Eva LE050_A4</v>
      </c>
      <c r="B3942" t="str">
        <f>HYPERLINK("http://www.corstruth.com.au/Qld/PNG2/76080_Little_Eva_LE050_cs.png","76080_Little Eva LE050_0.25m Bins")</f>
        <v>76080_Little Eva LE050_0.25m Bins</v>
      </c>
      <c r="C3942" t="str">
        <f>HYPERLINK("http://www.corstruth.com.au/Qld/CSV/76080_Little_Eva_LE050.csv","76080_Little Eva LE050_CSV File 1m Bins")</f>
        <v>76080_Little Eva LE050_CSV File 1m Bins</v>
      </c>
      <c r="D3942">
        <v>76080</v>
      </c>
      <c r="E3942" t="s">
        <v>2193</v>
      </c>
      <c r="I3942">
        <v>-20.146100000000001</v>
      </c>
      <c r="J3942">
        <v>140.143</v>
      </c>
    </row>
    <row r="3943" spans="1:11" x14ac:dyDescent="0.25">
      <c r="A3943" t="str">
        <f>HYPERLINK("http://www.corstruth.com.au/Qld/76081_Little_Eva_LE074_cs.png","76081_Little Eva LE074_A4")</f>
        <v>76081_Little Eva LE074_A4</v>
      </c>
      <c r="B3943" t="str">
        <f>HYPERLINK("http://www.corstruth.com.au/Qld/PNG2/76081_Little_Eva_LE074_cs.png","76081_Little Eva LE074_0.25m Bins")</f>
        <v>76081_Little Eva LE074_0.25m Bins</v>
      </c>
      <c r="C3943" t="str">
        <f>HYPERLINK("http://www.corstruth.com.au/Qld/CSV/76081_Little_Eva_LE074.csv","76081_Little Eva LE074_CSV File 1m Bins")</f>
        <v>76081_Little Eva LE074_CSV File 1m Bins</v>
      </c>
      <c r="D3943">
        <v>76081</v>
      </c>
      <c r="E3943" t="s">
        <v>2193</v>
      </c>
      <c r="I3943">
        <v>-20.154900000000001</v>
      </c>
      <c r="J3943">
        <v>140.154</v>
      </c>
    </row>
    <row r="3944" spans="1:11" x14ac:dyDescent="0.25">
      <c r="A3944" t="str">
        <f>HYPERLINK("http://www.corstruth.com.au/Qld/76082_LittleEva_LE076_cs.png","76082_LittleEva_LE076_A4")</f>
        <v>76082_LittleEva_LE076_A4</v>
      </c>
      <c r="B3944" t="str">
        <f>HYPERLINK("http://www.corstruth.com.au/Qld/PNG2/76082_LittleEva_LE076_cs.png","76082_LittleEva_LE076_0.25m Bins")</f>
        <v>76082_LittleEva_LE076_0.25m Bins</v>
      </c>
      <c r="C3944" t="str">
        <f>HYPERLINK("http://www.corstruth.com.au/Qld/CSV/76082_LittleEva_LE076.csv","76082_LittleEva_LE076_CSV File 1m Bins")</f>
        <v>76082_LittleEva_LE076_CSV File 1m Bins</v>
      </c>
      <c r="D3944">
        <v>76082</v>
      </c>
      <c r="E3944" t="s">
        <v>2193</v>
      </c>
      <c r="I3944">
        <v>-20.144400000000001</v>
      </c>
      <c r="J3944">
        <v>140.148</v>
      </c>
    </row>
    <row r="3945" spans="1:11" x14ac:dyDescent="0.25">
      <c r="A3945" t="str">
        <f>HYPERLINK("http://www.corstruth.com.au/Qld/76083_Blackard_BCD865_cs.png","76083_Blackard_BCD865_A4")</f>
        <v>76083_Blackard_BCD865_A4</v>
      </c>
      <c r="B3945" t="str">
        <f>HYPERLINK("http://www.corstruth.com.au/Qld/PNG2/76083_Blackard_BCD865_cs.png","76083_Blackard_BCD865_0.25m Bins")</f>
        <v>76083_Blackard_BCD865_0.25m Bins</v>
      </c>
      <c r="C3945" t="str">
        <f>HYPERLINK("http://www.corstruth.com.au/Qld/CSV/76083_Blackard_BCD865.csv","76083_Blackard_BCD865_CSV File 1m Bins")</f>
        <v>76083_Blackard_BCD865_CSV File 1m Bins</v>
      </c>
      <c r="D3945">
        <v>76083</v>
      </c>
      <c r="E3945" t="s">
        <v>2193</v>
      </c>
      <c r="I3945">
        <v>-20.212399999999999</v>
      </c>
      <c r="J3945">
        <v>140.16</v>
      </c>
    </row>
    <row r="3946" spans="1:11" x14ac:dyDescent="0.25">
      <c r="A3946" t="str">
        <f>HYPERLINK("http://www.corstruth.com.au/Qld/76084_Little_Eva_LED609_cs.png","76084_Little Eva LED609_A4")</f>
        <v>76084_Little Eva LED609_A4</v>
      </c>
      <c r="B3946" t="str">
        <f>HYPERLINK("http://www.corstruth.com.au/Qld/PNG2/76084_Little_Eva_LED609_cs.png","76084_Little Eva LED609_0.25m Bins")</f>
        <v>76084_Little Eva LED609_0.25m Bins</v>
      </c>
      <c r="C3946" t="str">
        <f>HYPERLINK("http://www.corstruth.com.au/Qld/CSV/76084_Little_Eva_LED609.csv","76084_Little Eva LED609_CSV File 1m Bins")</f>
        <v>76084_Little Eva LED609_CSV File 1m Bins</v>
      </c>
      <c r="D3946">
        <v>76084</v>
      </c>
      <c r="E3946" t="s">
        <v>2193</v>
      </c>
      <c r="I3946">
        <v>-20.149799999999999</v>
      </c>
      <c r="J3946">
        <v>140.14599999999999</v>
      </c>
    </row>
    <row r="3947" spans="1:11" x14ac:dyDescent="0.25">
      <c r="A3947" t="str">
        <f>HYPERLINK("http://www.corstruth.com.au/Qld/76277_Ernest_Henry_EH440_cs.png","76277_Ernest Henry EH440_A4")</f>
        <v>76277_Ernest Henry EH440_A4</v>
      </c>
      <c r="B3947" t="str">
        <f>HYPERLINK("http://www.corstruth.com.au/Qld/PNG2/76277_Ernest_Henry_EH440_cs.png","76277_Ernest Henry EH440_0.25m Bins")</f>
        <v>76277_Ernest Henry EH440_0.25m Bins</v>
      </c>
      <c r="C3947" t="str">
        <f>HYPERLINK("http://www.corstruth.com.au/Qld/CSV/76277_Ernest_Henry_EH440.csv","76277_Ernest Henry EH440_CSV File 1m Bins")</f>
        <v>76277_Ernest Henry EH440_CSV File 1m Bins</v>
      </c>
      <c r="D3947">
        <v>76277</v>
      </c>
      <c r="E3947" t="s">
        <v>2193</v>
      </c>
      <c r="I3947">
        <v>-20.446200000000001</v>
      </c>
      <c r="J3947">
        <v>140.70400000000001</v>
      </c>
    </row>
    <row r="3948" spans="1:11" x14ac:dyDescent="0.25">
      <c r="A3948" t="str">
        <f>HYPERLINK("http://www.corstruth.com.au/Qld/76416_Bluebush_BBDD051_cs.png","76416_Bluebush_BBDD051_A4")</f>
        <v>76416_Bluebush_BBDD051_A4</v>
      </c>
      <c r="B3948" t="str">
        <f>HYPERLINK("http://www.corstruth.com.au/Qld/PNG2/76416_Bluebush_BBDD051_cs.png","76416_Bluebush_BBDD051_0.25m Bins")</f>
        <v>76416_Bluebush_BBDD051_0.25m Bins</v>
      </c>
      <c r="C3948" t="str">
        <f>HYPERLINK("http://www.corstruth.com.au/Qld/CSV/76416_Bluebush_BBDD051.csv","76416_Bluebush_BBDD051_CSV File 1m Bins")</f>
        <v>76416_Bluebush_BBDD051_CSV File 1m Bins</v>
      </c>
      <c r="D3948">
        <v>76416</v>
      </c>
      <c r="E3948" t="s">
        <v>2193</v>
      </c>
      <c r="I3948">
        <v>-18.1953</v>
      </c>
      <c r="J3948">
        <v>139.017</v>
      </c>
    </row>
    <row r="3949" spans="1:11" x14ac:dyDescent="0.25">
      <c r="A3949" t="str">
        <f>HYPERLINK("http://www.corstruth.com.au/Qld/76417_Paperbark_PB01_17_cs.png","76417_Paperbark_PB01_17_A4")</f>
        <v>76417_Paperbark_PB01_17_A4</v>
      </c>
      <c r="B3949" t="str">
        <f>HYPERLINK("http://www.corstruth.com.au/Qld/PNG2/76417_Paperbark_PB01_17_cs.png","76417_Paperbark_PB01_17_0.25m Bins")</f>
        <v>76417_Paperbark_PB01_17_0.25m Bins</v>
      </c>
      <c r="C3949" t="str">
        <f>HYPERLINK("http://www.corstruth.com.au/Qld/CSV/76417_Paperbark_PB01_17.csv","76417_Paperbark_PB01_17_CSV File 1m Bins")</f>
        <v>76417_Paperbark_PB01_17_CSV File 1m Bins</v>
      </c>
      <c r="D3949">
        <v>76417</v>
      </c>
      <c r="E3949" t="s">
        <v>2193</v>
      </c>
      <c r="I3949">
        <v>-18.816099999999999</v>
      </c>
      <c r="J3949">
        <v>138.83199999999999</v>
      </c>
    </row>
    <row r="3950" spans="1:11" x14ac:dyDescent="0.25">
      <c r="A3950" t="str">
        <f>HYPERLINK("http://www.corstruth.com.au/Qld/76650_EloiseDeeps_ED126_cs.png","76650_EloiseDeeps_ED126_A4")</f>
        <v>76650_EloiseDeeps_ED126_A4</v>
      </c>
      <c r="B3950" t="str">
        <f>HYPERLINK("http://www.corstruth.com.au/Qld/PNG2/76650_EloiseDeeps_ED126_cs.png","76650_EloiseDeeps_ED126_0.25m Bins")</f>
        <v>76650_EloiseDeeps_ED126_0.25m Bins</v>
      </c>
      <c r="C3950" t="str">
        <f>HYPERLINK("http://www.corstruth.com.au/Qld/CSV/76650_EloiseDeeps_ED126.csv","76650_EloiseDeeps_ED126_CSV File 1m Bins")</f>
        <v>76650_EloiseDeeps_ED126_CSV File 1m Bins</v>
      </c>
      <c r="D3950">
        <v>76650</v>
      </c>
      <c r="E3950" t="s">
        <v>2193</v>
      </c>
      <c r="I3950">
        <v>-20.963699999999999</v>
      </c>
      <c r="J3950">
        <v>140.977</v>
      </c>
    </row>
    <row r="3951" spans="1:11" x14ac:dyDescent="0.25">
      <c r="A3951" t="str">
        <f>HYPERLINK("http://www.corstruth.com.au/Qld/76651_Chloe_EN003_cs.png","76651_Chloe_EN003_A4")</f>
        <v>76651_Chloe_EN003_A4</v>
      </c>
      <c r="B3951" t="str">
        <f>HYPERLINK("http://www.corstruth.com.au/Qld/PNG2/76651_Chloe_EN003_cs.png","76651_Chloe_EN003_0.25m Bins")</f>
        <v>76651_Chloe_EN003_0.25m Bins</v>
      </c>
      <c r="C3951" t="str">
        <f>HYPERLINK("http://www.corstruth.com.au/Qld/CSV/76651_Chloe_EN003.csv","76651_Chloe_EN003_CSV File 1m Bins")</f>
        <v>76651_Chloe_EN003_CSV File 1m Bins</v>
      </c>
      <c r="D3951">
        <v>76651</v>
      </c>
      <c r="E3951" t="s">
        <v>2193</v>
      </c>
      <c r="I3951">
        <v>-20.955400000000001</v>
      </c>
      <c r="J3951">
        <v>140.982</v>
      </c>
    </row>
    <row r="3952" spans="1:11" x14ac:dyDescent="0.25">
      <c r="A3952" t="str">
        <f>HYPERLINK("http://www.corstruth.com.au/Qld/76652_Macy_MA003E_cs.png","76652_Macy_MA003E_A4")</f>
        <v>76652_Macy_MA003E_A4</v>
      </c>
      <c r="B3952" t="str">
        <f>HYPERLINK("http://www.corstruth.com.au/Qld/PNG2/76652_Macy_MA003E_cs.png","76652_Macy_MA003E_0.25m Bins")</f>
        <v>76652_Macy_MA003E_0.25m Bins</v>
      </c>
      <c r="C3952" t="str">
        <f>HYPERLINK("http://www.corstruth.com.au/Qld/CSV/76652_Macy_MA003E.csv","76652_Macy_MA003E_CSV File 1m Bins")</f>
        <v>76652_Macy_MA003E_CSV File 1m Bins</v>
      </c>
      <c r="D3952">
        <v>76652</v>
      </c>
      <c r="E3952" t="s">
        <v>2193</v>
      </c>
      <c r="I3952">
        <v>-20.9559</v>
      </c>
      <c r="J3952">
        <v>140.97900000000001</v>
      </c>
    </row>
    <row r="3953" spans="1:10" x14ac:dyDescent="0.25">
      <c r="A3953" t="str">
        <f>HYPERLINK("http://www.corstruth.com.au/Qld/76810_BaalGammon_BG509_cs.png","76810_BaalGammon_BG509_A4")</f>
        <v>76810_BaalGammon_BG509_A4</v>
      </c>
      <c r="B3953" t="str">
        <f>HYPERLINK("http://www.corstruth.com.au/Qld/PNG2/76810_BaalGammon_BG509_cs.png","76810_BaalGammon_BG509_0.25m Bins")</f>
        <v>76810_BaalGammon_BG509_0.25m Bins</v>
      </c>
      <c r="C3953" t="str">
        <f>HYPERLINK("http://www.corstruth.com.au/Qld/CSV/76810_BaalGammon_BG509.csv","76810_BaalGammon_BG509_CSV File 1m Bins")</f>
        <v>76810_BaalGammon_BG509_CSV File 1m Bins</v>
      </c>
      <c r="D3953">
        <v>76810</v>
      </c>
      <c r="E3953" t="s">
        <v>2193</v>
      </c>
      <c r="I3953">
        <v>-17.382100000000001</v>
      </c>
      <c r="J3953">
        <v>145.327</v>
      </c>
    </row>
    <row r="3954" spans="1:10" x14ac:dyDescent="0.25">
      <c r="A3954" t="str">
        <f>HYPERLINK("http://www.corstruth.com.au/Qld/76811_BaalGammon_BG515_cs.png","76811_BaalGammon_BG515_A4")</f>
        <v>76811_BaalGammon_BG515_A4</v>
      </c>
      <c r="B3954" t="str">
        <f>HYPERLINK("http://www.corstruth.com.au/Qld/PNG2/76811_BaalGammon_BG515_cs.png","76811_BaalGammon_BG515_0.25m Bins")</f>
        <v>76811_BaalGammon_BG515_0.25m Bins</v>
      </c>
      <c r="C3954" t="str">
        <f>HYPERLINK("http://www.corstruth.com.au/Qld/CSV/76811_BaalGammon_BG515.csv","76811_BaalGammon_BG515_CSV File 1m Bins")</f>
        <v>76811_BaalGammon_BG515_CSV File 1m Bins</v>
      </c>
      <c r="D3954">
        <v>76811</v>
      </c>
      <c r="E3954" t="s">
        <v>2193</v>
      </c>
      <c r="I3954">
        <v>-17.383099999999999</v>
      </c>
      <c r="J3954">
        <v>145.328</v>
      </c>
    </row>
    <row r="3955" spans="1:10" x14ac:dyDescent="0.25">
      <c r="A3955" t="str">
        <f>HYPERLINK("http://www.corstruth.com.au/Qld/76812_BaalGammon_BG518_cs.png","76812_BaalGammon_BG518_A4")</f>
        <v>76812_BaalGammon_BG518_A4</v>
      </c>
      <c r="B3955" t="str">
        <f>HYPERLINK("http://www.corstruth.com.au/Qld/PNG2/76812_BaalGammon_BG518_cs.png","76812_BaalGammon_BG518_0.25m Bins")</f>
        <v>76812_BaalGammon_BG518_0.25m Bins</v>
      </c>
      <c r="C3955" t="str">
        <f>HYPERLINK("http://www.corstruth.com.au/Qld/CSV/76812_BaalGammon_BG518.csv","76812_BaalGammon_BG518_CSV File 1m Bins")</f>
        <v>76812_BaalGammon_BG518_CSV File 1m Bins</v>
      </c>
      <c r="D3955">
        <v>76812</v>
      </c>
      <c r="E3955" t="s">
        <v>2193</v>
      </c>
      <c r="I3955">
        <v>-17.382000000000001</v>
      </c>
      <c r="J3955">
        <v>145.328</v>
      </c>
    </row>
    <row r="3956" spans="1:10" x14ac:dyDescent="0.25">
      <c r="A3956" t="str">
        <f>HYPERLINK("http://www.corstruth.com.au/Qld/76813_BaalGammon_BG520_cs.png","76813_BaalGammon_BG520_A4")</f>
        <v>76813_BaalGammon_BG520_A4</v>
      </c>
      <c r="B3956" t="str">
        <f>HYPERLINK("http://www.corstruth.com.au/Qld/PNG2/76813_BaalGammon_BG520_cs.png","76813_BaalGammon_BG520_0.25m Bins")</f>
        <v>76813_BaalGammon_BG520_0.25m Bins</v>
      </c>
      <c r="C3956" t="str">
        <f>HYPERLINK("http://www.corstruth.com.au/Qld/CSV/76813_BaalGammon_BG520.csv","76813_BaalGammon_BG520_CSV File 1m Bins")</f>
        <v>76813_BaalGammon_BG520_CSV File 1m Bins</v>
      </c>
      <c r="D3956">
        <v>76813</v>
      </c>
      <c r="E3956" t="s">
        <v>2193</v>
      </c>
      <c r="I3956">
        <v>-17.382400000000001</v>
      </c>
      <c r="J3956">
        <v>145.32900000000001</v>
      </c>
    </row>
    <row r="3957" spans="1:10" x14ac:dyDescent="0.25">
      <c r="A3957" t="str">
        <f>HYPERLINK("http://www.corstruth.com.au/Qld/76814_BaalGammon_BG527_cs.png","76814_BaalGammon_BG527_A4")</f>
        <v>76814_BaalGammon_BG527_A4</v>
      </c>
      <c r="B3957" t="str">
        <f>HYPERLINK("http://www.corstruth.com.au/Qld/PNG2/76814_BaalGammon_BG527_cs.png","76814_BaalGammon_BG527_0.25m Bins")</f>
        <v>76814_BaalGammon_BG527_0.25m Bins</v>
      </c>
      <c r="C3957" t="str">
        <f>HYPERLINK("http://www.corstruth.com.au/Qld/CSV/76814_BaalGammon_BG527.csv","76814_BaalGammon_BG527_CSV File 1m Bins")</f>
        <v>76814_BaalGammon_BG527_CSV File 1m Bins</v>
      </c>
      <c r="D3957">
        <v>76814</v>
      </c>
      <c r="E3957" t="s">
        <v>2193</v>
      </c>
      <c r="I3957">
        <v>-17.383299999999998</v>
      </c>
      <c r="J3957">
        <v>145.32900000000001</v>
      </c>
    </row>
    <row r="3958" spans="1:10" x14ac:dyDescent="0.25">
      <c r="A3958" t="str">
        <f>HYPERLINK("http://www.corstruth.com.au/Qld/76815_BaalGammon_BG530_cs.png","76815_BaalGammon_BG530_A4")</f>
        <v>76815_BaalGammon_BG530_A4</v>
      </c>
      <c r="B3958" t="str">
        <f>HYPERLINK("http://www.corstruth.com.au/Qld/PNG2/76815_BaalGammon_BG530_cs.png","76815_BaalGammon_BG530_0.25m Bins")</f>
        <v>76815_BaalGammon_BG530_0.25m Bins</v>
      </c>
      <c r="C3958" t="str">
        <f>HYPERLINK("http://www.corstruth.com.au/Qld/CSV/76815_BaalGammon_BG530.csv","76815_BaalGammon_BG530_CSV File 1m Bins")</f>
        <v>76815_BaalGammon_BG530_CSV File 1m Bins</v>
      </c>
      <c r="D3958">
        <v>76815</v>
      </c>
      <c r="E3958" t="s">
        <v>2193</v>
      </c>
      <c r="I3958">
        <v>-17.383500000000002</v>
      </c>
      <c r="J3958">
        <v>145.32900000000001</v>
      </c>
    </row>
    <row r="3959" spans="1:10" x14ac:dyDescent="0.25">
      <c r="A3959" t="str">
        <f>HYPERLINK("http://www.corstruth.com.au/Qld/76819_Isabel_DMI05_cs.png","76819_Isabel_DMI05_A4")</f>
        <v>76819_Isabel_DMI05_A4</v>
      </c>
      <c r="B3959" t="str">
        <f>HYPERLINK("http://www.corstruth.com.au/Qld/PNG2/76819_Isabel_DMI05_cs.png","76819_Isabel_DMI05_0.25m Bins")</f>
        <v>76819_Isabel_DMI05_0.25m Bins</v>
      </c>
      <c r="C3959" t="str">
        <f>HYPERLINK("http://www.corstruth.com.au/Qld/CSV/76819_Isabel_DMI05.csv","76819_Isabel_DMI05_CSV File 1m Bins")</f>
        <v>76819_Isabel_DMI05_CSV File 1m Bins</v>
      </c>
      <c r="D3959">
        <v>76819</v>
      </c>
      <c r="E3959" t="s">
        <v>2193</v>
      </c>
      <c r="I3959">
        <v>-17.386299999999999</v>
      </c>
      <c r="J3959">
        <v>145.363</v>
      </c>
    </row>
    <row r="3960" spans="1:10" x14ac:dyDescent="0.25">
      <c r="A3960" t="str">
        <f>HYPERLINK("http://www.corstruth.com.au/Qld/76821_Isabel_DMI11_cs.png","76821_Isabel_DMI11_A4")</f>
        <v>76821_Isabel_DMI11_A4</v>
      </c>
      <c r="B3960" t="str">
        <f>HYPERLINK("http://www.corstruth.com.au/Qld/PNG2/76821_Isabel_DMI11_cs.png","76821_Isabel_DMI11_0.25m Bins")</f>
        <v>76821_Isabel_DMI11_0.25m Bins</v>
      </c>
      <c r="C3960" t="str">
        <f>HYPERLINK("http://www.corstruth.com.au/Qld/CSV/76821_Isabel_DMI11.csv","76821_Isabel_DMI11_CSV File 1m Bins")</f>
        <v>76821_Isabel_DMI11_CSV File 1m Bins</v>
      </c>
      <c r="D3960">
        <v>76821</v>
      </c>
      <c r="E3960" t="s">
        <v>2193</v>
      </c>
      <c r="I3960">
        <v>-17.386600000000001</v>
      </c>
      <c r="J3960">
        <v>145.363</v>
      </c>
    </row>
    <row r="3961" spans="1:10" x14ac:dyDescent="0.25">
      <c r="A3961" t="str">
        <f>HYPERLINK("http://www.corstruth.com.au/Qld/76824_Isabel_DMI14_cs.png","76824_Isabel_DMI14_A4")</f>
        <v>76824_Isabel_DMI14_A4</v>
      </c>
      <c r="B3961" t="str">
        <f>HYPERLINK("http://www.corstruth.com.au/Qld/PNG2/76824_Isabel_DMI14_cs.png","76824_Isabel_DMI14_0.25m Bins")</f>
        <v>76824_Isabel_DMI14_0.25m Bins</v>
      </c>
      <c r="C3961" t="str">
        <f>HYPERLINK("http://www.corstruth.com.au/Qld/CSV/76824_Isabel_DMI14.csv","76824_Isabel_DMI14_CSV File 1m Bins")</f>
        <v>76824_Isabel_DMI14_CSV File 1m Bins</v>
      </c>
      <c r="D3961">
        <v>76824</v>
      </c>
      <c r="E3961" t="s">
        <v>2193</v>
      </c>
      <c r="I3961">
        <v>-17.386600000000001</v>
      </c>
      <c r="J3961">
        <v>145.363</v>
      </c>
    </row>
    <row r="3962" spans="1:10" x14ac:dyDescent="0.25">
      <c r="A3962" t="str">
        <f>HYPERLINK("http://www.corstruth.com.au/Qld/76825_Isabel_DMI16_cs.png","76825_Isabel_DMI16_A4")</f>
        <v>76825_Isabel_DMI16_A4</v>
      </c>
      <c r="B3962" t="str">
        <f>HYPERLINK("http://www.corstruth.com.au/Qld/PNG2/76825_Isabel_DMI16_cs.png","76825_Isabel_DMI16_0.25m Bins")</f>
        <v>76825_Isabel_DMI16_0.25m Bins</v>
      </c>
      <c r="C3962" t="str">
        <f>HYPERLINK("http://www.corstruth.com.au/Qld/CSV/76825_Isabel_DMI16.csv","76825_Isabel_DMI16_CSV File 1m Bins")</f>
        <v>76825_Isabel_DMI16_CSV File 1m Bins</v>
      </c>
      <c r="D3962">
        <v>76825</v>
      </c>
      <c r="E3962" t="s">
        <v>2193</v>
      </c>
      <c r="I3962">
        <v>-17.386399999999998</v>
      </c>
      <c r="J3962">
        <v>145.363</v>
      </c>
    </row>
    <row r="3963" spans="1:10" x14ac:dyDescent="0.25">
      <c r="A3963" t="str">
        <f>HYPERLINK("http://www.corstruth.com.au/Qld/76886_WolframCamp_DRD01_cs.png","76886_WolframCamp_DRD01_A4")</f>
        <v>76886_WolframCamp_DRD01_A4</v>
      </c>
      <c r="B3963" t="str">
        <f>HYPERLINK("http://www.corstruth.com.au/Qld/PNG2/76886_WolframCamp_DRD01_cs.png","76886_WolframCamp_DRD01_0.25m Bins")</f>
        <v>76886_WolframCamp_DRD01_0.25m Bins</v>
      </c>
      <c r="C3963" t="str">
        <f>HYPERLINK("http://www.corstruth.com.au/Qld/CSV/76886_WolframCamp_DRD01.csv","76886_WolframCamp_DRD01_CSV File 1m Bins")</f>
        <v>76886_WolframCamp_DRD01_CSV File 1m Bins</v>
      </c>
      <c r="D3963">
        <v>76886</v>
      </c>
      <c r="E3963" t="s">
        <v>2193</v>
      </c>
      <c r="I3963">
        <v>-17.086300000000001</v>
      </c>
      <c r="J3963">
        <v>144.971</v>
      </c>
    </row>
    <row r="3964" spans="1:10" x14ac:dyDescent="0.25">
      <c r="A3964" t="str">
        <f>HYPERLINK("http://www.corstruth.com.au/Qld/76887_WolframCamp_DRD02_cs.png","76887_WolframCamp_DRD02_A4")</f>
        <v>76887_WolframCamp_DRD02_A4</v>
      </c>
      <c r="B3964" t="str">
        <f>HYPERLINK("http://www.corstruth.com.au/Qld/PNG2/76887_WolframCamp_DRD02_cs.png","76887_WolframCamp_DRD02_0.25m Bins")</f>
        <v>76887_WolframCamp_DRD02_0.25m Bins</v>
      </c>
      <c r="C3964" t="str">
        <f>HYPERLINK("http://www.corstruth.com.au/Qld/CSV/76887_WolframCamp_DRD02.csv","76887_WolframCamp_DRD02_CSV File 1m Bins")</f>
        <v>76887_WolframCamp_DRD02_CSV File 1m Bins</v>
      </c>
      <c r="D3964">
        <v>76887</v>
      </c>
      <c r="E3964" t="s">
        <v>2193</v>
      </c>
      <c r="I3964">
        <v>-17.086300000000001</v>
      </c>
      <c r="J3964">
        <v>144.971</v>
      </c>
    </row>
    <row r="3965" spans="1:10" x14ac:dyDescent="0.25">
      <c r="A3965" t="str">
        <f>HYPERLINK("http://www.corstruth.com.au/Qld/76889_WolframCamp_DRD04_cs.png","76889_WolframCamp_DRD04_A4")</f>
        <v>76889_WolframCamp_DRD04_A4</v>
      </c>
      <c r="B3965" t="str">
        <f>HYPERLINK("http://www.corstruth.com.au/Qld/PNG2/76889_WolframCamp_DRD04_cs.png","76889_WolframCamp_DRD04_0.25m Bins")</f>
        <v>76889_WolframCamp_DRD04_0.25m Bins</v>
      </c>
      <c r="C3965" t="str">
        <f>HYPERLINK("http://www.corstruth.com.au/Qld/CSV/76889_WolframCamp_DRD04.csv","76889_WolframCamp_DRD04_CSV File 1m Bins")</f>
        <v>76889_WolframCamp_DRD04_CSV File 1m Bins</v>
      </c>
      <c r="D3965">
        <v>76889</v>
      </c>
      <c r="E3965" t="s">
        <v>2193</v>
      </c>
      <c r="I3965">
        <v>-17.086300000000001</v>
      </c>
      <c r="J3965">
        <v>144.971</v>
      </c>
    </row>
    <row r="3966" spans="1:10" x14ac:dyDescent="0.25">
      <c r="A3966" t="str">
        <f>HYPERLINK("http://www.corstruth.com.au/Qld/76891_WolframCamp_DRD06_cs.png","76891_WolframCamp_DRD06_A4")</f>
        <v>76891_WolframCamp_DRD06_A4</v>
      </c>
      <c r="B3966" t="str">
        <f>HYPERLINK("http://www.corstruth.com.au/Qld/PNG2/76891_WolframCamp_DRD06_cs.png","76891_WolframCamp_DRD06_0.25m Bins")</f>
        <v>76891_WolframCamp_DRD06_0.25m Bins</v>
      </c>
      <c r="C3966" t="str">
        <f>HYPERLINK("http://www.corstruth.com.au/Qld/CSV/76891_WolframCamp_DRD06.csv","76891_WolframCamp_DRD06_CSV File 1m Bins")</f>
        <v>76891_WolframCamp_DRD06_CSV File 1m Bins</v>
      </c>
      <c r="D3966">
        <v>76891</v>
      </c>
      <c r="E3966" t="s">
        <v>2193</v>
      </c>
      <c r="I3966">
        <v>-17.087299999999999</v>
      </c>
      <c r="J3966">
        <v>144.97200000000001</v>
      </c>
    </row>
    <row r="3967" spans="1:10" x14ac:dyDescent="0.25">
      <c r="A3967" t="str">
        <f>HYPERLINK("http://www.corstruth.com.au/Qld/77063_Isabel_DMI10_cs.png","77063_Isabel_DMI10_A4")</f>
        <v>77063_Isabel_DMI10_A4</v>
      </c>
      <c r="B3967" t="str">
        <f>HYPERLINK("http://www.corstruth.com.au/Qld/PNG2/77063_Isabel_DMI10_cs.png","77063_Isabel_DMI10_0.25m Bins")</f>
        <v>77063_Isabel_DMI10_0.25m Bins</v>
      </c>
      <c r="C3967" t="str">
        <f>HYPERLINK("http://www.corstruth.com.au/Qld/CSV/77063_Isabel_DMI10.csv","77063_Isabel_DMI10_CSV File 1m Bins")</f>
        <v>77063_Isabel_DMI10_CSV File 1m Bins</v>
      </c>
      <c r="D3967">
        <v>77063</v>
      </c>
      <c r="E3967" t="s">
        <v>2193</v>
      </c>
      <c r="I3967">
        <v>-17.386099999999999</v>
      </c>
      <c r="J3967">
        <v>145.364</v>
      </c>
    </row>
    <row r="3968" spans="1:10" x14ac:dyDescent="0.25">
      <c r="A3968" t="str">
        <f>HYPERLINK("http://www.corstruth.com.au/Qld/77070_EsperanzaSouth_SD535_cs.png","77070_EsperanzaSouth_SD535_A4")</f>
        <v>77070_EsperanzaSouth_SD535_A4</v>
      </c>
      <c r="B3968" t="str">
        <f>HYPERLINK("http://www.corstruth.com.au/Qld/PNG2/77070_EsperanzaSouth_SD535_cs.png","77070_EsperanzaSouth_SD535_0.25m Bins")</f>
        <v>77070_EsperanzaSouth_SD535_0.25m Bins</v>
      </c>
      <c r="C3968" t="str">
        <f>HYPERLINK("http://www.corstruth.com.au/Qld/CSV/77070_EsperanzaSouth_SD535.csv","77070_EsperanzaSouth_SD535_CSV File 1m Bins")</f>
        <v>77070_EsperanzaSouth_SD535_CSV File 1m Bins</v>
      </c>
      <c r="D3968">
        <v>77070</v>
      </c>
      <c r="E3968" t="s">
        <v>2193</v>
      </c>
      <c r="I3968">
        <v>-19.706900000000001</v>
      </c>
      <c r="J3968">
        <v>139.35</v>
      </c>
    </row>
    <row r="3969" spans="1:10" x14ac:dyDescent="0.25">
      <c r="A3969" t="str">
        <f>HYPERLINK("http://www.corstruth.com.au/Qld/77071_Pluto_SD569_cs.png","77071_Pluto_SD569_A4")</f>
        <v>77071_Pluto_SD569_A4</v>
      </c>
      <c r="B3969" t="str">
        <f>HYPERLINK("http://www.corstruth.com.au/Qld/PNG2/77071_Pluto_SD569_cs.png","77071_Pluto_SD569_0.25m Bins")</f>
        <v>77071_Pluto_SD569_0.25m Bins</v>
      </c>
      <c r="C3969" t="str">
        <f>HYPERLINK("http://www.corstruth.com.au/Qld/CSV/77071_Pluto_SD569.csv","77071_Pluto_SD569_CSV File 1m Bins")</f>
        <v>77071_Pluto_SD569_CSV File 1m Bins</v>
      </c>
      <c r="D3969">
        <v>77071</v>
      </c>
      <c r="E3969" t="s">
        <v>2193</v>
      </c>
      <c r="I3969">
        <v>-19.696100000000001</v>
      </c>
      <c r="J3969">
        <v>139.357</v>
      </c>
    </row>
    <row r="3970" spans="1:10" x14ac:dyDescent="0.25">
      <c r="A3970" t="str">
        <f>HYPERLINK("http://www.corstruth.com.au/Qld/77072_Greenstone_SD577_cs.png","77072_Greenstone_SD577_A4")</f>
        <v>77072_Greenstone_SD577_A4</v>
      </c>
      <c r="B3970" t="str">
        <f>HYPERLINK("http://www.corstruth.com.au/Qld/PNG2/77072_Greenstone_SD577_cs.png","77072_Greenstone_SD577_0.25m Bins")</f>
        <v>77072_Greenstone_SD577_0.25m Bins</v>
      </c>
      <c r="C3970" t="str">
        <f>HYPERLINK("http://www.corstruth.com.au/Qld/CSV/77072_Greenstone_SD577.csv","77072_Greenstone_SD577_CSV File 1m Bins")</f>
        <v>77072_Greenstone_SD577_CSV File 1m Bins</v>
      </c>
      <c r="D3970">
        <v>77072</v>
      </c>
      <c r="E3970" t="s">
        <v>2193</v>
      </c>
      <c r="I3970">
        <v>-19.692499999999999</v>
      </c>
      <c r="J3970">
        <v>139.37</v>
      </c>
    </row>
    <row r="3971" spans="1:10" x14ac:dyDescent="0.25">
      <c r="A3971" t="str">
        <f>HYPERLINK("http://www.corstruth.com.au/Qld/77074_EsperanzaSouth_SD629_cs.png","77074_EsperanzaSouth_SD629_A4")</f>
        <v>77074_EsperanzaSouth_SD629_A4</v>
      </c>
      <c r="B3971" t="str">
        <f>HYPERLINK("http://www.corstruth.com.au/Qld/PNG2/77074_EsperanzaSouth_SD629_cs.png","77074_EsperanzaSouth_SD629_0.25m Bins")</f>
        <v>77074_EsperanzaSouth_SD629_0.25m Bins</v>
      </c>
      <c r="C3971" t="str">
        <f>HYPERLINK("http://www.corstruth.com.au/Qld/CSV/77074_EsperanzaSouth_SD629.csv","77074_EsperanzaSouth_SD629_CSV File 1m Bins")</f>
        <v>77074_EsperanzaSouth_SD629_CSV File 1m Bins</v>
      </c>
      <c r="D3971">
        <v>77074</v>
      </c>
      <c r="E3971" t="s">
        <v>2193</v>
      </c>
      <c r="I3971">
        <v>-19.708300000000001</v>
      </c>
      <c r="J3971">
        <v>139.34700000000001</v>
      </c>
    </row>
    <row r="3972" spans="1:10" x14ac:dyDescent="0.25">
      <c r="A3972" t="str">
        <f>HYPERLINK("http://www.corstruth.com.au/Qld/77075_Mammoth_UM1585_cs.png","77075_Mammoth_UM1585_A4")</f>
        <v>77075_Mammoth_UM1585_A4</v>
      </c>
      <c r="B3972" t="str">
        <f>HYPERLINK("http://www.corstruth.com.au/Qld/PNG2/77075_Mammoth_UM1585_cs.png","77075_Mammoth_UM1585_0.25m Bins")</f>
        <v>77075_Mammoth_UM1585_0.25m Bins</v>
      </c>
      <c r="C3972" t="str">
        <f>HYPERLINK("http://www.corstruth.com.au/Qld/CSV/77075_Mammoth_UM1585.csv","77075_Mammoth_UM1585_CSV File 1m Bins")</f>
        <v>77075_Mammoth_UM1585_CSV File 1m Bins</v>
      </c>
      <c r="D3972">
        <v>77075</v>
      </c>
      <c r="E3972" t="s">
        <v>2193</v>
      </c>
      <c r="I3972">
        <v>-19.700500000000002</v>
      </c>
      <c r="J3972">
        <v>139.36199999999999</v>
      </c>
    </row>
    <row r="3973" spans="1:10" x14ac:dyDescent="0.25">
      <c r="A3973" t="str">
        <f>HYPERLINK("http://www.corstruth.com.au/Qld/77076_MammothNorth_UM1594_cs.png","77076_MammothNorth_UM1594_A4")</f>
        <v>77076_MammothNorth_UM1594_A4</v>
      </c>
      <c r="B3973" t="str">
        <f>HYPERLINK("http://www.corstruth.com.au/Qld/PNG2/77076_MammothNorth_UM1594_cs.png","77076_MammothNorth_UM1594_0.25m Bins")</f>
        <v>77076_MammothNorth_UM1594_0.25m Bins</v>
      </c>
      <c r="C3973" t="str">
        <f>HYPERLINK("http://www.corstruth.com.au/Qld/CSV/77076_MammothNorth_UM1594.csv","77076_MammothNorth_UM1594_CSV File 1m Bins")</f>
        <v>77076_MammothNorth_UM1594_CSV File 1m Bins</v>
      </c>
      <c r="D3973">
        <v>77076</v>
      </c>
      <c r="E3973" t="s">
        <v>2193</v>
      </c>
      <c r="I3973">
        <v>-19.696100000000001</v>
      </c>
      <c r="J3973">
        <v>139.36600000000001</v>
      </c>
    </row>
    <row r="3974" spans="1:10" x14ac:dyDescent="0.25">
      <c r="A3974" t="str">
        <f>HYPERLINK("http://www.corstruth.com.au/Qld/77187_LadyAnnie_LAMN01_cs.png","77187_LadyAnnie_LAMN01_A4")</f>
        <v>77187_LadyAnnie_LAMN01_A4</v>
      </c>
      <c r="B3974" t="str">
        <f>HYPERLINK("http://www.corstruth.com.au/Qld/PNG2/77187_LadyAnnie_LAMN01_cs.png","77187_LadyAnnie_LAMN01_0.25m Bins")</f>
        <v>77187_LadyAnnie_LAMN01_0.25m Bins</v>
      </c>
      <c r="C3974" t="str">
        <f>HYPERLINK("http://www.corstruth.com.au/Qld/CSV/77187_LadyAnnie_LAMN01.csv","77187_LadyAnnie_LAMN01_CSV File 1m Bins")</f>
        <v>77187_LadyAnnie_LAMN01_CSV File 1m Bins</v>
      </c>
      <c r="D3974">
        <v>77187</v>
      </c>
      <c r="E3974" t="s">
        <v>2193</v>
      </c>
      <c r="I3974">
        <v>-19.773399999999999</v>
      </c>
      <c r="J3974">
        <v>139.04599999999999</v>
      </c>
    </row>
    <row r="3975" spans="1:10" x14ac:dyDescent="0.25">
      <c r="A3975" t="str">
        <f>HYPERLINK("http://www.corstruth.com.au/Qld/77188_LadyAnnie_LANMET010_cs.png","77188_LadyAnnie_LANMET010_A4")</f>
        <v>77188_LadyAnnie_LANMET010_A4</v>
      </c>
      <c r="B3975" t="str">
        <f>HYPERLINK("http://www.corstruth.com.au/Qld/PNG2/77188_LadyAnnie_LANMET010_cs.png","77188_LadyAnnie_LANMET010_0.25m Bins")</f>
        <v>77188_LadyAnnie_LANMET010_0.25m Bins</v>
      </c>
      <c r="C3975" t="str">
        <f>HYPERLINK("http://www.corstruth.com.au/Qld/CSV/77188_LadyAnnie_LANMET010.csv","77188_LadyAnnie_LANMET010_CSV File 1m Bins")</f>
        <v>77188_LadyAnnie_LANMET010_CSV File 1m Bins</v>
      </c>
      <c r="D3975">
        <v>77188</v>
      </c>
      <c r="E3975" t="s">
        <v>2193</v>
      </c>
      <c r="I3975">
        <v>-19.778700000000001</v>
      </c>
      <c r="J3975">
        <v>139.042</v>
      </c>
    </row>
    <row r="3976" spans="1:10" x14ac:dyDescent="0.25">
      <c r="A3976" t="str">
        <f>HYPERLINK("http://www.corstruth.com.au/Qld/77189_LadyAnnie_LANMET003_cs.png","77189_LadyAnnie_LANMET003_A4")</f>
        <v>77189_LadyAnnie_LANMET003_A4</v>
      </c>
      <c r="B3976" t="str">
        <f>HYPERLINK("http://www.corstruth.com.au/Qld/PNG2/77189_LadyAnnie_LANMET003_cs.png","77189_LadyAnnie_LANMET003_0.25m Bins")</f>
        <v>77189_LadyAnnie_LANMET003_0.25m Bins</v>
      </c>
      <c r="C3976" t="str">
        <f>HYPERLINK("http://www.corstruth.com.au/Qld/CSV/77189_LadyAnnie_LANMET003.csv","77189_LadyAnnie_LANMET003_CSV File 1m Bins")</f>
        <v>77189_LadyAnnie_LANMET003_CSV File 1m Bins</v>
      </c>
      <c r="D3976">
        <v>77189</v>
      </c>
      <c r="E3976" t="s">
        <v>2193</v>
      </c>
      <c r="I3976">
        <v>-19.773299999999999</v>
      </c>
      <c r="J3976">
        <v>139.04400000000001</v>
      </c>
    </row>
    <row r="3977" spans="1:10" x14ac:dyDescent="0.25">
      <c r="A3977" t="str">
        <f>HYPERLINK("http://www.corstruth.com.au/Qld/77401_MountIsa_L623_WD5_17L_cs.png","77401_MountIsa_L623_WD5_17L_A4")</f>
        <v>77401_MountIsa_L623_WD5_17L_A4</v>
      </c>
      <c r="B3977" t="str">
        <f>HYPERLINK("http://www.corstruth.com.au/Qld/PNG2/77401_MountIsa_L623_WD5_17L_cs.png","77401_MountIsa_L623_WD5_17L_0.25m Bins")</f>
        <v>77401_MountIsa_L623_WD5_17L_0.25m Bins</v>
      </c>
      <c r="C3977" t="str">
        <f>HYPERLINK("http://www.corstruth.com.au/Qld/CSV/77401_MountIsa_L623_WD5_17L.csv","77401_MountIsa_L623_WD5_17L_CSV File 1m Bins")</f>
        <v>77401_MountIsa_L623_WD5_17L_CSV File 1m Bins</v>
      </c>
      <c r="D3977">
        <v>77401</v>
      </c>
      <c r="E3977" t="s">
        <v>2193</v>
      </c>
      <c r="I3977">
        <v>-20.723199999999999</v>
      </c>
      <c r="J3977">
        <v>139.47499999999999</v>
      </c>
    </row>
    <row r="3978" spans="1:10" x14ac:dyDescent="0.25">
      <c r="A3978" t="str">
        <f>HYPERLINK("http://www.corstruth.com.au/Qld/77499_MountIsa_K720_WD7_cs.png","77499_MountIsa_K720_WD7_A4")</f>
        <v>77499_MountIsa_K720_WD7_A4</v>
      </c>
      <c r="B3978" t="str">
        <f>HYPERLINK("http://www.corstruth.com.au/Qld/PNG2/77499_MountIsa_K720_WD7_cs.png","77499_MountIsa_K720_WD7_0.25m Bins")</f>
        <v>77499_MountIsa_K720_WD7_0.25m Bins</v>
      </c>
      <c r="C3978" t="str">
        <f>HYPERLINK("http://www.corstruth.com.au/Qld/CSV/77499_MountIsa_K720_WD7.csv","77499_MountIsa_K720_WD7_CSV File 1m Bins")</f>
        <v>77499_MountIsa_K720_WD7_CSV File 1m Bins</v>
      </c>
      <c r="D3978">
        <v>77499</v>
      </c>
      <c r="E3978" t="s">
        <v>2193</v>
      </c>
      <c r="I3978">
        <v>-20.714500000000001</v>
      </c>
      <c r="J3978">
        <v>139.47499999999999</v>
      </c>
    </row>
    <row r="3979" spans="1:10" x14ac:dyDescent="0.25">
      <c r="A3979" t="str">
        <f>HYPERLINK("http://www.corstruth.com.au/Qld/77500_MountIsa_N689_ED1_cs.png","77500_MountIsa_N689_ED1_A4")</f>
        <v>77500_MountIsa_N689_ED1_A4</v>
      </c>
      <c r="B3979" t="str">
        <f>HYPERLINK("http://www.corstruth.com.au/Qld/PNG2/77500_MountIsa_N689_ED1_cs.png","77500_MountIsa_N689_ED1_0.25m Bins")</f>
        <v>77500_MountIsa_N689_ED1_0.25m Bins</v>
      </c>
      <c r="C3979" t="str">
        <f>HYPERLINK("http://www.corstruth.com.au/Qld/CSV/77500_MountIsa_N689_ED1.csv","77500_MountIsa_N689_ED1_CSV File 1m Bins")</f>
        <v>77500_MountIsa_N689_ED1_CSV File 1m Bins</v>
      </c>
      <c r="D3979">
        <v>77500</v>
      </c>
      <c r="E3979" t="s">
        <v>2193</v>
      </c>
      <c r="I3979">
        <v>-20.717300000000002</v>
      </c>
      <c r="J3979">
        <v>139.477</v>
      </c>
    </row>
    <row r="3980" spans="1:10" x14ac:dyDescent="0.25">
      <c r="A3980" t="str">
        <f>HYPERLINK("http://www.corstruth.com.au/Qld/77501_MountIsa_N702_ED1_cs.png","77501_MountIsa_N702_ED1_A4")</f>
        <v>77501_MountIsa_N702_ED1_A4</v>
      </c>
      <c r="B3980" t="str">
        <f>HYPERLINK("http://www.corstruth.com.au/Qld/PNG2/77501_MountIsa_N702_ED1_cs.png","77501_MountIsa_N702_ED1_0.25m Bins")</f>
        <v>77501_MountIsa_N702_ED1_0.25m Bins</v>
      </c>
      <c r="C3980" t="str">
        <f>HYPERLINK("http://www.corstruth.com.au/Qld/CSV/77501_MountIsa_N702_ED1.csv","77501_MountIsa_N702_ED1_CSV File 1m Bins")</f>
        <v>77501_MountIsa_N702_ED1_CSV File 1m Bins</v>
      </c>
      <c r="D3980">
        <v>77501</v>
      </c>
      <c r="E3980" t="s">
        <v>2193</v>
      </c>
      <c r="I3980">
        <v>-20.716100000000001</v>
      </c>
      <c r="J3980">
        <v>139.477</v>
      </c>
    </row>
    <row r="3981" spans="1:10" x14ac:dyDescent="0.25">
      <c r="A3981" t="str">
        <f>HYPERLINK("http://www.corstruth.com.au/Qld/77505_MountIsa_K626_WD5_cs.png","77505_MountIsa_K626_WD5_A4")</f>
        <v>77505_MountIsa_K626_WD5_A4</v>
      </c>
      <c r="B3981" t="str">
        <f>HYPERLINK("http://www.corstruth.com.au/Qld/PNG2/77505_MountIsa_K626_WD5_cs.png","77505_MountIsa_K626_WD5_0.25m Bins")</f>
        <v>77505_MountIsa_K626_WD5_0.25m Bins</v>
      </c>
      <c r="C3981" t="str">
        <f>HYPERLINK("http://www.corstruth.com.au/Qld/CSV/77505_MountIsa_K626_WD5.csv","77505_MountIsa_K626_WD5_CSV File 1m Bins")</f>
        <v>77505_MountIsa_K626_WD5_CSV File 1m Bins</v>
      </c>
      <c r="D3981">
        <v>77505</v>
      </c>
      <c r="E3981" t="s">
        <v>2193</v>
      </c>
      <c r="I3981">
        <v>-20.722899999999999</v>
      </c>
      <c r="J3981">
        <v>139.47499999999999</v>
      </c>
    </row>
    <row r="3982" spans="1:10" x14ac:dyDescent="0.25">
      <c r="A3982" t="str">
        <f>HYPERLINK("http://www.corstruth.com.au/Qld/77507_MountIsa_O732_SD1_cs.png","77507_MountIsa_O732_SD1_A4")</f>
        <v>77507_MountIsa_O732_SD1_A4</v>
      </c>
      <c r="B3982" t="str">
        <f>HYPERLINK("http://www.corstruth.com.au/Qld/PNG2/77507_MountIsa_O732_SD1_cs.png","77507_MountIsa_O732_SD1_0.25m Bins")</f>
        <v>77507_MountIsa_O732_SD1_0.25m Bins</v>
      </c>
      <c r="C3982" t="str">
        <f>HYPERLINK("http://www.corstruth.com.au/Qld/CSV/77507_MountIsa_O732_SD1.csv","77507_MountIsa_O732_SD1_CSV File 1m Bins")</f>
        <v>77507_MountIsa_O732_SD1_CSV File 1m Bins</v>
      </c>
      <c r="D3982">
        <v>77507</v>
      </c>
      <c r="E3982" t="s">
        <v>2193</v>
      </c>
      <c r="I3982">
        <v>-20.7134</v>
      </c>
      <c r="J3982">
        <v>139.477</v>
      </c>
    </row>
    <row r="3983" spans="1:10" x14ac:dyDescent="0.25">
      <c r="A3983" t="str">
        <f>HYPERLINK("http://www.corstruth.com.au/Qld/77508_MountIsa_Z341_NNWD1_cs.png","77508_MountIsa_Z341_NNWD1_A4")</f>
        <v>77508_MountIsa_Z341_NNWD1_A4</v>
      </c>
      <c r="B3983" t="str">
        <f>HYPERLINK("http://www.corstruth.com.au/Qld/PNG2/77508_MountIsa_Z341_NNWD1_cs.png","77508_MountIsa_Z341_NNWD1_0.25m Bins")</f>
        <v>77508_MountIsa_Z341_NNWD1_0.25m Bins</v>
      </c>
      <c r="C3983" t="str">
        <f>HYPERLINK("http://www.corstruth.com.au/Qld/CSV/77508_MountIsa_Z341_NNWD1.csv","77508_MountIsa_Z341_NNWD1_CSV File 1m Bins")</f>
        <v>77508_MountIsa_Z341_NNWD1_CSV File 1m Bins</v>
      </c>
      <c r="D3983">
        <v>77508</v>
      </c>
      <c r="E3983" t="s">
        <v>2193</v>
      </c>
      <c r="I3983">
        <v>-20.748699999999999</v>
      </c>
      <c r="J3983">
        <v>139.48099999999999</v>
      </c>
    </row>
    <row r="3984" spans="1:10" x14ac:dyDescent="0.25">
      <c r="A3984" t="str">
        <f>HYPERLINK("http://www.corstruth.com.au/Qld/77509_MountIsa_Z365_SD1_cs.png","77509_MountIsa_Z365_SD1_A4")</f>
        <v>77509_MountIsa_Z365_SD1_A4</v>
      </c>
      <c r="B3984" t="str">
        <f>HYPERLINK("http://www.corstruth.com.au/Qld/PNG2/77509_MountIsa_Z365_SD1_cs.png","77509_MountIsa_Z365_SD1_0.25m Bins")</f>
        <v>77509_MountIsa_Z365_SD1_0.25m Bins</v>
      </c>
      <c r="C3984" t="str">
        <f>HYPERLINK("http://www.corstruth.com.au/Qld/CSV/77509_MountIsa_Z365_SD1.csv","77509_MountIsa_Z365_SD1_CSV File 1m Bins")</f>
        <v>77509_MountIsa_Z365_SD1_CSV File 1m Bins</v>
      </c>
      <c r="D3984">
        <v>77509</v>
      </c>
      <c r="E3984" t="s">
        <v>2193</v>
      </c>
      <c r="I3984">
        <v>-20.7469</v>
      </c>
      <c r="J3984">
        <v>139.48099999999999</v>
      </c>
    </row>
    <row r="3985" spans="1:11" x14ac:dyDescent="0.25">
      <c r="A3985" t="str">
        <f>HYPERLINK("http://www.corstruth.com.au/Qld/77511_MountIsa_L623_WD6a_cs.png","77511_MountIsa_L623_WD6a_A4")</f>
        <v>77511_MountIsa_L623_WD6a_A4</v>
      </c>
      <c r="B3985" t="str">
        <f>HYPERLINK("http://www.corstruth.com.au/Qld/PNG2/77511_MountIsa_L623_WD6a_cs.png","77511_MountIsa_L623_WD6a_0.25m Bins")</f>
        <v>77511_MountIsa_L623_WD6a_0.25m Bins</v>
      </c>
      <c r="C3985" t="str">
        <f>HYPERLINK("http://www.corstruth.com.au/Qld/CSV/77511_MountIsa_L623_WD6a.csv","77511_MountIsa_L623_WD6a_CSV File 1m Bins")</f>
        <v>77511_MountIsa_L623_WD6a_CSV File 1m Bins</v>
      </c>
      <c r="D3985">
        <v>77511</v>
      </c>
      <c r="E3985" t="s">
        <v>2193</v>
      </c>
      <c r="I3985">
        <v>-20.723299999999998</v>
      </c>
      <c r="J3985">
        <v>139.47499999999999</v>
      </c>
    </row>
    <row r="3986" spans="1:11" x14ac:dyDescent="0.25">
      <c r="A3986" t="str">
        <f>HYPERLINK("http://www.corstruth.com.au/Qld/80066_OverlanderNorth_OVD003_cs.png","80066_OverlanderNorth_OVD003_A4")</f>
        <v>80066_OverlanderNorth_OVD003_A4</v>
      </c>
      <c r="B3986" t="str">
        <f>HYPERLINK("http://www.corstruth.com.au/Qld/PNG2/80066_OverlanderNorth_OVD003_cs.png","80066_OverlanderNorth_OVD003_0.25m Bins")</f>
        <v>80066_OverlanderNorth_OVD003_0.25m Bins</v>
      </c>
      <c r="C3986" t="str">
        <f>HYPERLINK("http://www.corstruth.com.au/Qld/CSV/80066_OverlanderNorth_OVD003.csv","80066_OverlanderNorth_OVD003_CSV File 1m Bins")</f>
        <v>80066_OverlanderNorth_OVD003_CSV File 1m Bins</v>
      </c>
      <c r="D3986">
        <v>80066</v>
      </c>
      <c r="E3986" t="s">
        <v>2193</v>
      </c>
      <c r="I3986">
        <v>-21.031300000000002</v>
      </c>
      <c r="J3986">
        <v>145.90600000000001</v>
      </c>
    </row>
    <row r="3987" spans="1:11" x14ac:dyDescent="0.25">
      <c r="A3987" t="str">
        <f>HYPERLINK("http://www.corstruth.com.au/Qld/80072_Kalman_K79_cs.png","80072_Kalman_K79_A4")</f>
        <v>80072_Kalman_K79_A4</v>
      </c>
      <c r="B3987" t="str">
        <f>HYPERLINK("http://www.corstruth.com.au/Qld/PNG2/80072_Kalman_K79_cs.png","80072_Kalman_K79_0.25m Bins")</f>
        <v>80072_Kalman_K79_0.25m Bins</v>
      </c>
      <c r="C3987" t="str">
        <f>HYPERLINK("http://www.corstruth.com.au/Qld/CSV/80072_Kalman_K79.csv","80072_Kalman_K79_CSV File 1m Bins")</f>
        <v>80072_Kalman_K79_CSV File 1m Bins</v>
      </c>
      <c r="D3987">
        <v>80072</v>
      </c>
      <c r="E3987" t="s">
        <v>2193</v>
      </c>
      <c r="I3987">
        <v>-21.0503</v>
      </c>
      <c r="J3987">
        <v>139.964</v>
      </c>
    </row>
    <row r="3988" spans="1:11" x14ac:dyDescent="0.25">
      <c r="A3988" t="str">
        <f>HYPERLINK("http://www.corstruth.com.au/Qld/80073_Kalman_K102_cs.png","80073_Kalman_K102_A4")</f>
        <v>80073_Kalman_K102_A4</v>
      </c>
      <c r="B3988" t="str">
        <f>HYPERLINK("http://www.corstruth.com.au/Qld/PNG2/80073_Kalman_K102_cs.png","80073_Kalman_K102_0.25m Bins")</f>
        <v>80073_Kalman_K102_0.25m Bins</v>
      </c>
      <c r="C3988" t="str">
        <f>HYPERLINK("http://www.corstruth.com.au/Qld/CSV/80073_Kalman_K102.csv","80073_Kalman_K102_CSV File 1m Bins")</f>
        <v>80073_Kalman_K102_CSV File 1m Bins</v>
      </c>
      <c r="D3988">
        <v>80073</v>
      </c>
      <c r="E3988" t="s">
        <v>2193</v>
      </c>
      <c r="I3988">
        <v>-21.052900000000001</v>
      </c>
      <c r="J3988">
        <v>139.96299999999999</v>
      </c>
    </row>
    <row r="3989" spans="1:11" x14ac:dyDescent="0.25">
      <c r="A3989" t="str">
        <f>HYPERLINK("http://www.corstruth.com.au/Qld/80074_ElaineDorothy_MKED023_cs.png","80074_ElaineDorothy_MKED023_A4")</f>
        <v>80074_ElaineDorothy_MKED023_A4</v>
      </c>
      <c r="B3989" t="str">
        <f>HYPERLINK("http://www.corstruth.com.au/Qld/PNG2/80074_ElaineDorothy_MKED023_cs.png","80074_ElaineDorothy_MKED023_0.25m Bins")</f>
        <v>80074_ElaineDorothy_MKED023_0.25m Bins</v>
      </c>
      <c r="C3989" t="str">
        <f>HYPERLINK("http://www.corstruth.com.au/Qld/CSV/80074_ElaineDorothy_MKED023.csv","80074_ElaineDorothy_MKED023_CSV File 1m Bins")</f>
        <v>80074_ElaineDorothy_MKED023_CSV File 1m Bins</v>
      </c>
      <c r="D3989">
        <v>80074</v>
      </c>
      <c r="E3989" t="s">
        <v>2193</v>
      </c>
      <c r="I3989">
        <v>-20.800999999999998</v>
      </c>
      <c r="J3989">
        <v>140.02199999999999</v>
      </c>
    </row>
    <row r="3990" spans="1:11" x14ac:dyDescent="0.25">
      <c r="A3990" t="str">
        <f>HYPERLINK("http://www.corstruth.com.au/Qld/80820_MountCarbine_CB009_cs.png","80820_MountCarbine_CB009_A4")</f>
        <v>80820_MountCarbine_CB009_A4</v>
      </c>
      <c r="B3990" t="str">
        <f>HYPERLINK("http://www.corstruth.com.au/Qld/PNG2/80820_MountCarbine_CB009_cs.png","80820_MountCarbine_CB009_0.25m Bins")</f>
        <v>80820_MountCarbine_CB009_0.25m Bins</v>
      </c>
      <c r="C3990" t="str">
        <f>HYPERLINK("http://www.corstruth.com.au/Qld/CSV/80820_MountCarbine_CB009.csv","80820_MountCarbine_CB009_CSV File 1m Bins")</f>
        <v>80820_MountCarbine_CB009_CSV File 1m Bins</v>
      </c>
      <c r="D3990">
        <v>80820</v>
      </c>
      <c r="E3990" t="s">
        <v>2193</v>
      </c>
      <c r="I3990">
        <v>-16.524100000000001</v>
      </c>
      <c r="J3990">
        <v>145.13</v>
      </c>
    </row>
    <row r="3991" spans="1:11" x14ac:dyDescent="0.25">
      <c r="A3991" t="str">
        <f>HYPERLINK("http://www.corstruth.com.au/Qld/80947_DugaldRiver_DU0541_cs.png","80947_DugaldRiver_DU0541_A4")</f>
        <v>80947_DugaldRiver_DU0541_A4</v>
      </c>
      <c r="B3991" t="str">
        <f>HYPERLINK("http://www.corstruth.com.au/Qld/PNG2/80947_DugaldRiver_DU0541_cs.png","80947_DugaldRiver_DU0541_0.25m Bins")</f>
        <v>80947_DugaldRiver_DU0541_0.25m Bins</v>
      </c>
      <c r="C3991" t="str">
        <f>HYPERLINK("http://www.corstruth.com.au/Qld/CSV/80947_DugaldRiver_DU0541.csv","80947_DugaldRiver_DU0541_CSV File 1m Bins")</f>
        <v>80947_DugaldRiver_DU0541_CSV File 1m Bins</v>
      </c>
      <c r="D3991">
        <v>80947</v>
      </c>
      <c r="E3991" t="s">
        <v>2193</v>
      </c>
      <c r="I3991">
        <v>-20.244</v>
      </c>
      <c r="J3991">
        <v>140.15299999999999</v>
      </c>
    </row>
    <row r="3992" spans="1:11" x14ac:dyDescent="0.25">
      <c r="A3992" t="str">
        <f>HYPERLINK("http://www.corstruth.com.au/Qld/809_Ipswich1_cs.png","809_Ipswich1_A4")</f>
        <v>809_Ipswich1_A4</v>
      </c>
      <c r="B3992" t="str">
        <f>HYPERLINK("http://www.corstruth.com.au/Qld/PNG2/809_Ipswich1_cs.png","809_Ipswich1_0.25m Bins")</f>
        <v>809_Ipswich1_0.25m Bins</v>
      </c>
      <c r="C3992" t="str">
        <f>HYPERLINK("http://www.corstruth.com.au/Qld/CSV/809_Ipswich1.csv","809_Ipswich1_CSV File 1m Bins")</f>
        <v>809_Ipswich1_CSV File 1m Bins</v>
      </c>
      <c r="D3992">
        <v>809</v>
      </c>
      <c r="E3992" t="s">
        <v>2193</v>
      </c>
      <c r="I3992">
        <v>-27.698499999999999</v>
      </c>
      <c r="J3992">
        <v>152.834</v>
      </c>
    </row>
    <row r="3993" spans="1:11" x14ac:dyDescent="0.25">
      <c r="A3993" t="str">
        <f>HYPERLINK("http://www.corstruth.com.au/Qld/81039_MountCarbine_CB005_cs.png","81039_MountCarbine_CB005_A4")</f>
        <v>81039_MountCarbine_CB005_A4</v>
      </c>
      <c r="B3993" t="str">
        <f>HYPERLINK("http://www.corstruth.com.au/Qld/PNG2/81039_MountCarbine_CB005_cs.png","81039_MountCarbine_CB005_0.25m Bins")</f>
        <v>81039_MountCarbine_CB005_0.25m Bins</v>
      </c>
      <c r="C3993" t="str">
        <f>HYPERLINK("http://www.corstruth.com.au/Qld/CSV/81039_MountCarbine_CB005.csv","81039_MountCarbine_CB005_CSV File 1m Bins")</f>
        <v>81039_MountCarbine_CB005_CSV File 1m Bins</v>
      </c>
      <c r="D3993">
        <v>81039</v>
      </c>
      <c r="E3993" t="s">
        <v>2193</v>
      </c>
      <c r="I3993">
        <v>-16.524000000000001</v>
      </c>
      <c r="J3993">
        <v>145.13300000000001</v>
      </c>
    </row>
    <row r="3994" spans="1:11" x14ac:dyDescent="0.25">
      <c r="A3994" t="str">
        <f>HYPERLINK("http://www.corstruth.com.au/Qld/81045_MountCarbine_CB040_cs.png","81045_MountCarbine_CB040_A4")</f>
        <v>81045_MountCarbine_CB040_A4</v>
      </c>
      <c r="B3994" t="str">
        <f>HYPERLINK("http://www.corstruth.com.au/Qld/PNG2/81045_MountCarbine_CB040_cs.png","81045_MountCarbine_CB040_0.25m Bins")</f>
        <v>81045_MountCarbine_CB040_0.25m Bins</v>
      </c>
      <c r="C3994" t="str">
        <f>HYPERLINK("http://www.corstruth.com.au/Qld/CSV/81045_MountCarbine_CB040.csv","81045_MountCarbine_CB040_CSV File 1m Bins")</f>
        <v>81045_MountCarbine_CB040_CSV File 1m Bins</v>
      </c>
      <c r="D3994">
        <v>81045</v>
      </c>
      <c r="E3994" t="s">
        <v>2193</v>
      </c>
      <c r="I3994">
        <v>-16.523299999999999</v>
      </c>
      <c r="J3994">
        <v>145.13399999999999</v>
      </c>
    </row>
    <row r="3995" spans="1:11" x14ac:dyDescent="0.25">
      <c r="A3995" t="str">
        <f>HYPERLINK("http://www.corstruth.com.au/Qld/81046_MountCarbine_CB051_cs.png","81046_MountCarbine_CB051_A4")</f>
        <v>81046_MountCarbine_CB051_A4</v>
      </c>
      <c r="B3995" t="str">
        <f>HYPERLINK("http://www.corstruth.com.au/Qld/PNG2/81046_MountCarbine_CB051_cs.png","81046_MountCarbine_CB051_0.25m Bins")</f>
        <v>81046_MountCarbine_CB051_0.25m Bins</v>
      </c>
      <c r="C3995" t="str">
        <f>HYPERLINK("http://www.corstruth.com.au/Qld/CSV/81046_MountCarbine_CB051.csv","81046_MountCarbine_CB051_CSV File 1m Bins")</f>
        <v>81046_MountCarbine_CB051_CSV File 1m Bins</v>
      </c>
      <c r="D3995">
        <v>81046</v>
      </c>
      <c r="E3995" t="s">
        <v>2193</v>
      </c>
      <c r="I3995">
        <v>-16.521899999999999</v>
      </c>
      <c r="J3995">
        <v>145.13399999999999</v>
      </c>
    </row>
    <row r="3996" spans="1:11" x14ac:dyDescent="0.25">
      <c r="A3996" t="str">
        <f>HYPERLINK("http://www.corstruth.com.au/Qld/81071_MountCarbine_CB065_cs.png","81071_MountCarbine_CB065_A4")</f>
        <v>81071_MountCarbine_CB065_A4</v>
      </c>
      <c r="B3996" t="str">
        <f>HYPERLINK("http://www.corstruth.com.au/Qld/PNG2/81071_MountCarbine_CB065_cs.png","81071_MountCarbine_CB065_0.25m Bins")</f>
        <v>81071_MountCarbine_CB065_0.25m Bins</v>
      </c>
      <c r="C3996" t="str">
        <f>HYPERLINK("http://www.corstruth.com.au/Qld/CSV/81071_MountCarbine_CB065.csv","81071_MountCarbine_CB065_CSV File 1m Bins")</f>
        <v>81071_MountCarbine_CB065_CSV File 1m Bins</v>
      </c>
      <c r="D3996">
        <v>81071</v>
      </c>
      <c r="E3996" t="s">
        <v>2193</v>
      </c>
      <c r="I3996">
        <v>-16.522099999999998</v>
      </c>
      <c r="J3996">
        <v>145.13300000000001</v>
      </c>
    </row>
    <row r="3997" spans="1:11" x14ac:dyDescent="0.25">
      <c r="A3997" t="str">
        <f>HYPERLINK("http://www.corstruth.com.au/Qld/81072_MountCarbine_CB014_cs.png","81072_MountCarbine_CB014_A4")</f>
        <v>81072_MountCarbine_CB014_A4</v>
      </c>
      <c r="B3997" t="str">
        <f>HYPERLINK("http://www.corstruth.com.au/Qld/PNG2/81072_MountCarbine_CB014_cs.png","81072_MountCarbine_CB014_0.25m Bins")</f>
        <v>81072_MountCarbine_CB014_0.25m Bins</v>
      </c>
      <c r="C3997" t="str">
        <f>HYPERLINK("http://www.corstruth.com.au/Qld/CSV/81072_MountCarbine_CB014.csv","81072_MountCarbine_CB014_CSV File 1m Bins")</f>
        <v>81072_MountCarbine_CB014_CSV File 1m Bins</v>
      </c>
      <c r="D3997">
        <v>81072</v>
      </c>
      <c r="E3997" t="s">
        <v>2193</v>
      </c>
      <c r="I3997">
        <v>-16.522600000000001</v>
      </c>
      <c r="J3997">
        <v>145.12899999999999</v>
      </c>
    </row>
    <row r="3998" spans="1:11" x14ac:dyDescent="0.25">
      <c r="A3998" t="str">
        <f>HYPERLINK("http://www.corstruth.com.au/Qld/81073_MountCarbine_CB018_cs.png","81073_MountCarbine_CB018_A4")</f>
        <v>81073_MountCarbine_CB018_A4</v>
      </c>
      <c r="B3998" t="str">
        <f>HYPERLINK("http://www.corstruth.com.au/Qld/PNG2/81073_MountCarbine_CB018_cs.png","81073_MountCarbine_CB018_0.25m Bins")</f>
        <v>81073_MountCarbine_CB018_0.25m Bins</v>
      </c>
      <c r="C3998" t="str">
        <f>HYPERLINK("http://www.corstruth.com.au/Qld/CSV/81073_MountCarbine_CB018.csv","81073_MountCarbine_CB018_CSV File 1m Bins")</f>
        <v>81073_MountCarbine_CB018_CSV File 1m Bins</v>
      </c>
      <c r="D3998">
        <v>81073</v>
      </c>
      <c r="E3998" t="s">
        <v>2193</v>
      </c>
      <c r="I3998">
        <v>-16.521599999999999</v>
      </c>
      <c r="J3998">
        <v>145.13399999999999</v>
      </c>
    </row>
    <row r="3999" spans="1:11" x14ac:dyDescent="0.25">
      <c r="A3999" t="str">
        <f>HYPERLINK("http://www.corstruth.com.au/Qld/810_Ipswich2_cs.png","810_Ipswich2_A4")</f>
        <v>810_Ipswich2_A4</v>
      </c>
      <c r="B3999" t="str">
        <f>HYPERLINK("http://www.corstruth.com.au/Qld/PNG2/810_Ipswich2_cs.png","810_Ipswich2_0.25m Bins")</f>
        <v>810_Ipswich2_0.25m Bins</v>
      </c>
      <c r="C3999" t="str">
        <f>HYPERLINK("http://www.corstruth.com.au/Qld/CSV/810_Ipswich2.csv","810_Ipswich2_CSV File 1m Bins")</f>
        <v>810_Ipswich2_CSV File 1m Bins</v>
      </c>
      <c r="D3999">
        <v>810</v>
      </c>
      <c r="E3999" t="s">
        <v>2193</v>
      </c>
      <c r="I3999">
        <v>-27.681799999999999</v>
      </c>
      <c r="J3999">
        <v>152.80099999999999</v>
      </c>
    </row>
    <row r="4000" spans="1:11" x14ac:dyDescent="0.25">
      <c r="A4000" t="str">
        <f>HYPERLINK("http://www.corstruth.com.au/Qld/818_NettingFence1_cs.png","818_NettingFence1_A4")</f>
        <v>818_NettingFence1_A4</v>
      </c>
      <c r="B4000" t="str">
        <f>HYPERLINK("http://www.corstruth.com.au/Qld/PNG2/818_NettingFence1_cs.png","818_NettingFence1_0.25m Bins")</f>
        <v>818_NettingFence1_0.25m Bins</v>
      </c>
      <c r="C4000" t="str">
        <f>HYPERLINK("http://www.corstruth.com.au/Qld/CSV/818_NettingFence1.csv","818_NettingFence1_CSV File 1m Bins")</f>
        <v>818_NettingFence1_CSV File 1m Bins</v>
      </c>
      <c r="D4000">
        <v>818</v>
      </c>
      <c r="E4000" t="s">
        <v>2193</v>
      </c>
      <c r="I4000">
        <v>-22.933299999999999</v>
      </c>
      <c r="J4000">
        <v>138.036</v>
      </c>
      <c r="K4000" t="str">
        <f>HYPERLINK("http://geology.information.qld.gov.au/NVCLDataServices/mosaic.html?datasetid=f1e17b11-7864-4016-aba0-2696df28f3c","818_NettingFence1_Core Image")</f>
        <v>818_NettingFence1_Core Image</v>
      </c>
    </row>
    <row r="4001" spans="1:11" x14ac:dyDescent="0.25">
      <c r="A4001" t="str">
        <f>HYPERLINK("http://www.corstruth.com.au/Qld/841_TheBrothers1_cs.png","841_TheBrothers1_A4")</f>
        <v>841_TheBrothers1_A4</v>
      </c>
      <c r="B4001" t="str">
        <f>HYPERLINK("http://www.corstruth.com.au/Qld/PNG2/841_TheBrothers1_cs.png","841_TheBrothers1_0.25m Bins")</f>
        <v>841_TheBrothers1_0.25m Bins</v>
      </c>
      <c r="C4001" t="str">
        <f>HYPERLINK("http://www.corstruth.com.au/Qld/CSV/841_TheBrothers1.csv","841_TheBrothers1_CSV File 1m Bins")</f>
        <v>841_TheBrothers1_CSV File 1m Bins</v>
      </c>
      <c r="D4001">
        <v>841</v>
      </c>
      <c r="E4001" t="s">
        <v>2193</v>
      </c>
      <c r="I4001">
        <v>-24.259599999999999</v>
      </c>
      <c r="J4001">
        <v>139.34299999999999</v>
      </c>
    </row>
    <row r="4002" spans="1:11" x14ac:dyDescent="0.25">
      <c r="A4002" t="str">
        <f>HYPERLINK("http://www.corstruth.com.au/Qld/851_Morstone_1_cs.png","851_Morstone 1_A4")</f>
        <v>851_Morstone 1_A4</v>
      </c>
      <c r="B4002" t="str">
        <f>HYPERLINK("http://www.corstruth.com.au/Qld/PNG2/851_Morstone_1_cs.png","851_Morstone 1_0.25m Bins")</f>
        <v>851_Morstone 1_0.25m Bins</v>
      </c>
      <c r="C4002" t="str">
        <f>HYPERLINK("http://www.corstruth.com.au/Qld/CSV/851_Morstone_1.csv","851_Morstone 1_CSV File 1m Bins")</f>
        <v>851_Morstone 1_CSV File 1m Bins</v>
      </c>
      <c r="D4002">
        <v>851</v>
      </c>
      <c r="E4002" t="s">
        <v>2193</v>
      </c>
      <c r="I4002">
        <v>-19.569400000000002</v>
      </c>
      <c r="J4002">
        <v>138.51499999999999</v>
      </c>
    </row>
    <row r="4003" spans="1:11" x14ac:dyDescent="0.25">
      <c r="A4003" t="str">
        <f>HYPERLINK("http://www.corstruth.com.au/Qld/953_Georgetown2R_cs.png","953_Georgetown2R_A4")</f>
        <v>953_Georgetown2R_A4</v>
      </c>
      <c r="B4003" t="str">
        <f>HYPERLINK("http://www.corstruth.com.au/Qld/PNG2/953_Georgetown2R_cs.png","953_Georgetown2R_0.25m Bins")</f>
        <v>953_Georgetown2R_0.25m Bins</v>
      </c>
      <c r="C4003" t="str">
        <f>HYPERLINK("http://www.corstruth.com.au/Qld/CSV/953_Georgetown2R.csv","953_Georgetown2R_CSV File 1m Bins")</f>
        <v>953_Georgetown2R_CSV File 1m Bins</v>
      </c>
      <c r="D4003">
        <v>953</v>
      </c>
      <c r="E4003" t="s">
        <v>2193</v>
      </c>
      <c r="I4003">
        <v>-18.681799999999999</v>
      </c>
      <c r="J4003">
        <v>143.05799999999999</v>
      </c>
      <c r="K4003" t="str">
        <f>HYPERLINK("http://geology.information.qld.gov.au/NVCLDataServices/mosaic.html?datasetid=07c69cd1-3074-4693-bc2c-c4333ff58d2","953_Georgetown2R_Core Image")</f>
        <v>953_Georgetown2R_Core Image</v>
      </c>
    </row>
    <row r="4004" spans="1:11" x14ac:dyDescent="0.25">
      <c r="A4004" t="str">
        <f>HYPERLINK("http://www.corstruth.com.au/Qld/954_Georgetown3_cs.png","954_Georgetown3_A4")</f>
        <v>954_Georgetown3_A4</v>
      </c>
      <c r="B4004" t="str">
        <f>HYPERLINK("http://www.corstruth.com.au/Qld/PNG2/954_Georgetown3_cs.png","954_Georgetown3_0.25m Bins")</f>
        <v>954_Georgetown3_0.25m Bins</v>
      </c>
      <c r="C4004" t="str">
        <f>HYPERLINK("http://www.corstruth.com.au/Qld/CSV/954_Georgetown3.csv","954_Georgetown3_CSV File 1m Bins")</f>
        <v>954_Georgetown3_CSV File 1m Bins</v>
      </c>
      <c r="D4004">
        <v>954</v>
      </c>
      <c r="E4004" t="s">
        <v>2193</v>
      </c>
      <c r="I4004">
        <v>-18.676300000000001</v>
      </c>
      <c r="J4004">
        <v>143.059</v>
      </c>
      <c r="K4004" t="str">
        <f>HYPERLINK("http://geology.information.qld.gov.au/NVCLDataServices/mosaic.html?datasetid=adb10836-e98b-4a8e-b4b9-0ee6a670dc8","954_Georgetown3_Core Image")</f>
        <v>954_Georgetown3_Core Image</v>
      </c>
    </row>
    <row r="4005" spans="1:11" x14ac:dyDescent="0.25">
      <c r="A4005" t="str">
        <f>HYPERLINK("http://www.corstruth.com.au/Qld/955_Georgetown4_cs.png","955_Georgetown4_A4")</f>
        <v>955_Georgetown4_A4</v>
      </c>
      <c r="B4005" t="str">
        <f>HYPERLINK("http://www.corstruth.com.au/Qld/PNG2/955_Georgetown4_cs.png","955_Georgetown4_0.25m Bins")</f>
        <v>955_Georgetown4_0.25m Bins</v>
      </c>
      <c r="C4005" t="str">
        <f>HYPERLINK("http://www.corstruth.com.au/Qld/CSV/955_Georgetown4.csv","955_Georgetown4_CSV File 1m Bins")</f>
        <v>955_Georgetown4_CSV File 1m Bins</v>
      </c>
      <c r="D4005">
        <v>955</v>
      </c>
      <c r="E4005" t="s">
        <v>2193</v>
      </c>
      <c r="I4005">
        <v>-18.676300000000001</v>
      </c>
      <c r="J4005">
        <v>143.06200000000001</v>
      </c>
      <c r="K4005" t="str">
        <f>HYPERLINK("http://geology.information.qld.gov.au/NVCLDataServices/mosaic.html?datasetid=f60fabe6-1026-4f65-a1f6-285e45a0660","955_Georgetown4_Core Image")</f>
        <v>955_Georgetown4_Core Image</v>
      </c>
    </row>
    <row r="4006" spans="1:11" x14ac:dyDescent="0.25">
      <c r="A4006" t="str">
        <f>HYPERLINK("http://www.corstruth.com.au/Qld/957_GeorgetownNS6_cs.png","957_GeorgetownNS6_A4")</f>
        <v>957_GeorgetownNS6_A4</v>
      </c>
      <c r="B4006" t="str">
        <f>HYPERLINK("http://www.corstruth.com.au/Qld/PNG2/957_GeorgetownNS6_cs.png","957_GeorgetownNS6_0.25m Bins")</f>
        <v>957_GeorgetownNS6_0.25m Bins</v>
      </c>
      <c r="C4006" t="str">
        <f>HYPERLINK("http://www.corstruth.com.au/Qld/CSV/957_GeorgetownNS6.csv","957_GeorgetownNS6_CSV File 1m Bins")</f>
        <v>957_GeorgetownNS6_CSV File 1m Bins</v>
      </c>
      <c r="D4006">
        <v>957</v>
      </c>
      <c r="E4006" t="s">
        <v>2193</v>
      </c>
      <c r="I4006">
        <v>-18.659700000000001</v>
      </c>
      <c r="J4006">
        <v>143.048</v>
      </c>
      <c r="K4006" t="str">
        <f>HYPERLINK("http://geology.information.qld.gov.au/NVCLDataServices/mosaic.html?datasetid=e79a3256-82a4-4bfb-a62b-9fd045e1f82","957_GeorgetownNS6_Core Image")</f>
        <v>957_GeorgetownNS6_Core Image</v>
      </c>
    </row>
    <row r="4007" spans="1:11" x14ac:dyDescent="0.25">
      <c r="A4007" t="str">
        <f>HYPERLINK("http://www.corstruth.com.au/Qld/958_GeorgetownNS7_cs.png","958_GeorgetownNS7_A4")</f>
        <v>958_GeorgetownNS7_A4</v>
      </c>
      <c r="B4007" t="str">
        <f>HYPERLINK("http://www.corstruth.com.au/Qld/PNG2/958_GeorgetownNS7_cs.png","958_GeorgetownNS7_0.25m Bins")</f>
        <v>958_GeorgetownNS7_0.25m Bins</v>
      </c>
      <c r="C4007" t="str">
        <f>HYPERLINK("http://www.corstruth.com.au/Qld/CSV/958_GeorgetownNS7.csv","958_GeorgetownNS7_CSV File 1m Bins")</f>
        <v>958_GeorgetownNS7_CSV File 1m Bins</v>
      </c>
      <c r="D4007">
        <v>958</v>
      </c>
      <c r="E4007" t="s">
        <v>2193</v>
      </c>
      <c r="I4007">
        <v>-18.667999999999999</v>
      </c>
      <c r="J4007">
        <v>143.06399999999999</v>
      </c>
      <c r="K4007" t="str">
        <f>HYPERLINK("http://geology.information.qld.gov.au/NVCLDataServices/mosaic.html?datasetid=bc8572b5-54ea-4ac6-a723-0be611992da","958_GeorgetownNS7_Core Image")</f>
        <v>958_GeorgetownNS7_Core Image</v>
      </c>
    </row>
    <row r="4008" spans="1:11" x14ac:dyDescent="0.25">
      <c r="A4008" t="str">
        <f>HYPERLINK("http://www.corstruth.com.au/Qld/973_Mundubbera9_cs.png","973_Mundubbera9_A4")</f>
        <v>973_Mundubbera9_A4</v>
      </c>
      <c r="B4008" t="str">
        <f>HYPERLINK("http://www.corstruth.com.au/Qld/PNG2/973_Mundubbera9_cs.png","973_Mundubbera9_0.25m Bins")</f>
        <v>973_Mundubbera9_0.25m Bins</v>
      </c>
      <c r="C4008" t="str">
        <f>HYPERLINK("http://www.corstruth.com.au/Qld/CSV/973_Mundubbera9.csv","973_Mundubbera9_CSV File 1m Bins")</f>
        <v>973_Mundubbera9_CSV File 1m Bins</v>
      </c>
      <c r="D4008">
        <v>973</v>
      </c>
      <c r="E4008" t="s">
        <v>2193</v>
      </c>
      <c r="I4008">
        <v>-25.364799999999999</v>
      </c>
      <c r="J4008">
        <v>150.26599999999999</v>
      </c>
    </row>
    <row r="4009" spans="1:11" x14ac:dyDescent="0.25">
      <c r="A4009" t="str">
        <f>HYPERLINK("http://www.corstruth.com.au/Qld/ChillagoeNS10_cs.png","ChillagoeNS10_A4")</f>
        <v>ChillagoeNS10_A4</v>
      </c>
      <c r="D4009">
        <v>59417</v>
      </c>
      <c r="E4009" t="s">
        <v>2193</v>
      </c>
      <c r="I4009">
        <v>-20.444500000000001</v>
      </c>
      <c r="J4009">
        <v>147.81</v>
      </c>
      <c r="K4009" t="str">
        <f>HYPERLINK("http://geology.information.qld.gov.au/NVCLDataServices/mosaic.html?datasetid=e9dfe7cf-d7ba-4007-851f-023cb62254b","ChillagoeNS10_Core Image")</f>
        <v>ChillagoeNS10_Core Image</v>
      </c>
    </row>
    <row r="4010" spans="1:11" x14ac:dyDescent="0.25">
      <c r="A4010" t="str">
        <f>HYPERLINK("http://www.corstruth.com.au/Qld/ChillagoeNS12_cs.png","ChillagoeNS12_A4")</f>
        <v>ChillagoeNS12_A4</v>
      </c>
      <c r="D4010">
        <v>59417</v>
      </c>
      <c r="E4010" t="s">
        <v>2193</v>
      </c>
      <c r="I4010">
        <v>-20.444500000000001</v>
      </c>
      <c r="J4010">
        <v>147.81</v>
      </c>
      <c r="K4010" t="str">
        <f>HYPERLINK("http://geology.information.qld.gov.au/NVCLDataServices/mosaic.html?datasetid=e9dfe7cf-d7ba-4007-851f-023cb62254b","ChillagoeNS12_Core Image")</f>
        <v>ChillagoeNS12_Core Image</v>
      </c>
    </row>
    <row r="4011" spans="1:11" x14ac:dyDescent="0.25">
      <c r="A4011" t="str">
        <f>HYPERLINK("http://www.corstruth.com.au/Qld/Eromanga1_cs.png","Eromanga1_A4")</f>
        <v>Eromanga1_A4</v>
      </c>
      <c r="D4011">
        <v>59417</v>
      </c>
      <c r="E4011" t="s">
        <v>2193</v>
      </c>
      <c r="I4011">
        <v>-20.444500000000001</v>
      </c>
      <c r="J4011">
        <v>147.81</v>
      </c>
      <c r="K4011" t="str">
        <f>HYPERLINK("http://geology.information.qld.gov.au/NVCLDataServices/mosaic.html?datasetid=e9dfe7cf-d7ba-4007-851f-023cb62254b","Eromanga1_Core Image")</f>
        <v>Eromanga1_Core Image</v>
      </c>
    </row>
    <row r="4012" spans="1:11" x14ac:dyDescent="0.25">
      <c r="A4012" t="str">
        <f>HYPERLINK("http://www.corstruth.com.au/Qld/Grosvenor_NS74_cs.png","Grosvenor NS74_A4")</f>
        <v>Grosvenor NS74_A4</v>
      </c>
      <c r="D4012">
        <v>59417</v>
      </c>
      <c r="E4012" t="s">
        <v>2193</v>
      </c>
      <c r="I4012">
        <v>-20.444500000000001</v>
      </c>
      <c r="J4012">
        <v>147.81</v>
      </c>
      <c r="K4012" t="str">
        <f>HYPERLINK("http://geology.information.qld.gov.au/NVCLDataServices/mosaic.html?datasetid=e9dfe7cf-d7ba-4007-851f-023cb62254b","Grosvenor NS74_Core Image")</f>
        <v>Grosvenor NS74_Core Image</v>
      </c>
    </row>
    <row r="4013" spans="1:11" x14ac:dyDescent="0.25">
      <c r="A4013" t="str">
        <f>HYPERLINK("http://www.corstruth.com.au/Qld/69319_West_Burton_(WB012CR)_cs.png","69319_West Burton (WB012CR)_A4")</f>
        <v>69319_West Burton (WB012CR)_A4</v>
      </c>
      <c r="B4013" t="str">
        <f>HYPERLINK("http://www.corstruth.com.au/Qld/PNG2/69319_West_Burton_(WB012CR)_cs.png","69319_West Burton (WB012CR)_0.25m Bins")</f>
        <v>69319_West Burton (WB012CR)_0.25m Bins</v>
      </c>
      <c r="C4013" t="str">
        <f>HYPERLINK("http://www.corstruth.com.au/Qld/CSV/69319_West_Burton_(WB012CR).csv","69319_West Burton (WB012CR)_CSV File 1m Bins")</f>
        <v>69319_West Burton (WB012CR)_CSV File 1m Bins</v>
      </c>
      <c r="D4013">
        <v>69319</v>
      </c>
      <c r="E4013" t="s">
        <v>2193</v>
      </c>
      <c r="I4013">
        <v>0</v>
      </c>
      <c r="J4013">
        <v>0</v>
      </c>
      <c r="K4013" t="str">
        <f>HYPERLINK("http://geology.information.qld.gov.au/NVCLDataServices/mosaic.html?datasetid=NONE","69319_West Burton (WB012CR)_Core Image")</f>
        <v>69319_West Burton (WB012CR)_Core Image</v>
      </c>
    </row>
    <row r="4014" spans="1:11" x14ac:dyDescent="0.25">
      <c r="A4014" t="str">
        <f>HYPERLINK("http://www.corstruth.com.au/Qld/Calgoa_NS37_cs.png","Calgoa_NS37_A4")</f>
        <v>Calgoa_NS37_A4</v>
      </c>
      <c r="D4014" t="s">
        <v>2196</v>
      </c>
      <c r="E4014" t="s">
        <v>2193</v>
      </c>
      <c r="I4014">
        <v>0</v>
      </c>
      <c r="J4014">
        <v>0</v>
      </c>
      <c r="K4014" t="str">
        <f>HYPERLINK("http://geology.information.qld.gov.au/NVCLDataServices/mosaic.html?datasetid=NONE","Calgoa_NS37_Core Image")</f>
        <v>Calgoa_NS37_Core Image</v>
      </c>
    </row>
    <row r="4015" spans="1:11" x14ac:dyDescent="0.25">
      <c r="A4015" t="str">
        <f>HYPERLINK("http://www.corstruth.com.au/Qld/SWAN_MEHQ071130_cs.png","SWAN MEHQ071130_A4")</f>
        <v>SWAN MEHQ071130_A4</v>
      </c>
      <c r="B4015" t="str">
        <f>HYPERLINK("http://www.corstruth.com.au/Qld/PNG2/SWAN_MEHQ071130_cs.png","SWAN MEHQ071130_0.25m Bins")</f>
        <v>SWAN MEHQ071130_0.25m Bins</v>
      </c>
      <c r="C4015" t="str">
        <f>HYPERLINK("http://www.corstruth.com.au/Qld/CSV/SWAN_MEHQ071130.csv","SWAN MEHQ071130_CSV File 1m Bins")</f>
        <v>SWAN MEHQ071130_CSV File 1m Bins</v>
      </c>
      <c r="D4015">
        <v>851</v>
      </c>
      <c r="E4015" t="s">
        <v>2193</v>
      </c>
      <c r="I4015">
        <v>-19.569400000000002</v>
      </c>
      <c r="J4015">
        <v>138.51499999999999</v>
      </c>
      <c r="K4015" t="str">
        <f>HYPERLINK("http://geology.information.qld.gov.au/NVCLDataServices/mosaic.html?datasetid=a0b238fc-05ac-48c6-bad9-add7b021f93","SWAN MEHQ071130_Core Image")</f>
        <v>SWAN MEHQ071130_Core Image</v>
      </c>
    </row>
    <row r="4016" spans="1:11" x14ac:dyDescent="0.25">
      <c r="A4016" t="str">
        <f>HYPERLINK("http://www.corstruth.com.au/Qld/Springsure6_cs.png","Springsure6_A4")</f>
        <v>Springsure6_A4</v>
      </c>
      <c r="D4016">
        <v>59417</v>
      </c>
      <c r="E4016" t="s">
        <v>2193</v>
      </c>
      <c r="I4016">
        <v>-20.444500000000001</v>
      </c>
      <c r="J4016">
        <v>147.81</v>
      </c>
      <c r="K4016" t="str">
        <f>HYPERLINK("http://geology.information.qld.gov.au/NVCLDataServices/mosaic.html?datasetid=e9dfe7cf-d7ba-4007-851f-023cb62254b","Springsure6_Core Image")</f>
        <v>Springsure6_Core Image</v>
      </c>
    </row>
    <row r="4017" spans="1:11" x14ac:dyDescent="0.25">
      <c r="A4017" t="str">
        <f>HYPERLINK("http://www.corstruth.com.au/Qld/Springsure7_cs.png","Springsure7_A4")</f>
        <v>Springsure7_A4</v>
      </c>
      <c r="D4017">
        <v>59417</v>
      </c>
      <c r="E4017" t="s">
        <v>2193</v>
      </c>
      <c r="I4017">
        <v>-20.444500000000001</v>
      </c>
      <c r="J4017">
        <v>147.81</v>
      </c>
      <c r="K4017" t="str">
        <f>HYPERLINK("http://geology.information.qld.gov.au/NVCLDataServices/mosaic.html?datasetid=e9dfe7cf-d7ba-4007-851f-023cb62254b","Springsure7_Core Image")</f>
        <v>Springsure7_Core Image</v>
      </c>
    </row>
    <row r="4018" spans="1:11" x14ac:dyDescent="0.25">
      <c r="A4018" t="str">
        <f>HYPERLINK("http://www.corstruth.com.au/Qld/Springsure9_cs.png","Springsure9_A4")</f>
        <v>Springsure9_A4</v>
      </c>
      <c r="D4018">
        <v>59417</v>
      </c>
      <c r="E4018" t="s">
        <v>2193</v>
      </c>
      <c r="I4018">
        <v>-20.444500000000001</v>
      </c>
      <c r="J4018">
        <v>147.81</v>
      </c>
      <c r="K4018" t="str">
        <f>HYPERLINK("http://geology.information.qld.gov.au/NVCLDataServices/mosaic.html?datasetid=e9dfe7cf-d7ba-4007-851f-023cb62254b","Springsure9_Core Image")</f>
        <v>Springsure9_Core Image</v>
      </c>
    </row>
    <row r="4019" spans="1:11" x14ac:dyDescent="0.25">
      <c r="A4019" t="str">
        <f>HYPERLINK("http://www.corstruth.com.au/Qld/Tambo4_cs.png","Tambo4_A4")</f>
        <v>Tambo4_A4</v>
      </c>
      <c r="D4019">
        <v>59417</v>
      </c>
      <c r="E4019" t="s">
        <v>2193</v>
      </c>
      <c r="I4019">
        <v>-20.444500000000001</v>
      </c>
      <c r="J4019">
        <v>147.81</v>
      </c>
      <c r="K4019" t="str">
        <f>HYPERLINK("http://geology.information.qld.gov.au/NVCLDataServices/mosaic.html?datasetid=e9dfe7cf-d7ba-4007-851f-023cb62254b","Tambo4_Core Image")</f>
        <v>Tambo4_Core Image</v>
      </c>
    </row>
    <row r="4020" spans="1:11" x14ac:dyDescent="0.25">
      <c r="A4020" t="str">
        <f>HYPERLINK("http://www.corstruth.com.au/Qld/Taroom17_cs.png","Taroom17_A4")</f>
        <v>Taroom17_A4</v>
      </c>
      <c r="D4020">
        <v>59417</v>
      </c>
      <c r="E4020" t="s">
        <v>2193</v>
      </c>
      <c r="I4020">
        <v>-20.444500000000001</v>
      </c>
      <c r="J4020">
        <v>147.81</v>
      </c>
      <c r="K4020" t="str">
        <f>HYPERLINK("http://geology.information.qld.gov.au/NVCLDataServices/mosaic.html?datasetid=e9dfe7cf-d7ba-4007-851f-023cb62254b","Taroom17_Core Image")</f>
        <v>Taroom17_Core Image</v>
      </c>
    </row>
    <row r="4021" spans="1:11" x14ac:dyDescent="0.25">
      <c r="A4021" t="str">
        <f>HYPERLINK("http://www.corstruth.com.au/Qld/Thargomindah1_cs.png","Thargomindah1_A4")</f>
        <v>Thargomindah1_A4</v>
      </c>
      <c r="D4021">
        <v>59417</v>
      </c>
      <c r="E4021" t="s">
        <v>2193</v>
      </c>
      <c r="I4021">
        <v>-20.444500000000001</v>
      </c>
      <c r="J4021">
        <v>147.81</v>
      </c>
      <c r="K4021" t="str">
        <f>HYPERLINK("http://geology.information.qld.gov.au/NVCLDataServices/mosaic.html?datasetid=e9dfe7cf-d7ba-4007-851f-023cb62254b","Thargomindah1_Core Image")</f>
        <v>Thargomindah1_Core Image</v>
      </c>
    </row>
    <row r="4022" spans="1:11" x14ac:dyDescent="0.25">
      <c r="A4022" t="str">
        <f>HYPERLINK("http://www.corstruth.com.au/Qld/Thargomindah1A_cs.png","Thargomindah1A_A4")</f>
        <v>Thargomindah1A_A4</v>
      </c>
      <c r="D4022">
        <v>59417</v>
      </c>
      <c r="E4022" t="s">
        <v>2193</v>
      </c>
      <c r="I4022">
        <v>-20.444500000000001</v>
      </c>
      <c r="J4022">
        <v>147.81</v>
      </c>
      <c r="K4022" t="str">
        <f>HYPERLINK("http://geology.information.qld.gov.au/NVCLDataServices/mosaic.html?datasetid=e9dfe7cf-d7ba-4007-851f-023cb62254b","Thargomindah1A_Core Image")</f>
        <v>Thargomindah1A_Core Image</v>
      </c>
    </row>
    <row r="4023" spans="1:11" x14ac:dyDescent="0.25">
      <c r="A4023" t="str">
        <f>HYPERLINK("http://www.corstruth.com.au/NSW/NL1_cs.png","NL1_A4")</f>
        <v>NL1_A4</v>
      </c>
      <c r="B4023" t="str">
        <f>HYPERLINK("http://www.corstruth.com.au/NSW/PNG2/NL1_cs.png","NL1_0.25m Bins")</f>
        <v>NL1_0.25m Bins</v>
      </c>
      <c r="C4023" t="str">
        <f>HYPERLINK("http://www.corstruth.com.au/NSW/CSV/NL1.csv","NL1_CSV File 1m Bins")</f>
        <v>NL1_CSV File 1m Bins</v>
      </c>
      <c r="D4023" t="s">
        <v>2197</v>
      </c>
      <c r="E4023" t="s">
        <v>2198</v>
      </c>
      <c r="F4023" t="str">
        <f>HYPERLINK("http://dwh.geoscience.nsw.gov.au/CI/warehouse/raw/drillhole?project=MIN&amp;site_id=005269","Geol Survey Link")</f>
        <v>Geol Survey Link</v>
      </c>
      <c r="H4023" t="s">
        <v>2199</v>
      </c>
      <c r="I4023">
        <v>-32.269199999999998</v>
      </c>
      <c r="J4023">
        <v>147.387</v>
      </c>
      <c r="K4023" t="str">
        <f>HYPERLINK("http://nvcl.geoscience.nsw.gov.au/NVCLDataServices/mosaic.html?datasetid=e214a401-8d09-40d0-8417-d2e4a1726b1","NL1_Core Image")</f>
        <v>NL1_Core Image</v>
      </c>
    </row>
    <row r="4024" spans="1:11" x14ac:dyDescent="0.25">
      <c r="A4024" t="str">
        <f>HYPERLINK("http://www.corstruth.com.au/NSW/ACDAT061_cs.png","ACDAT061_A4")</f>
        <v>ACDAT061_A4</v>
      </c>
      <c r="B4024" t="str">
        <f>HYPERLINK("http://www.corstruth.com.au/NSW/PNG2/ACDAT061_cs.png","ACDAT061_0.25m Bins")</f>
        <v>ACDAT061_0.25m Bins</v>
      </c>
      <c r="C4024" t="str">
        <f>HYPERLINK("http://www.corstruth.com.au/NSW/CSV/ACDAT061.csv","ACDAT061_CSV File 1m Bins")</f>
        <v>ACDAT061_CSV File 1m Bins</v>
      </c>
      <c r="D4024" t="s">
        <v>2200</v>
      </c>
      <c r="E4024" t="s">
        <v>2198</v>
      </c>
      <c r="F4024" t="str">
        <f>HYPERLINK("http://dwh.geoscience.nsw.gov.au/CI/warehouse/raw/drillhole?project=MIN&amp;site_id=022234","Geol Survey Link")</f>
        <v>Geol Survey Link</v>
      </c>
      <c r="H4024" t="s">
        <v>2201</v>
      </c>
      <c r="I4024">
        <v>-32.952300000000001</v>
      </c>
      <c r="J4024">
        <v>148.30099999999999</v>
      </c>
      <c r="K4024" t="str">
        <f>HYPERLINK("http://nvcl.geoscience.nsw.gov.au/NVCLDataServices/mosaic.html?datasetid=254fb706-29bd-4bdd-93af-76e195ad9f7","ACDAT061_Core Image")</f>
        <v>ACDAT061_Core Image</v>
      </c>
    </row>
    <row r="4025" spans="1:11" x14ac:dyDescent="0.25">
      <c r="A4025" t="str">
        <f>HYPERLINK("http://www.corstruth.com.au/NSW/BYRC001_cs.png","BYRC001_A4")</f>
        <v>BYRC001_A4</v>
      </c>
      <c r="B4025" t="str">
        <f>HYPERLINK("http://www.corstruth.com.au/NSW/PNG2/BYRC001_cs.png","BYRC001_0.25m Bins")</f>
        <v>BYRC001_0.25m Bins</v>
      </c>
      <c r="C4025" t="str">
        <f>HYPERLINK("http://www.corstruth.com.au/NSW/CSV/BYRC001.csv","BYRC001_CSV File 1m Bins")</f>
        <v>BYRC001_CSV File 1m Bins</v>
      </c>
      <c r="D4025" t="s">
        <v>2202</v>
      </c>
      <c r="E4025" t="s">
        <v>2198</v>
      </c>
      <c r="F4025" t="str">
        <f>HYPERLINK("http://dwh.geoscience.nsw.gov.au/CI/warehouse/raw/drillhole?project=MIN&amp;site_id=063148","Geol Survey Link")</f>
        <v>Geol Survey Link</v>
      </c>
      <c r="H4025" t="s">
        <v>2201</v>
      </c>
      <c r="I4025">
        <v>-32.951000000000001</v>
      </c>
      <c r="J4025">
        <v>148.30000000000001</v>
      </c>
      <c r="K4025" t="str">
        <f>HYPERLINK("http://nvcl.geoscience.nsw.gov.au/NVCLDataServices/mosaic.html?datasetid=8164dfb3-675a-4504-aeda-bd60f1ee265","BYRC001_Core Image")</f>
        <v>BYRC001_Core Image</v>
      </c>
    </row>
    <row r="4026" spans="1:11" x14ac:dyDescent="0.25">
      <c r="A4026" t="str">
        <f>HYPERLINK("http://www.corstruth.com.au/NSW/BYRC002_cs.png","BYRC002_A4")</f>
        <v>BYRC002_A4</v>
      </c>
      <c r="B4026" t="str">
        <f>HYPERLINK("http://www.corstruth.com.au/NSW/PNG2/BYRC002_cs.png","BYRC002_0.25m Bins")</f>
        <v>BYRC002_0.25m Bins</v>
      </c>
      <c r="C4026" t="str">
        <f>HYPERLINK("http://www.corstruth.com.au/NSW/CSV/BYRC002.csv","BYRC002_CSV File 1m Bins")</f>
        <v>BYRC002_CSV File 1m Bins</v>
      </c>
      <c r="D4026" t="s">
        <v>2203</v>
      </c>
      <c r="E4026" t="s">
        <v>2198</v>
      </c>
      <c r="F4026" t="str">
        <f>HYPERLINK("http://dwh.geoscience.nsw.gov.au/CI/warehouse/raw/drillhole?project=MIN&amp;site_id=063149","Geol Survey Link")</f>
        <v>Geol Survey Link</v>
      </c>
      <c r="H4026" t="s">
        <v>2201</v>
      </c>
      <c r="I4026">
        <v>-32.9497</v>
      </c>
      <c r="J4026">
        <v>148.30099999999999</v>
      </c>
      <c r="K4026" t="str">
        <f>HYPERLINK("http://nvcl.geoscience.nsw.gov.au/NVCLDataServices/mosaic.html?datasetid=0e8de066-37cb-4b5a-993a-0a0706f41aa","BYRC002_Core Image")</f>
        <v>BYRC002_Core Image</v>
      </c>
    </row>
    <row r="4027" spans="1:11" x14ac:dyDescent="0.25">
      <c r="A4027" t="str">
        <f>HYPERLINK("http://www.corstruth.com.au/NSW/BYRC005_cs.png","BYRC005_A4")</f>
        <v>BYRC005_A4</v>
      </c>
      <c r="B4027" t="str">
        <f>HYPERLINK("http://www.corstruth.com.au/NSW/PNG2/BYRC005_cs.png","BYRC005_0.25m Bins")</f>
        <v>BYRC005_0.25m Bins</v>
      </c>
      <c r="C4027" t="str">
        <f>HYPERLINK("http://www.corstruth.com.au/NSW/CSV/BYRC005.csv","BYRC005_CSV File 1m Bins")</f>
        <v>BYRC005_CSV File 1m Bins</v>
      </c>
      <c r="D4027" t="s">
        <v>2204</v>
      </c>
      <c r="E4027" t="s">
        <v>2198</v>
      </c>
      <c r="F4027" t="str">
        <f>HYPERLINK("http://dwh.geoscience.nsw.gov.au/CI/warehouse/raw/drillhole?project=MIN&amp;site_id=063150","Geol Survey Link")</f>
        <v>Geol Survey Link</v>
      </c>
      <c r="H4027" t="s">
        <v>2201</v>
      </c>
      <c r="I4027">
        <v>-32.950000000000003</v>
      </c>
      <c r="J4027">
        <v>148.298</v>
      </c>
      <c r="K4027" t="str">
        <f>HYPERLINK("http://nvcl.geoscience.nsw.gov.au/NVCLDataServices/mosaic.html?datasetid=ca48ab55-e1ce-48d5-8d4a-a5a8a53e422","BYRC005_Core Image")</f>
        <v>BYRC005_Core Image</v>
      </c>
    </row>
    <row r="4028" spans="1:11" x14ac:dyDescent="0.25">
      <c r="A4028" t="str">
        <f>HYPERLINK("http://www.corstruth.com.au/NSW/BYRC006_cs.png","BYRC006_A4")</f>
        <v>BYRC006_A4</v>
      </c>
      <c r="B4028" t="str">
        <f>HYPERLINK("http://www.corstruth.com.au/NSW/PNG2/BYRC006_cs.png","BYRC006_0.25m Bins")</f>
        <v>BYRC006_0.25m Bins</v>
      </c>
      <c r="C4028" t="str">
        <f>HYPERLINK("http://www.corstruth.com.au/NSW/CSV/BYRC006.csv","BYRC006_CSV File 1m Bins")</f>
        <v>BYRC006_CSV File 1m Bins</v>
      </c>
      <c r="D4028" t="s">
        <v>2205</v>
      </c>
      <c r="E4028" t="s">
        <v>2198</v>
      </c>
      <c r="F4028" t="str">
        <f>HYPERLINK("http://dwh.geoscience.nsw.gov.au/CI/warehouse/raw/drillhole?project=MIN&amp;site_id=063151","Geol Survey Link")</f>
        <v>Geol Survey Link</v>
      </c>
      <c r="H4028" t="s">
        <v>2201</v>
      </c>
      <c r="I4028">
        <v>-32.954500000000003</v>
      </c>
      <c r="J4028">
        <v>148.297</v>
      </c>
      <c r="K4028" t="str">
        <f>HYPERLINK("http://nvcl.geoscience.nsw.gov.au/NVCLDataServices/mosaic.html?datasetid=57703870-7a46-493b-bb3e-fc0603de838","BYRC006_Core Image")</f>
        <v>BYRC006_Core Image</v>
      </c>
    </row>
    <row r="4029" spans="1:11" x14ac:dyDescent="0.25">
      <c r="A4029" t="str">
        <f>HYPERLINK("http://www.corstruth.com.au/NSW/BYRC007_cs.png","BYRC007_A4")</f>
        <v>BYRC007_A4</v>
      </c>
      <c r="B4029" t="str">
        <f>HYPERLINK("http://www.corstruth.com.au/NSW/PNG2/BYRC007_cs.png","BYRC007_0.25m Bins")</f>
        <v>BYRC007_0.25m Bins</v>
      </c>
      <c r="C4029" t="str">
        <f>HYPERLINK("http://www.corstruth.com.au/NSW/CSV/BYRC007.csv","BYRC007_CSV File 1m Bins")</f>
        <v>BYRC007_CSV File 1m Bins</v>
      </c>
      <c r="D4029" t="s">
        <v>2206</v>
      </c>
      <c r="E4029" t="s">
        <v>2198</v>
      </c>
      <c r="F4029" t="str">
        <f>HYPERLINK("http://dwh.geoscience.nsw.gov.au/CI/warehouse/raw/drillhole?project=MIN&amp;site_id=063152","Geol Survey Link")</f>
        <v>Geol Survey Link</v>
      </c>
      <c r="H4029" t="s">
        <v>2201</v>
      </c>
      <c r="I4029">
        <v>-32.952500000000001</v>
      </c>
      <c r="J4029">
        <v>148.29599999999999</v>
      </c>
      <c r="K4029" t="str">
        <f>HYPERLINK("http://nvcl.geoscience.nsw.gov.au/NVCLDataServices/mosaic.html?datasetid=94d67aba-3956-4833-8411-b2e10dd8a48","BYRC007_Core Image")</f>
        <v>BYRC007_Core Image</v>
      </c>
    </row>
    <row r="4030" spans="1:11" x14ac:dyDescent="0.25">
      <c r="A4030" t="str">
        <f>HYPERLINK("http://www.corstruth.com.au/NSW/BYRC008_cs.png","BYRC008_A4")</f>
        <v>BYRC008_A4</v>
      </c>
      <c r="B4030" t="str">
        <f>HYPERLINK("http://www.corstruth.com.au/NSW/PNG2/BYRC008_cs.png","BYRC008_0.25m Bins")</f>
        <v>BYRC008_0.25m Bins</v>
      </c>
      <c r="C4030" t="str">
        <f>HYPERLINK("http://www.corstruth.com.au/NSW/CSV/BYRC008.csv","BYRC008_CSV File 1m Bins")</f>
        <v>BYRC008_CSV File 1m Bins</v>
      </c>
      <c r="D4030" t="s">
        <v>2207</v>
      </c>
      <c r="E4030" t="s">
        <v>2198</v>
      </c>
      <c r="F4030" t="str">
        <f>HYPERLINK("http://dwh.geoscience.nsw.gov.au/CI/warehouse/raw/drillhole?project=MIN&amp;site_id=063153","Geol Survey Link")</f>
        <v>Geol Survey Link</v>
      </c>
      <c r="H4030" t="s">
        <v>2201</v>
      </c>
      <c r="I4030">
        <v>-32.950899999999997</v>
      </c>
      <c r="J4030">
        <v>148.29599999999999</v>
      </c>
      <c r="K4030" t="str">
        <f>HYPERLINK("http://nvcl.geoscience.nsw.gov.au/NVCLDataServices/mosaic.html?datasetid=0174f85a-5e75-41bf-9690-4302c5034e8","BYRC008_Core Image")</f>
        <v>BYRC008_Core Image</v>
      </c>
    </row>
    <row r="4031" spans="1:11" x14ac:dyDescent="0.25">
      <c r="A4031" t="str">
        <f>HYPERLINK("http://www.corstruth.com.au/NSW/BYRC009_cs.png","BYRC009_A4")</f>
        <v>BYRC009_A4</v>
      </c>
      <c r="B4031" t="str">
        <f>HYPERLINK("http://www.corstruth.com.au/NSW/PNG2/BYRC009_cs.png","BYRC009_0.25m Bins")</f>
        <v>BYRC009_0.25m Bins</v>
      </c>
      <c r="C4031" t="str">
        <f>HYPERLINK("http://www.corstruth.com.au/NSW/CSV/BYRC009.csv","BYRC009_CSV File 1m Bins")</f>
        <v>BYRC009_CSV File 1m Bins</v>
      </c>
      <c r="D4031" t="s">
        <v>2208</v>
      </c>
      <c r="E4031" t="s">
        <v>2198</v>
      </c>
      <c r="F4031" t="str">
        <f>HYPERLINK("http://dwh.geoscience.nsw.gov.au/CI/warehouse/raw/drillhole?project=MIN&amp;site_id=063154","Geol Survey Link")</f>
        <v>Geol Survey Link</v>
      </c>
      <c r="H4031" t="s">
        <v>2201</v>
      </c>
      <c r="I4031">
        <v>-32.9482</v>
      </c>
      <c r="J4031">
        <v>148.30699999999999</v>
      </c>
      <c r="K4031" t="str">
        <f>HYPERLINK("http://nvcl.geoscience.nsw.gov.au/NVCLDataServices/mosaic.html?datasetid=7320543e-3813-43f8-969e-5297c663545","BYRC009_Core Image")</f>
        <v>BYRC009_Core Image</v>
      </c>
    </row>
    <row r="4032" spans="1:11" x14ac:dyDescent="0.25">
      <c r="A4032" t="str">
        <f>HYPERLINK("http://www.corstruth.com.au/NSW/BYRC010_cs.png","BYRC010_A4")</f>
        <v>BYRC010_A4</v>
      </c>
      <c r="B4032" t="str">
        <f>HYPERLINK("http://www.corstruth.com.au/NSW/PNG2/BYRC010_cs.png","BYRC010_0.25m Bins")</f>
        <v>BYRC010_0.25m Bins</v>
      </c>
      <c r="C4032" t="str">
        <f>HYPERLINK("http://www.corstruth.com.au/NSW/CSV/BYRC010.csv","BYRC010_CSV File 1m Bins")</f>
        <v>BYRC010_CSV File 1m Bins</v>
      </c>
      <c r="D4032" t="s">
        <v>2209</v>
      </c>
      <c r="E4032" t="s">
        <v>2198</v>
      </c>
      <c r="F4032" t="str">
        <f>HYPERLINK("http://dwh.geoscience.nsw.gov.au/CI/warehouse/raw/drillhole?project=MIN&amp;site_id=063155","Geol Survey Link")</f>
        <v>Geol Survey Link</v>
      </c>
      <c r="H4032" t="s">
        <v>2201</v>
      </c>
      <c r="I4032">
        <v>-32.951000000000001</v>
      </c>
      <c r="J4032">
        <v>148.31299999999999</v>
      </c>
      <c r="K4032" t="str">
        <f>HYPERLINK("http://nvcl.geoscience.nsw.gov.au/NVCLDataServices/mosaic.html?datasetid=4b668bf5-f89c-47c3-bf7b-893b4177bee","BYRC010_Core Image")</f>
        <v>BYRC010_Core Image</v>
      </c>
    </row>
    <row r="4033" spans="1:11" x14ac:dyDescent="0.25">
      <c r="A4033" t="str">
        <f>HYPERLINK("http://www.corstruth.com.au/NSW/BYRCD004_cs.png","BYRCD004_A4")</f>
        <v>BYRCD004_A4</v>
      </c>
      <c r="B4033" t="str">
        <f>HYPERLINK("http://www.corstruth.com.au/NSW/PNG2/BYRCD004_cs.png","BYRCD004_0.25m Bins")</f>
        <v>BYRCD004_0.25m Bins</v>
      </c>
      <c r="C4033" t="str">
        <f>HYPERLINK("http://www.corstruth.com.au/NSW/CSV/BYRCD004.csv","BYRCD004_CSV File 1m Bins")</f>
        <v>BYRCD004_CSV File 1m Bins</v>
      </c>
      <c r="D4033" t="s">
        <v>2210</v>
      </c>
      <c r="E4033" t="s">
        <v>2198</v>
      </c>
      <c r="F4033" t="str">
        <f>HYPERLINK("http://dwh.geoscience.nsw.gov.au/CI/warehouse/raw/drillhole?project=MIN&amp;site_id=063156","Geol Survey Link")</f>
        <v>Geol Survey Link</v>
      </c>
      <c r="H4033" t="s">
        <v>2201</v>
      </c>
      <c r="I4033">
        <v>-32.951300000000003</v>
      </c>
      <c r="J4033">
        <v>148.298</v>
      </c>
      <c r="K4033" t="str">
        <f>HYPERLINK("http://nvcl.geoscience.nsw.gov.au/NVCLDataServices/mosaic.html?datasetid=c87dad1b-44ef-49f8-8f8f-9f07c54ed74","BYRCD004_Core Image")</f>
        <v>BYRCD004_Core Image</v>
      </c>
    </row>
    <row r="4034" spans="1:11" x14ac:dyDescent="0.25">
      <c r="A4034" t="str">
        <f>HYPERLINK("http://www.corstruth.com.au/NSW/GRRC001_cs.png","GRRC001_A4")</f>
        <v>GRRC001_A4</v>
      </c>
      <c r="B4034" t="str">
        <f>HYPERLINK("http://www.corstruth.com.au/NSW/PNG2/GRRC001_cs.png","GRRC001_0.25m Bins")</f>
        <v>GRRC001_0.25m Bins</v>
      </c>
      <c r="C4034" t="str">
        <f>HYPERLINK("http://www.corstruth.com.au/NSW/CSV/GRRC001.csv","GRRC001_CSV File 1m Bins")</f>
        <v>GRRC001_CSV File 1m Bins</v>
      </c>
      <c r="D4034" t="s">
        <v>2211</v>
      </c>
      <c r="E4034" t="s">
        <v>2198</v>
      </c>
      <c r="F4034" t="str">
        <f>HYPERLINK("http://dwh.geoscience.nsw.gov.au/CI/warehouse/raw/drillhole?project=MIN&amp;site_id=134131","Geol Survey Link")</f>
        <v>Geol Survey Link</v>
      </c>
      <c r="H4034" t="s">
        <v>2201</v>
      </c>
      <c r="I4034">
        <v>-32.933</v>
      </c>
      <c r="J4034">
        <v>148.292</v>
      </c>
      <c r="K4034" t="str">
        <f>HYPERLINK("http://nvcl.geoscience.nsw.gov.au/NVCLDataServices/mosaic.html?datasetid=0a66ac81-b744-4257-a042-6899ff91754","GRRC001_Core Image")</f>
        <v>GRRC001_Core Image</v>
      </c>
    </row>
    <row r="4035" spans="1:11" x14ac:dyDescent="0.25">
      <c r="A4035" t="str">
        <f>HYPERLINK("http://www.corstruth.com.au/NSW/GRRC002_cs.png","GRRC002_A4")</f>
        <v>GRRC002_A4</v>
      </c>
      <c r="B4035" t="str">
        <f>HYPERLINK("http://www.corstruth.com.au/NSW/PNG2/GRRC002_cs.png","GRRC002_0.25m Bins")</f>
        <v>GRRC002_0.25m Bins</v>
      </c>
      <c r="C4035" t="str">
        <f>HYPERLINK("http://www.corstruth.com.au/NSW/CSV/GRRC002.csv","GRRC002_CSV File 1m Bins")</f>
        <v>GRRC002_CSV File 1m Bins</v>
      </c>
      <c r="D4035" t="s">
        <v>2212</v>
      </c>
      <c r="E4035" t="s">
        <v>2198</v>
      </c>
      <c r="F4035" t="str">
        <f>HYPERLINK("http://dwh.geoscience.nsw.gov.au/CI/warehouse/raw/drillhole?project=MIN&amp;site_id=145289","Geol Survey Link")</f>
        <v>Geol Survey Link</v>
      </c>
      <c r="H4035" t="s">
        <v>2201</v>
      </c>
      <c r="I4035">
        <v>-32.930300000000003</v>
      </c>
      <c r="J4035">
        <v>148.292</v>
      </c>
      <c r="K4035" t="str">
        <f>HYPERLINK("http://nvcl.geoscience.nsw.gov.au/NVCLDataServices/mosaic.html?datasetid=00fa1aa8-3c30-4667-b0c3-e5b85cfeba7","GRRC002_Core Image")</f>
        <v>GRRC002_Core Image</v>
      </c>
    </row>
    <row r="4036" spans="1:11" x14ac:dyDescent="0.25">
      <c r="A4036" t="str">
        <f>HYPERLINK("http://www.corstruth.com.au/NSW/MDRC001_cs.png","MDRC001_A4")</f>
        <v>MDRC001_A4</v>
      </c>
      <c r="B4036" t="str">
        <f>HYPERLINK("http://www.corstruth.com.au/NSW/PNG2/MDRC001_cs.png","MDRC001_0.25m Bins")</f>
        <v>MDRC001_0.25m Bins</v>
      </c>
      <c r="C4036" t="str">
        <f>HYPERLINK("http://www.corstruth.com.au/NSW/CSV/MDRC001.csv","MDRC001_CSV File 1m Bins")</f>
        <v>MDRC001_CSV File 1m Bins</v>
      </c>
      <c r="D4036" t="s">
        <v>2213</v>
      </c>
      <c r="E4036" t="s">
        <v>2198</v>
      </c>
      <c r="F4036" t="str">
        <f>HYPERLINK("http://dwh.geoscience.nsw.gov.au/CI/warehouse/raw/drillhole?project=MIN&amp;site_id=134132","Geol Survey Link")</f>
        <v>Geol Survey Link</v>
      </c>
      <c r="H4036" t="s">
        <v>2201</v>
      </c>
      <c r="I4036">
        <v>-32.943100000000001</v>
      </c>
      <c r="J4036">
        <v>148.30699999999999</v>
      </c>
      <c r="K4036" t="str">
        <f>HYPERLINK("http://nvcl.geoscience.nsw.gov.au/NVCLDataServices/mosaic.html?datasetid=178863a6-b405-4812-8637-3e2c9a8d879","MDRC001_Core Image")</f>
        <v>MDRC001_Core Image</v>
      </c>
    </row>
    <row r="4037" spans="1:11" x14ac:dyDescent="0.25">
      <c r="A4037" t="str">
        <f>HYPERLINK("http://www.corstruth.com.au/NSW/MDRC002_cs.png","MDRC002_A4")</f>
        <v>MDRC002_A4</v>
      </c>
      <c r="B4037" t="str">
        <f>HYPERLINK("http://www.corstruth.com.au/NSW/PNG2/MDRC002_cs.png","MDRC002_0.25m Bins")</f>
        <v>MDRC002_0.25m Bins</v>
      </c>
      <c r="C4037" t="str">
        <f>HYPERLINK("http://www.corstruth.com.au/NSW/CSV/MDRC002.csv","MDRC002_CSV File 1m Bins")</f>
        <v>MDRC002_CSV File 1m Bins</v>
      </c>
      <c r="D4037" t="s">
        <v>2214</v>
      </c>
      <c r="E4037" t="s">
        <v>2198</v>
      </c>
      <c r="F4037" t="str">
        <f>HYPERLINK("http://dwh.geoscience.nsw.gov.au/CI/warehouse/raw/drillhole?project=MIN&amp;site_id=134133","Geol Survey Link")</f>
        <v>Geol Survey Link</v>
      </c>
      <c r="H4037" t="s">
        <v>2201</v>
      </c>
      <c r="I4037">
        <v>-32.943399999999997</v>
      </c>
      <c r="J4037">
        <v>148.31100000000001</v>
      </c>
      <c r="K4037" t="str">
        <f>HYPERLINK("http://nvcl.geoscience.nsw.gov.au/NVCLDataServices/mosaic.html?datasetid=de595c19-7495-4ea6-8bf1-25e1a9d91e7","MDRC002_Core Image")</f>
        <v>MDRC002_Core Image</v>
      </c>
    </row>
    <row r="4038" spans="1:11" x14ac:dyDescent="0.25">
      <c r="A4038" t="str">
        <f>HYPERLINK("http://www.corstruth.com.au/NSW/A7_cs.png","A7_A4")</f>
        <v>A7_A4</v>
      </c>
      <c r="B4038" t="str">
        <f>HYPERLINK("http://www.corstruth.com.au/NSW/PNG2/A7_cs.png","A7_0.25m Bins")</f>
        <v>A7_0.25m Bins</v>
      </c>
      <c r="C4038" t="str">
        <f>HYPERLINK("http://www.corstruth.com.au/NSW/CSV/A7.csv","A7_CSV File 1m Bins")</f>
        <v>A7_CSV File 1m Bins</v>
      </c>
      <c r="D4038" t="s">
        <v>2215</v>
      </c>
      <c r="E4038" t="s">
        <v>2198</v>
      </c>
      <c r="F4038" t="str">
        <f>HYPERLINK("http://dwh.geoscience.nsw.gov.au/CI/warehouse/raw/drillhole?project=MIN&amp;site_id=001943","Geol Survey Link")</f>
        <v>Geol Survey Link</v>
      </c>
      <c r="H4038" t="s">
        <v>2216</v>
      </c>
      <c r="I4038">
        <v>-31.607900000000001</v>
      </c>
      <c r="J4038">
        <v>141.48400000000001</v>
      </c>
      <c r="K4038" t="str">
        <f>HYPERLINK("http://nvcl.geoscience.nsw.gov.au/NVCLDataServices/mosaic.html?datasetid=8859551b-f2fe-4183-bdd5-e303eef9d08","A7_Core Image")</f>
        <v>A7_Core Image</v>
      </c>
    </row>
    <row r="4039" spans="1:11" x14ac:dyDescent="0.25">
      <c r="A4039" t="str">
        <f>HYPERLINK("http://www.corstruth.com.au/NSW/KDH1_cs.png","KDH1_A4")</f>
        <v>KDH1_A4</v>
      </c>
      <c r="B4039" t="str">
        <f>HYPERLINK("http://www.corstruth.com.au/NSW/PNG2/KDH1_cs.png","KDH1_0.25m Bins")</f>
        <v>KDH1_0.25m Bins</v>
      </c>
      <c r="C4039" t="str">
        <f>HYPERLINK("http://www.corstruth.com.au/NSW/CSV/KDH1.csv","KDH1_CSV File 1m Bins")</f>
        <v>KDH1_CSV File 1m Bins</v>
      </c>
      <c r="D4039" t="s">
        <v>2217</v>
      </c>
      <c r="E4039" t="s">
        <v>2198</v>
      </c>
      <c r="F4039" t="str">
        <f>HYPERLINK("http://dwh.geoscience.nsw.gov.au/CI/warehouse/raw/drillhole?project=MIN&amp;site_id=005540","Geol Survey Link")</f>
        <v>Geol Survey Link</v>
      </c>
      <c r="H4039" t="s">
        <v>2218</v>
      </c>
      <c r="I4039">
        <v>-30.8581</v>
      </c>
      <c r="J4039">
        <v>145.23599999999999</v>
      </c>
      <c r="K4039" t="str">
        <f>HYPERLINK("http://nvcl.geoscience.nsw.gov.au/NVCLDataServices/mosaic.html?datasetid=c7cadd98-3d07-4013-b5af-0c88012acc4","KDH1_Core Image")</f>
        <v>KDH1_Core Image</v>
      </c>
    </row>
    <row r="4040" spans="1:11" x14ac:dyDescent="0.25">
      <c r="A4040" t="str">
        <f>HYPERLINK("http://www.corstruth.com.au/NSW/JSG-1_cs.png","JSG-1_A4")</f>
        <v>JSG-1_A4</v>
      </c>
      <c r="D4040" t="s">
        <v>2219</v>
      </c>
      <c r="E4040" t="s">
        <v>2198</v>
      </c>
      <c r="F4040" t="str">
        <f>HYPERLINK("http://dwh.geoscience.nsw.gov.au/CI/warehouse/raw/drillhole?project=MIN&amp;site_id=005819","Geol Survey Link")</f>
        <v>Geol Survey Link</v>
      </c>
      <c r="H4040" t="s">
        <v>2220</v>
      </c>
      <c r="I4040">
        <v>-34.923999999999999</v>
      </c>
      <c r="J4040">
        <v>149.55699999999999</v>
      </c>
      <c r="K4040" t="str">
        <f>HYPERLINK("http://nvcl.geoscience.nsw.gov.au/NVCLDataServices/mosaic.html?datasetid=21c910b9-7fc6-42c0-946a-0b469891433","JSG-1_Core Image")</f>
        <v>JSG-1_Core Image</v>
      </c>
    </row>
    <row r="4041" spans="1:11" x14ac:dyDescent="0.25">
      <c r="A4041" t="str">
        <f>HYPERLINK("http://www.corstruth.com.au/NSW/JSG-2_cs.png","JSG-2_A4")</f>
        <v>JSG-2_A4</v>
      </c>
      <c r="D4041" t="s">
        <v>2221</v>
      </c>
      <c r="E4041" t="s">
        <v>2198</v>
      </c>
      <c r="F4041" t="str">
        <f>HYPERLINK("http://dwh.geoscience.nsw.gov.au/CI/warehouse/raw/drillhole?project=MIN&amp;site_id=005820","Geol Survey Link")</f>
        <v>Geol Survey Link</v>
      </c>
      <c r="H4041" t="s">
        <v>2220</v>
      </c>
      <c r="I4041">
        <v>-34.924999999999997</v>
      </c>
      <c r="J4041">
        <v>149.55699999999999</v>
      </c>
      <c r="K4041" t="str">
        <f>HYPERLINK("http://nvcl.geoscience.nsw.gov.au/NVCLDataServices/mosaic.html?datasetid=d5ec6f2f-61da-4b0f-aa22-e66e4de1296","JSG-2_Core Image")</f>
        <v>JSG-2_Core Image</v>
      </c>
    </row>
    <row r="4042" spans="1:11" x14ac:dyDescent="0.25">
      <c r="A4042" t="str">
        <f>HYPERLINK("http://www.corstruth.com.au/NSW/JSG-3_cs.png","JSG-3_A4")</f>
        <v>JSG-3_A4</v>
      </c>
      <c r="D4042" t="s">
        <v>2222</v>
      </c>
      <c r="E4042" t="s">
        <v>2198</v>
      </c>
      <c r="F4042" t="str">
        <f>HYPERLINK("http://dwh.geoscience.nsw.gov.au/CI/warehouse/raw/drillhole?project=MIN&amp;site_id=005821","Geol Survey Link")</f>
        <v>Geol Survey Link</v>
      </c>
      <c r="H4042" t="s">
        <v>2220</v>
      </c>
      <c r="I4042">
        <v>-34.935600000000001</v>
      </c>
      <c r="J4042">
        <v>149.55000000000001</v>
      </c>
      <c r="K4042" t="str">
        <f>HYPERLINK("http://nvcl.geoscience.nsw.gov.au/NVCLDataServices/mosaic.html?datasetid=df994046-90e3-4c59-a4e4-41b03ac9c66","JSG-3_Core Image")</f>
        <v>JSG-3_Core Image</v>
      </c>
    </row>
    <row r="4043" spans="1:11" x14ac:dyDescent="0.25">
      <c r="A4043" t="str">
        <f>HYPERLINK("http://www.corstruth.com.au/NSW/JSG-4_cs.png","JSG-4_A4")</f>
        <v>JSG-4_A4</v>
      </c>
      <c r="D4043" t="s">
        <v>2223</v>
      </c>
      <c r="E4043" t="s">
        <v>2198</v>
      </c>
      <c r="F4043" t="str">
        <f>HYPERLINK("http://dwh.geoscience.nsw.gov.au/CI/warehouse/raw/drillhole?project=MIN&amp;site_id=005822","Geol Survey Link")</f>
        <v>Geol Survey Link</v>
      </c>
      <c r="H4043" t="s">
        <v>2220</v>
      </c>
      <c r="I4043">
        <v>-34.936999999999998</v>
      </c>
      <c r="J4043">
        <v>149.55000000000001</v>
      </c>
      <c r="K4043" t="str">
        <f>HYPERLINK("http://nvcl.geoscience.nsw.gov.au/NVCLDataServices/mosaic.html?datasetid=42f5280d-7198-4d67-804e-e2e529641ac","JSG-4_Core Image")</f>
        <v>JSG-4_Core Image</v>
      </c>
    </row>
    <row r="4044" spans="1:11" x14ac:dyDescent="0.25">
      <c r="A4044" t="str">
        <f>HYPERLINK("http://www.corstruth.com.au/NSW/JSG-5_cs.png","JSG-5_A4")</f>
        <v>JSG-5_A4</v>
      </c>
      <c r="D4044" t="s">
        <v>2224</v>
      </c>
      <c r="E4044" t="s">
        <v>2198</v>
      </c>
      <c r="F4044" t="str">
        <f>HYPERLINK("http://dwh.geoscience.nsw.gov.au/CI/warehouse/raw/drillhole?project=MIN&amp;site_id=005823","Geol Survey Link")</f>
        <v>Geol Survey Link</v>
      </c>
      <c r="H4044" t="s">
        <v>2220</v>
      </c>
      <c r="I4044">
        <v>-34.933599999999998</v>
      </c>
      <c r="J4044">
        <v>149.54900000000001</v>
      </c>
      <c r="K4044" t="str">
        <f>HYPERLINK("http://nvcl.geoscience.nsw.gov.au/NVCLDataServices/mosaic.html?datasetid=1ad58b42-f12c-4f33-9e30-8d3855e5f44","JSG-5_Core Image")</f>
        <v>JSG-5_Core Image</v>
      </c>
    </row>
    <row r="4045" spans="1:11" x14ac:dyDescent="0.25">
      <c r="A4045" t="str">
        <f>HYPERLINK("http://www.corstruth.com.au/NSW/JSG-6_cs.png","JSG-6_A4")</f>
        <v>JSG-6_A4</v>
      </c>
      <c r="D4045" t="s">
        <v>2225</v>
      </c>
      <c r="E4045" t="s">
        <v>2198</v>
      </c>
      <c r="F4045" t="str">
        <f>HYPERLINK("http://dwh.geoscience.nsw.gov.au/CI/warehouse/raw/drillhole?project=MIN&amp;site_id=005824","Geol Survey Link")</f>
        <v>Geol Survey Link</v>
      </c>
      <c r="H4045" t="s">
        <v>2220</v>
      </c>
      <c r="I4045">
        <v>-34.937899999999999</v>
      </c>
      <c r="J4045">
        <v>149.55199999999999</v>
      </c>
      <c r="K4045" t="str">
        <f>HYPERLINK("http://nvcl.geoscience.nsw.gov.au/NVCLDataServices/mosaic.html?datasetid=6b58e514-8668-4ae7-b9da-dfd363e5eb6","JSG-6_Core Image")</f>
        <v>JSG-6_Core Image</v>
      </c>
    </row>
    <row r="4046" spans="1:11" x14ac:dyDescent="0.25">
      <c r="A4046" t="str">
        <f>HYPERLINK("http://www.corstruth.com.au/NSW/B1015_cs.png","B1015_A4")</f>
        <v>B1015_A4</v>
      </c>
      <c r="B4046" t="str">
        <f>HYPERLINK("http://www.corstruth.com.au/NSW/PNG2/B1015_cs.png","B1015_0.25m Bins")</f>
        <v>B1015_0.25m Bins</v>
      </c>
      <c r="C4046" t="str">
        <f>HYPERLINK("http://www.corstruth.com.au/NSW/CSV/B1015.csv","B1015_CSV File 1m Bins")</f>
        <v>B1015_CSV File 1m Bins</v>
      </c>
      <c r="D4046" t="s">
        <v>2226</v>
      </c>
      <c r="E4046" t="s">
        <v>2198</v>
      </c>
      <c r="F4046" t="str">
        <f>HYPERLINK("http://dwh.geoscience.nsw.gov.au/CI/warehouse/raw/drillhole?project=MIN&amp;site_id=005022","Geol Survey Link")</f>
        <v>Geol Survey Link</v>
      </c>
      <c r="H4046" t="s">
        <v>2227</v>
      </c>
      <c r="I4046">
        <v>-34.325600000000001</v>
      </c>
      <c r="J4046">
        <v>146.858</v>
      </c>
      <c r="K4046" t="str">
        <f>HYPERLINK("http://nvcl.geoscience.nsw.gov.au/NVCLDataServices/mosaic.html?datasetid=ce9ddb05-d20c-4738-a7d6-e48eb1ff1f7","B1015_Core Image")</f>
        <v>B1015_Core Image</v>
      </c>
    </row>
    <row r="4047" spans="1:11" x14ac:dyDescent="0.25">
      <c r="A4047" t="str">
        <f>HYPERLINK("http://www.corstruth.com.au/NSW/B1028_cs.png","B1028_A4")</f>
        <v>B1028_A4</v>
      </c>
      <c r="B4047" t="str">
        <f>HYPERLINK("http://www.corstruth.com.au/NSW/PNG2/B1028_cs.png","B1028_0.25m Bins")</f>
        <v>B1028_0.25m Bins</v>
      </c>
      <c r="C4047" t="str">
        <f>HYPERLINK("http://www.corstruth.com.au/NSW/CSV/B1028.csv","B1028_CSV File 1m Bins")</f>
        <v>B1028_CSV File 1m Bins</v>
      </c>
      <c r="D4047" t="s">
        <v>2228</v>
      </c>
      <c r="E4047" t="s">
        <v>2198</v>
      </c>
      <c r="F4047" t="str">
        <f>HYPERLINK("http://dwh.geoscience.nsw.gov.au/CI/warehouse/raw/drillhole?project=MIN&amp;site_id=165421","Geol Survey Link")</f>
        <v>Geol Survey Link</v>
      </c>
      <c r="H4047" t="s">
        <v>2227</v>
      </c>
      <c r="I4047">
        <v>-34.326599999999999</v>
      </c>
      <c r="J4047">
        <v>146.857</v>
      </c>
      <c r="K4047" t="str">
        <f>HYPERLINK("http://nvcl.geoscience.nsw.gov.au/NVCLDataServices/mosaic.html?datasetid=cc92b075-2d7e-4381-927a-e0cb82f4469","B1028_Core Image")</f>
        <v>B1028_Core Image</v>
      </c>
    </row>
    <row r="4048" spans="1:11" x14ac:dyDescent="0.25">
      <c r="A4048" t="str">
        <f>HYPERLINK("http://www.corstruth.com.au/NSW/TATD030_cs.png","TATD030_A4")</f>
        <v>TATD030_A4</v>
      </c>
      <c r="B4048" t="str">
        <f>HYPERLINK("http://www.corstruth.com.au/NSW/PNG2/TATD030_cs.png","TATD030_0.25m Bins")</f>
        <v>TATD030_0.25m Bins</v>
      </c>
      <c r="C4048" t="str">
        <f>HYPERLINK("http://www.corstruth.com.au/NSW/CSV/TATD030.csv","TATD030_CSV File 1m Bins")</f>
        <v>TATD030_CSV File 1m Bins</v>
      </c>
      <c r="D4048" t="s">
        <v>2229</v>
      </c>
      <c r="E4048" t="s">
        <v>2198</v>
      </c>
      <c r="F4048" t="str">
        <f>HYPERLINK("http://dwh.geoscience.nsw.gov.au/CI/warehouse/raw/drillhole?project=MIN&amp;site_id=108570","Geol Survey Link")</f>
        <v>Geol Survey Link</v>
      </c>
      <c r="H4048" t="s">
        <v>2230</v>
      </c>
      <c r="I4048">
        <v>-31.196300000000001</v>
      </c>
      <c r="J4048">
        <v>146.84</v>
      </c>
      <c r="K4048" t="str">
        <f>HYPERLINK("http://nvcl.geoscience.nsw.gov.au/NVCLDataServices/mosaic.html?datasetid=c20399cf-4ce9-437e-91d4-d171e04ff63","TATD030_Core Image")</f>
        <v>TATD030_Core Image</v>
      </c>
    </row>
    <row r="4049" spans="1:11" x14ac:dyDescent="0.25">
      <c r="A4049" t="str">
        <f>HYPERLINK("http://www.corstruth.com.au/NSW/TATD043_cs.png","TATD043_A4")</f>
        <v>TATD043_A4</v>
      </c>
      <c r="B4049" t="str">
        <f>HYPERLINK("http://www.corstruth.com.au/NSW/PNG2/TATD043_cs.png","TATD043_0.25m Bins")</f>
        <v>TATD043_0.25m Bins</v>
      </c>
      <c r="C4049" t="str">
        <f>HYPERLINK("http://www.corstruth.com.au/NSW/CSV/TATD043.csv","TATD043_CSV File 1m Bins")</f>
        <v>TATD043_CSV File 1m Bins</v>
      </c>
      <c r="D4049" t="s">
        <v>2231</v>
      </c>
      <c r="E4049" t="s">
        <v>2198</v>
      </c>
      <c r="F4049" t="str">
        <f>HYPERLINK("http://dwh.geoscience.nsw.gov.au/CI/warehouse/raw/drillhole?project=MIN&amp;site_id=108583","Geol Survey Link")</f>
        <v>Geol Survey Link</v>
      </c>
      <c r="H4049" t="s">
        <v>2230</v>
      </c>
      <c r="I4049">
        <v>-31.196000000000002</v>
      </c>
      <c r="J4049">
        <v>146.84100000000001</v>
      </c>
      <c r="K4049" t="str">
        <f>HYPERLINK("http://nvcl.geoscience.nsw.gov.au/NVCLDataServices/mosaic.html?datasetid=1e5eda6c-b7fb-4e50-8549-6734d1e95e0","TATD043_Core Image")</f>
        <v>TATD043_Core Image</v>
      </c>
    </row>
    <row r="4050" spans="1:11" x14ac:dyDescent="0.25">
      <c r="A4050" t="str">
        <f>HYPERLINK("http://www.corstruth.com.au/NSW/GBH01_cs.png","GBH01_A4")</f>
        <v>GBH01_A4</v>
      </c>
      <c r="B4050" t="str">
        <f>HYPERLINK("http://www.corstruth.com.au/NSW/PNG2/GBH01_cs.png","GBH01_0.25m Bins")</f>
        <v>GBH01_0.25m Bins</v>
      </c>
      <c r="C4050" t="str">
        <f>HYPERLINK("http://www.corstruth.com.au/NSW/CSV/GBH01.csv","GBH01_CSV File 1m Bins")</f>
        <v>GBH01_CSV File 1m Bins</v>
      </c>
      <c r="D4050" t="s">
        <v>2232</v>
      </c>
      <c r="E4050" t="s">
        <v>2198</v>
      </c>
      <c r="F4050" t="str">
        <f>HYPERLINK("http://dwh.geoscience.nsw.gov.au/CI/warehouse/raw/drillhole?project=MIN&amp;site_id=074720","Geol Survey Link")</f>
        <v>Geol Survey Link</v>
      </c>
      <c r="H4050" t="s">
        <v>2233</v>
      </c>
      <c r="I4050">
        <v>-33.3155</v>
      </c>
      <c r="J4050">
        <v>148.035</v>
      </c>
    </row>
    <row r="4051" spans="1:11" x14ac:dyDescent="0.25">
      <c r="A4051" t="str">
        <f>HYPERLINK("http://www.corstruth.com.au/NSW/BAR09-01_cs.png","BAR09-01_A4")</f>
        <v>BAR09-01_A4</v>
      </c>
      <c r="B4051" t="str">
        <f>HYPERLINK("http://www.corstruth.com.au/NSW/PNG2/BAR09-01_cs.png","BAR09-01_0.25m Bins")</f>
        <v>BAR09-01_0.25m Bins</v>
      </c>
      <c r="C4051" t="str">
        <f>HYPERLINK("http://www.corstruth.com.au/NSW/CSV/BAR09-01.csv","BAR09-01_CSV File 1m Bins")</f>
        <v>BAR09-01_CSV File 1m Bins</v>
      </c>
      <c r="D4051" t="s">
        <v>2234</v>
      </c>
      <c r="E4051" t="s">
        <v>2198</v>
      </c>
      <c r="F4051" t="str">
        <f>HYPERLINK("http://dwh.geoscience.nsw.gov.au/CI/warehouse/raw/drillhole?project=MIN&amp;site_id=060155","Geol Survey Link")</f>
        <v>Geol Survey Link</v>
      </c>
      <c r="H4051" t="s">
        <v>2235</v>
      </c>
      <c r="I4051">
        <v>-34.043199999999999</v>
      </c>
      <c r="J4051">
        <v>147.358</v>
      </c>
      <c r="K4051" t="str">
        <f>HYPERLINK("http://nvcl.geoscience.nsw.gov.au/NVCLDataServices/mosaic.html?datasetid=35c6225f-f9d1-47aa-b932-d452f8390e7","BAR09-01_Core Image")</f>
        <v>BAR09-01_Core Image</v>
      </c>
    </row>
    <row r="4052" spans="1:11" x14ac:dyDescent="0.25">
      <c r="A4052" t="str">
        <f>HYPERLINK("http://www.corstruth.com.au/NSW/BAR09-03_cs.png","BAR09-03_A4")</f>
        <v>BAR09-03_A4</v>
      </c>
      <c r="B4052" t="str">
        <f>HYPERLINK("http://www.corstruth.com.au/NSW/PNG2/BAR09-03_cs.png","BAR09-03_0.25m Bins")</f>
        <v>BAR09-03_0.25m Bins</v>
      </c>
      <c r="C4052" t="str">
        <f>HYPERLINK("http://www.corstruth.com.au/NSW/CSV/BAR09-03.csv","BAR09-03_CSV File 1m Bins")</f>
        <v>BAR09-03_CSV File 1m Bins</v>
      </c>
      <c r="D4052" t="s">
        <v>2236</v>
      </c>
      <c r="E4052" t="s">
        <v>2198</v>
      </c>
      <c r="F4052" t="str">
        <f>HYPERLINK("http://dwh.geoscience.nsw.gov.au/CI/warehouse/raw/drillhole?project=MIN&amp;site_id=060157","Geol Survey Link")</f>
        <v>Geol Survey Link</v>
      </c>
      <c r="H4052" t="s">
        <v>2237</v>
      </c>
      <c r="I4052">
        <v>-34.035600000000002</v>
      </c>
      <c r="J4052">
        <v>147.351</v>
      </c>
      <c r="K4052" t="str">
        <f>HYPERLINK("http://nvcl.geoscience.nsw.gov.au/NVCLDataServices/mosaic.html?datasetid=fe0bfe25-74cd-4947-9efd-ff208745179","BAR09-03_Core Image")</f>
        <v>BAR09-03_Core Image</v>
      </c>
    </row>
    <row r="4053" spans="1:11" x14ac:dyDescent="0.25">
      <c r="A4053" t="str">
        <f>HYPERLINK("http://www.corstruth.com.au/NSW/BAR10-01_cs.png","BAR10-01_A4")</f>
        <v>BAR10-01_A4</v>
      </c>
      <c r="B4053" t="str">
        <f>HYPERLINK("http://www.corstruth.com.au/NSW/PNG2/BAR10-01_cs.png","BAR10-01_0.25m Bins")</f>
        <v>BAR10-01_0.25m Bins</v>
      </c>
      <c r="C4053" t="str">
        <f>HYPERLINK("http://www.corstruth.com.au/NSW/CSV/BAR10-01.csv","BAR10-01_CSV File 1m Bins")</f>
        <v>BAR10-01_CSV File 1m Bins</v>
      </c>
      <c r="D4053" t="s">
        <v>2238</v>
      </c>
      <c r="E4053" t="s">
        <v>2198</v>
      </c>
      <c r="F4053" t="str">
        <f>HYPERLINK("http://dwh.geoscience.nsw.gov.au/CI/warehouse/raw/drillhole?project=MIN&amp;site_id=060160","Geol Survey Link")</f>
        <v>Geol Survey Link</v>
      </c>
      <c r="H4053" t="s">
        <v>2239</v>
      </c>
      <c r="I4053">
        <v>-34.046599999999998</v>
      </c>
      <c r="J4053">
        <v>147.36500000000001</v>
      </c>
      <c r="K4053" t="str">
        <f>HYPERLINK("http://nvcl.geoscience.nsw.gov.au/NVCLDataServices/mosaic.html?datasetid=db632f74-a65d-407b-a1ad-3348e0fc6e5","BAR10-01_Core Image")</f>
        <v>BAR10-01_Core Image</v>
      </c>
    </row>
    <row r="4054" spans="1:11" x14ac:dyDescent="0.25">
      <c r="A4054" t="str">
        <f>HYPERLINK("http://www.corstruth.com.au/NSW/BAR10-03_cs.png","BAR10-03_A4")</f>
        <v>BAR10-03_A4</v>
      </c>
      <c r="B4054" t="str">
        <f>HYPERLINK("http://www.corstruth.com.au/NSW/PNG2/BAR10-03_cs.png","BAR10-03_0.25m Bins")</f>
        <v>BAR10-03_0.25m Bins</v>
      </c>
      <c r="C4054" t="str">
        <f>HYPERLINK("http://www.corstruth.com.au/NSW/CSV/BAR10-03.csv","BAR10-03_CSV File 1m Bins")</f>
        <v>BAR10-03_CSV File 1m Bins</v>
      </c>
      <c r="D4054" t="s">
        <v>2240</v>
      </c>
      <c r="E4054" t="s">
        <v>2198</v>
      </c>
      <c r="F4054" t="str">
        <f>HYPERLINK("http://dwh.geoscience.nsw.gov.au/CI/warehouse/raw/drillhole?project=MIN&amp;site_id=060162","Geol Survey Link")</f>
        <v>Geol Survey Link</v>
      </c>
      <c r="H4054" t="s">
        <v>2241</v>
      </c>
      <c r="I4054">
        <v>-34.054299999999998</v>
      </c>
      <c r="J4054">
        <v>147.35900000000001</v>
      </c>
      <c r="K4054" t="str">
        <f>HYPERLINK("http://nvcl.geoscience.nsw.gov.au/NVCLDataServices/mosaic.html?datasetid=0ec1d5cd-719a-4889-909f-a98a17fa02c","BAR10-03_Core Image")</f>
        <v>BAR10-03_Core Image</v>
      </c>
    </row>
    <row r="4055" spans="1:11" x14ac:dyDescent="0.25">
      <c r="A4055" t="str">
        <f>HYPERLINK("http://www.corstruth.com.au/NSW/MPH1_cs.png","MPH1_A4")</f>
        <v>MPH1_A4</v>
      </c>
      <c r="B4055" t="str">
        <f>HYPERLINK("http://www.corstruth.com.au/NSW/PNG2/MPH1_cs.png","MPH1_0.25m Bins")</f>
        <v>MPH1_0.25m Bins</v>
      </c>
      <c r="C4055" t="str">
        <f>HYPERLINK("http://www.corstruth.com.au/NSW/CSV/MPH1.csv","MPH1_CSV File 1m Bins")</f>
        <v>MPH1_CSV File 1m Bins</v>
      </c>
      <c r="D4055" t="s">
        <v>2242</v>
      </c>
      <c r="E4055" t="s">
        <v>2198</v>
      </c>
      <c r="F4055" t="str">
        <f>HYPERLINK("http://dwh.geoscience.nsw.gov.au/CI/warehouse/raw/drillhole?project=MIN&amp;site_id=006831","Geol Survey Link")</f>
        <v>Geol Survey Link</v>
      </c>
      <c r="H4055" t="s">
        <v>2243</v>
      </c>
      <c r="I4055">
        <v>-32.846299999999999</v>
      </c>
      <c r="J4055">
        <v>146.17400000000001</v>
      </c>
      <c r="K4055" t="str">
        <f>HYPERLINK("http://nvcl.geoscience.nsw.gov.au/NVCLDataServices/mosaic.html?datasetid=1854acf8-304f-43b6-8617-29f7c86ad75","MPH1_Core Image")</f>
        <v>MPH1_Core Image</v>
      </c>
    </row>
    <row r="4056" spans="1:11" x14ac:dyDescent="0.25">
      <c r="A4056" t="str">
        <f>HYPERLINK("http://www.corstruth.com.au/NSW/DDHB1_cs.png","DDHB1_A4")</f>
        <v>DDHB1_A4</v>
      </c>
      <c r="B4056" t="str">
        <f>HYPERLINK("http://www.corstruth.com.au/NSW/PNG2/DDHB1_cs.png","DDHB1_0.25m Bins")</f>
        <v>DDHB1_0.25m Bins</v>
      </c>
      <c r="C4056" t="str">
        <f>HYPERLINK("http://www.corstruth.com.au/NSW/CSV/DDHB1.csv","DDHB1_CSV File 1m Bins")</f>
        <v>DDHB1_CSV File 1m Bins</v>
      </c>
      <c r="D4056" t="s">
        <v>2244</v>
      </c>
      <c r="E4056" t="s">
        <v>2198</v>
      </c>
      <c r="F4056" t="str">
        <f>HYPERLINK("http://dwh.geoscience.nsw.gov.au/CI/warehouse/raw/drillhole?project=MIN&amp;site_id=003557","Geol Survey Link")</f>
        <v>Geol Survey Link</v>
      </c>
      <c r="H4056" t="s">
        <v>2245</v>
      </c>
      <c r="I4056">
        <v>-34.556899999999999</v>
      </c>
      <c r="J4056">
        <v>147.96199999999999</v>
      </c>
      <c r="K4056" t="str">
        <f>HYPERLINK("http://nvcl.geoscience.nsw.gov.au/NVCLDataServices/mosaic.html?datasetid=5d6c9300-ea3c-4429-81b6-c9abf68b6c5","DDHB1_Core Image")</f>
        <v>DDHB1_Core Image</v>
      </c>
    </row>
    <row r="4057" spans="1:11" x14ac:dyDescent="0.25">
      <c r="A4057" t="str">
        <f>HYPERLINK("http://www.corstruth.com.au/NSW/RBB01_cs.png","RBB01_A4")</f>
        <v>RBB01_A4</v>
      </c>
      <c r="B4057" t="str">
        <f>HYPERLINK("http://www.corstruth.com.au/NSW/PNG2/RBB01_cs.png","RBB01_0.25m Bins")</f>
        <v>RBB01_0.25m Bins</v>
      </c>
      <c r="C4057" t="str">
        <f>HYPERLINK("http://www.corstruth.com.au/NSW/CSV/RBB01.csv","RBB01_CSV File 1m Bins")</f>
        <v>RBB01_CSV File 1m Bins</v>
      </c>
      <c r="D4057" t="s">
        <v>2246</v>
      </c>
      <c r="E4057" t="s">
        <v>2198</v>
      </c>
      <c r="F4057" t="str">
        <f>HYPERLINK("http://dwh.geoscience.nsw.gov.au/CI/warehouse/raw/drillhole?project=MIN&amp;site_id=123110","Geol Survey Link")</f>
        <v>Geol Survey Link</v>
      </c>
      <c r="H4057" t="s">
        <v>2245</v>
      </c>
      <c r="I4057">
        <v>-34.5578</v>
      </c>
      <c r="J4057">
        <v>147.96299999999999</v>
      </c>
    </row>
    <row r="4058" spans="1:11" x14ac:dyDescent="0.25">
      <c r="A4058" t="str">
        <f>HYPERLINK("http://www.corstruth.com.au/NSW/RBB02_cs.png","RBB02_A4")</f>
        <v>RBB02_A4</v>
      </c>
      <c r="B4058" t="str">
        <f>HYPERLINK("http://www.corstruth.com.au/NSW/PNG2/RBB02_cs.png","RBB02_0.25m Bins")</f>
        <v>RBB02_0.25m Bins</v>
      </c>
      <c r="C4058" t="str">
        <f>HYPERLINK("http://www.corstruth.com.au/NSW/CSV/RBB02.csv","RBB02_CSV File 1m Bins")</f>
        <v>RBB02_CSV File 1m Bins</v>
      </c>
      <c r="D4058" t="s">
        <v>2247</v>
      </c>
      <c r="E4058" t="s">
        <v>2198</v>
      </c>
      <c r="F4058" t="str">
        <f>HYPERLINK("http://dwh.geoscience.nsw.gov.au/CI/warehouse/raw/drillhole?project=MIN&amp;site_id=123111","Geol Survey Link")</f>
        <v>Geol Survey Link</v>
      </c>
      <c r="H4058" t="s">
        <v>2245</v>
      </c>
      <c r="I4058">
        <v>-34.557499999999997</v>
      </c>
      <c r="J4058">
        <v>147.96199999999999</v>
      </c>
    </row>
    <row r="4059" spans="1:11" x14ac:dyDescent="0.25">
      <c r="A4059" t="str">
        <f>HYPERLINK("http://www.corstruth.com.au/NSW/PC178_cs.png","PC178_A4")</f>
        <v>PC178_A4</v>
      </c>
      <c r="B4059" t="str">
        <f>HYPERLINK("http://www.corstruth.com.au/NSW/PNG2/PC178_cs.png","PC178_0.25m Bins")</f>
        <v>PC178_0.25m Bins</v>
      </c>
      <c r="C4059" t="str">
        <f>HYPERLINK("http://www.corstruth.com.au/NSW/CSV/PC178.csv","PC178_CSV File 1m Bins")</f>
        <v>PC178_CSV File 1m Bins</v>
      </c>
      <c r="D4059" t="s">
        <v>2248</v>
      </c>
      <c r="E4059" t="s">
        <v>2198</v>
      </c>
      <c r="F4059" t="str">
        <f>HYPERLINK("http://dwh.geoscience.nsw.gov.au/CI/warehouse/raw/drillhole?project=MIN&amp;site_id=003285","Geol Survey Link")</f>
        <v>Geol Survey Link</v>
      </c>
      <c r="H4059" t="s">
        <v>2249</v>
      </c>
      <c r="I4059">
        <v>-33.4452</v>
      </c>
      <c r="J4059">
        <v>148.995</v>
      </c>
      <c r="K4059" t="str">
        <f>HYPERLINK("http://nvcl.geoscience.nsw.gov.au/NVCLDataServices/mosaic.html?datasetid=7827e328-16a4-4265-8674-28db1d2bc53","PC178_Core Image")</f>
        <v>PC178_Core Image</v>
      </c>
    </row>
    <row r="4060" spans="1:11" x14ac:dyDescent="0.25">
      <c r="A4060" t="str">
        <f>HYPERLINK("http://www.corstruth.com.au/NSW/DD93BIL1_cs.png","DD93BIL1_A4")</f>
        <v>DD93BIL1_A4</v>
      </c>
      <c r="B4060" t="str">
        <f>HYPERLINK("http://www.corstruth.com.au/NSW/PNG2/DD93BIL1_cs.png","DD93BIL1_0.25m Bins")</f>
        <v>DD93BIL1_0.25m Bins</v>
      </c>
      <c r="C4060" t="str">
        <f>HYPERLINK("http://www.corstruth.com.au/NSW/CSV/DD93BIL1.csv","DD93BIL1_CSV File 1m Bins")</f>
        <v>DD93BIL1_CSV File 1m Bins</v>
      </c>
      <c r="D4060" t="s">
        <v>2250</v>
      </c>
      <c r="E4060" t="s">
        <v>2198</v>
      </c>
      <c r="F4060" t="str">
        <f>HYPERLINK("http://dwh.geoscience.nsw.gov.au/CI/warehouse/raw/drillhole?project=MIN&amp;site_id=008266","Geol Survey Link")</f>
        <v>Geol Survey Link</v>
      </c>
      <c r="H4060" t="s">
        <v>2251</v>
      </c>
      <c r="I4060">
        <v>-31.185400000000001</v>
      </c>
      <c r="J4060">
        <v>145.852</v>
      </c>
      <c r="K4060" t="str">
        <f>HYPERLINK("http://nvcl.geoscience.nsw.gov.au/NVCLDataServices/mosaic.html?datasetid=22f2041b-7ed1-465f-af39-ee2076ff4f6","DD93BIL1_Core Image")</f>
        <v>DD93BIL1_Core Image</v>
      </c>
    </row>
    <row r="4061" spans="1:11" x14ac:dyDescent="0.25">
      <c r="A4061" t="str">
        <f>HYPERLINK("http://www.corstruth.com.au/NSW/PD82MR8_cs.png","PD82MR8_A4")</f>
        <v>PD82MR8_A4</v>
      </c>
      <c r="B4061" t="str">
        <f>HYPERLINK("http://www.corstruth.com.au/NSW/PNG2/PD82MR8_cs.png","PD82MR8_0.25m Bins")</f>
        <v>PD82MR8_0.25m Bins</v>
      </c>
      <c r="C4061" t="str">
        <f>HYPERLINK("http://www.corstruth.com.au/NSW/CSV/PD82MR8.csv","PD82MR8_CSV File 1m Bins")</f>
        <v>PD82MR8_CSV File 1m Bins</v>
      </c>
      <c r="D4061" t="s">
        <v>2252</v>
      </c>
      <c r="E4061" t="s">
        <v>2198</v>
      </c>
      <c r="F4061" t="str">
        <f>HYPERLINK("http://dwh.geoscience.nsw.gov.au/CI/warehouse/raw/drillhole?project=MIN&amp;site_id=001474","Geol Survey Link")</f>
        <v>Geol Survey Link</v>
      </c>
      <c r="H4061" t="s">
        <v>2253</v>
      </c>
      <c r="I4061">
        <v>-31.676600000000001</v>
      </c>
      <c r="J4061">
        <v>141.352</v>
      </c>
      <c r="K4061" t="str">
        <f>HYPERLINK("http://nvcl.geoscience.nsw.gov.au/NVCLDataServices/mosaic.html?datasetid=485406d7-f128-4775-ad76-c33a5bbd355","PD82MR8_Core Image")</f>
        <v>PD82MR8_Core Image</v>
      </c>
    </row>
    <row r="4062" spans="1:11" x14ac:dyDescent="0.25">
      <c r="A4062" t="str">
        <f>HYPERLINK("http://www.corstruth.com.au/NSW/DRDD012_cs.png","DRDD012_A4")</f>
        <v>DRDD012_A4</v>
      </c>
      <c r="B4062" t="str">
        <f>HYPERLINK("http://www.corstruth.com.au/NSW/PNG2/DRDD012_cs.png","DRDD012_0.25m Bins")</f>
        <v>DRDD012_0.25m Bins</v>
      </c>
      <c r="C4062" t="str">
        <f>HYPERLINK("http://www.corstruth.com.au/NSW/CSV/DRDD012.csv","DRDD012_CSV File 1m Bins")</f>
        <v>DRDD012_CSV File 1m Bins</v>
      </c>
      <c r="D4062" t="s">
        <v>2254</v>
      </c>
      <c r="E4062" t="s">
        <v>2198</v>
      </c>
      <c r="F4062" t="str">
        <f>HYPERLINK("http://dwh.geoscience.nsw.gov.au/CI/warehouse/raw/drillhole?project=MIN&amp;site_id=255728","Geol Survey Link")</f>
        <v>Geol Survey Link</v>
      </c>
      <c r="H4062" t="s">
        <v>2255</v>
      </c>
      <c r="I4062">
        <v>-33.681699999999999</v>
      </c>
      <c r="J4062">
        <v>149.101</v>
      </c>
      <c r="K4062" t="str">
        <f>HYPERLINK("http://nvcl.geoscience.nsw.gov.au/NVCLDataServices/mosaic.html?datasetid=fb39421b-f9b0-4a5f-8a1e-ee379333b06","DRDD012_Core Image")</f>
        <v>DRDD012_Core Image</v>
      </c>
    </row>
    <row r="4063" spans="1:11" x14ac:dyDescent="0.25">
      <c r="A4063" t="str">
        <f>HYPERLINK("http://www.corstruth.com.au/NSW/DRDD013_cs.png","DRDD013_A4")</f>
        <v>DRDD013_A4</v>
      </c>
      <c r="B4063" t="str">
        <f>HYPERLINK("http://www.corstruth.com.au/NSW/PNG2/DRDD013_cs.png","DRDD013_0.25m Bins")</f>
        <v>DRDD013_0.25m Bins</v>
      </c>
      <c r="C4063" t="str">
        <f>HYPERLINK("http://www.corstruth.com.au/NSW/CSV/DRDD013.csv","DRDD013_CSV File 1m Bins")</f>
        <v>DRDD013_CSV File 1m Bins</v>
      </c>
      <c r="D4063" t="s">
        <v>2256</v>
      </c>
      <c r="E4063" t="s">
        <v>2198</v>
      </c>
      <c r="F4063" t="str">
        <f>HYPERLINK("http://dwh.geoscience.nsw.gov.au/CI/warehouse/raw/drillhole?project=MIN&amp;site_id=255729","Geol Survey Link")</f>
        <v>Geol Survey Link</v>
      </c>
      <c r="H4063" t="s">
        <v>2255</v>
      </c>
      <c r="I4063">
        <v>-33.681100000000001</v>
      </c>
      <c r="J4063">
        <v>149.102</v>
      </c>
      <c r="K4063" t="str">
        <f>HYPERLINK("http://nvcl.geoscience.nsw.gov.au/NVCLDataServices/mosaic.html?datasetid=b5ab88cd-7aab-4e91-a390-636b1b5a240","DRDD013_Core Image")</f>
        <v>DRDD013_Core Image</v>
      </c>
    </row>
    <row r="4064" spans="1:11" x14ac:dyDescent="0.25">
      <c r="A4064" t="str">
        <f>HYPERLINK("http://www.corstruth.com.au/NSW/BMD001_cs.png","BMD001_A4")</f>
        <v>BMD001_A4</v>
      </c>
      <c r="B4064" t="str">
        <f>HYPERLINK("http://www.corstruth.com.au/NSW/PNG2/BMD001_cs.png","BMD001_0.25m Bins")</f>
        <v>BMD001_0.25m Bins</v>
      </c>
      <c r="C4064" t="str">
        <f>HYPERLINK("http://www.corstruth.com.au/NSW/CSV/BMD001.csv","BMD001_CSV File 1m Bins")</f>
        <v>BMD001_CSV File 1m Bins</v>
      </c>
      <c r="D4064" t="s">
        <v>2257</v>
      </c>
      <c r="E4064" t="s">
        <v>2198</v>
      </c>
      <c r="F4064" t="str">
        <f>HYPERLINK("http://dwh.geoscience.nsw.gov.au/CI/warehouse/raw/drillhole?project=MIN&amp;site_id=040883","Geol Survey Link")</f>
        <v>Geol Survey Link</v>
      </c>
      <c r="H4064" t="s">
        <v>2258</v>
      </c>
      <c r="I4064">
        <v>-32.593299999999999</v>
      </c>
      <c r="J4064">
        <v>145.75800000000001</v>
      </c>
      <c r="K4064" t="str">
        <f>HYPERLINK("http://nvcl.geoscience.nsw.gov.au/NVCLDataServices/mosaic.html?datasetid=19102f34-f226-4b60-9861-4b0e4403255","BMD001_Core Image")</f>
        <v>BMD001_Core Image</v>
      </c>
    </row>
    <row r="4065" spans="1:11" x14ac:dyDescent="0.25">
      <c r="A4065" t="str">
        <f>HYPERLINK("http://www.corstruth.com.au/NSW/BMD002_cs.png","BMD002_A4")</f>
        <v>BMD002_A4</v>
      </c>
      <c r="B4065" t="str">
        <f>HYPERLINK("http://www.corstruth.com.au/NSW/PNG2/BMD002_cs.png","BMD002_0.25m Bins")</f>
        <v>BMD002_0.25m Bins</v>
      </c>
      <c r="C4065" t="str">
        <f>HYPERLINK("http://www.corstruth.com.au/NSW/CSV/BMD002.csv","BMD002_CSV File 1m Bins")</f>
        <v>BMD002_CSV File 1m Bins</v>
      </c>
      <c r="D4065" t="s">
        <v>2259</v>
      </c>
      <c r="E4065" t="s">
        <v>2198</v>
      </c>
      <c r="F4065" t="str">
        <f>HYPERLINK("http://dwh.geoscience.nsw.gov.au/CI/warehouse/raw/drillhole?project=MIN&amp;site_id=040884","Geol Survey Link")</f>
        <v>Geol Survey Link</v>
      </c>
      <c r="H4065" t="s">
        <v>2258</v>
      </c>
      <c r="I4065">
        <v>-32.5991</v>
      </c>
      <c r="J4065">
        <v>145.75700000000001</v>
      </c>
      <c r="K4065" t="str">
        <f>HYPERLINK("http://nvcl.geoscience.nsw.gov.au/NVCLDataServices/mosaic.html?datasetid=c6045192-4920-4273-b261-1cd7439f3b1","BMD002_Core Image")</f>
        <v>BMD002_Core Image</v>
      </c>
    </row>
    <row r="4066" spans="1:11" x14ac:dyDescent="0.25">
      <c r="A4066" t="str">
        <f>HYPERLINK("http://www.corstruth.com.au/NSW/BMD5_cs.png","BMD5_A4")</f>
        <v>BMD5_A4</v>
      </c>
      <c r="B4066" t="str">
        <f>HYPERLINK("http://www.corstruth.com.au/NSW/PNG2/BMD5_cs.png","BMD5_0.25m Bins")</f>
        <v>BMD5_0.25m Bins</v>
      </c>
      <c r="C4066" t="str">
        <f>HYPERLINK("http://www.corstruth.com.au/NSW/CSV/BMD5.csv","BMD5_CSV File 1m Bins")</f>
        <v>BMD5_CSV File 1m Bins</v>
      </c>
      <c r="D4066" t="s">
        <v>2260</v>
      </c>
      <c r="E4066" t="s">
        <v>2198</v>
      </c>
      <c r="F4066" t="str">
        <f>HYPERLINK("http://dwh.geoscience.nsw.gov.au/CI/warehouse/raw/drillhole?project=MIN&amp;site_id=040854","Geol Survey Link")</f>
        <v>Geol Survey Link</v>
      </c>
      <c r="H4066" t="s">
        <v>2261</v>
      </c>
      <c r="I4066">
        <v>-32.217799999999997</v>
      </c>
      <c r="J4066">
        <v>145.78200000000001</v>
      </c>
      <c r="K4066" t="str">
        <f>HYPERLINK("http://nvcl.geoscience.nsw.gov.au/NVCLDataServices/mosaic.html?datasetid=4bfa93cc-4e69-4b98-865d-5fbec3f95f3","BMD5_Core Image")</f>
        <v>BMD5_Core Image</v>
      </c>
    </row>
    <row r="4067" spans="1:11" x14ac:dyDescent="0.25">
      <c r="A4067" t="str">
        <f>HYPERLINK("http://www.corstruth.com.au/NSW/KSDD006_cs.png","KSDD006_A4")</f>
        <v>KSDD006_A4</v>
      </c>
      <c r="B4067" t="str">
        <f>HYPERLINK("http://www.corstruth.com.au/NSW/PNG2/KSDD006_cs.png","KSDD006_0.25m Bins")</f>
        <v>KSDD006_0.25m Bins</v>
      </c>
      <c r="C4067" t="str">
        <f>HYPERLINK("http://www.corstruth.com.au/NSW/CSV/KSDD006.csv","KSDD006_CSV File 1m Bins")</f>
        <v>KSDD006_CSV File 1m Bins</v>
      </c>
      <c r="D4067" t="s">
        <v>2262</v>
      </c>
      <c r="E4067" t="s">
        <v>2198</v>
      </c>
      <c r="F4067" t="str">
        <f>HYPERLINK("http://dwh.geoscience.nsw.gov.au/CI/warehouse/raw/drillhole?project=MIN&amp;site_id=336108","Geol Survey Link")</f>
        <v>Geol Survey Link</v>
      </c>
      <c r="H4067" t="s">
        <v>2263</v>
      </c>
      <c r="I4067">
        <v>-32.419800000000002</v>
      </c>
      <c r="J4067">
        <v>149.02600000000001</v>
      </c>
      <c r="K4067" t="str">
        <f>HYPERLINK("http://nvcl.geoscience.nsw.gov.au/NVCLDataServices/mosaic.html?datasetid=04f680e0-a94e-45cb-a38e-0cde347dd5e","KSDD006_Core Image")</f>
        <v>KSDD006_Core Image</v>
      </c>
    </row>
    <row r="4068" spans="1:11" x14ac:dyDescent="0.25">
      <c r="A4068" t="str">
        <f>HYPERLINK("http://www.corstruth.com.au/NSW/BBDD001_cs.png","BBDD001_A4")</f>
        <v>BBDD001_A4</v>
      </c>
      <c r="B4068" t="str">
        <f>HYPERLINK("http://www.corstruth.com.au/NSW/PNG2/BBDD001_cs.png","BBDD001_0.25m Bins")</f>
        <v>BBDD001_0.25m Bins</v>
      </c>
      <c r="C4068" t="str">
        <f>HYPERLINK("http://www.corstruth.com.au/NSW/CSV/BBDD001.csv","BBDD001_CSV File 1m Bins")</f>
        <v>BBDD001_CSV File 1m Bins</v>
      </c>
      <c r="D4068" t="s">
        <v>2264</v>
      </c>
      <c r="E4068" t="s">
        <v>2198</v>
      </c>
      <c r="F4068" t="str">
        <f>HYPERLINK("http://dwh.geoscience.nsw.gov.au/CI/warehouse/raw/drillhole?project=MIN&amp;site_id=117574","Geol Survey Link")</f>
        <v>Geol Survey Link</v>
      </c>
      <c r="H4068" t="s">
        <v>2265</v>
      </c>
      <c r="I4068">
        <v>-28.890699999999999</v>
      </c>
      <c r="J4068">
        <v>152.126</v>
      </c>
      <c r="K4068" t="str">
        <f>HYPERLINK("http://nvcl.geoscience.nsw.gov.au/NVCLDataServices/mosaic.html?datasetid=51c95cd5-86e3-4603-89ea-584e3df768c","BBDD001_Core Image")</f>
        <v>BBDD001_Core Image</v>
      </c>
    </row>
    <row r="4069" spans="1:11" x14ac:dyDescent="0.25">
      <c r="A4069" t="str">
        <f>HYPERLINK("http://www.corstruth.com.au/NSW/BBDD002_cs.png","BBDD002_A4")</f>
        <v>BBDD002_A4</v>
      </c>
      <c r="B4069" t="str">
        <f>HYPERLINK("http://www.corstruth.com.au/NSW/PNG2/BBDD002_cs.png","BBDD002_0.25m Bins")</f>
        <v>BBDD002_0.25m Bins</v>
      </c>
      <c r="C4069" t="str">
        <f>HYPERLINK("http://www.corstruth.com.au/NSW/CSV/BBDD002.csv","BBDD002_CSV File 1m Bins")</f>
        <v>BBDD002_CSV File 1m Bins</v>
      </c>
      <c r="D4069" t="s">
        <v>2266</v>
      </c>
      <c r="E4069" t="s">
        <v>2198</v>
      </c>
      <c r="F4069" t="str">
        <f>HYPERLINK("http://dwh.geoscience.nsw.gov.au/CI/warehouse/raw/drillhole?project=MIN&amp;site_id=117575","Geol Survey Link")</f>
        <v>Geol Survey Link</v>
      </c>
      <c r="H4069" t="s">
        <v>2265</v>
      </c>
      <c r="I4069">
        <v>-28.890799999999999</v>
      </c>
      <c r="J4069">
        <v>152.126</v>
      </c>
      <c r="K4069" t="str">
        <f>HYPERLINK("http://nvcl.geoscience.nsw.gov.au/NVCLDataServices/mosaic.html?datasetid=84f317d7-afd7-4835-a1ea-566f04785ec","BBDD002_Core Image")</f>
        <v>BBDD002_Core Image</v>
      </c>
    </row>
    <row r="4070" spans="1:11" x14ac:dyDescent="0.25">
      <c r="A4070" t="str">
        <f>HYPERLINK("http://www.corstruth.com.au/NSW/BBDD003_cs.png","BBDD003_A4")</f>
        <v>BBDD003_A4</v>
      </c>
      <c r="B4070" t="str">
        <f>HYPERLINK("http://www.corstruth.com.au/NSW/PNG2/BBDD003_cs.png","BBDD003_0.25m Bins")</f>
        <v>BBDD003_0.25m Bins</v>
      </c>
      <c r="C4070" t="str">
        <f>HYPERLINK("http://www.corstruth.com.au/NSW/CSV/BBDD003.csv","BBDD003_CSV File 1m Bins")</f>
        <v>BBDD003_CSV File 1m Bins</v>
      </c>
      <c r="D4070" t="s">
        <v>2267</v>
      </c>
      <c r="E4070" t="s">
        <v>2198</v>
      </c>
      <c r="F4070" t="str">
        <f>HYPERLINK("http://dwh.geoscience.nsw.gov.au/CI/warehouse/raw/drillhole?project=MIN&amp;site_id=117576","Geol Survey Link")</f>
        <v>Geol Survey Link</v>
      </c>
      <c r="H4070" t="s">
        <v>2265</v>
      </c>
      <c r="I4070">
        <v>-28.8902</v>
      </c>
      <c r="J4070">
        <v>152.12700000000001</v>
      </c>
      <c r="K4070" t="str">
        <f>HYPERLINK("http://nvcl.geoscience.nsw.gov.au/NVCLDataServices/mosaic.html?datasetid=8b5bb45f-5cd9-4cce-a4cd-0c78da091f8","BBDD003_Core Image")</f>
        <v>BBDD003_Core Image</v>
      </c>
    </row>
    <row r="4071" spans="1:11" x14ac:dyDescent="0.25">
      <c r="A4071" t="str">
        <f>HYPERLINK("http://www.corstruth.com.au/NSW/DR003_cs.png","DR003_A4")</f>
        <v>DR003_A4</v>
      </c>
      <c r="B4071" t="str">
        <f>HYPERLINK("http://www.corstruth.com.au/NSW/PNG2/DR003_cs.png","DR003_0.25m Bins")</f>
        <v>DR003_0.25m Bins</v>
      </c>
      <c r="C4071" t="str">
        <f>HYPERLINK("http://www.corstruth.com.au/NSW/CSV/DR003.csv","DR003_CSV File 1m Bins")</f>
        <v>DR003_CSV File 1m Bins</v>
      </c>
      <c r="D4071" t="s">
        <v>2268</v>
      </c>
      <c r="E4071" t="s">
        <v>2198</v>
      </c>
      <c r="F4071" t="str">
        <f>HYPERLINK("http://dwh.geoscience.nsw.gov.au/CI/warehouse/raw/drillhole?project=MIN&amp;site_id=019694","Geol Survey Link")</f>
        <v>Geol Survey Link</v>
      </c>
      <c r="H4071" t="s">
        <v>2269</v>
      </c>
      <c r="I4071">
        <v>-33.438499999999998</v>
      </c>
      <c r="J4071">
        <v>147.36500000000001</v>
      </c>
      <c r="K4071" t="str">
        <f>HYPERLINK("http://nvcl.geoscience.nsw.gov.au/NVCLDataServices/mosaic.html?datasetid=e2036e4a-3c60-48d5-930a-df9723de0a6","DR003_Core Image")</f>
        <v>DR003_Core Image</v>
      </c>
    </row>
    <row r="4072" spans="1:11" x14ac:dyDescent="0.25">
      <c r="A4072" t="str">
        <f>HYPERLINK("http://www.corstruth.com.au/NSW/DR034_cs.png","DR034_A4")</f>
        <v>DR034_A4</v>
      </c>
      <c r="B4072" t="str">
        <f>HYPERLINK("http://www.corstruth.com.au/NSW/PNG2/DR034_cs.png","DR034_0.25m Bins")</f>
        <v>DR034_0.25m Bins</v>
      </c>
      <c r="C4072" t="str">
        <f>HYPERLINK("http://www.corstruth.com.au/NSW/CSV/DR034.csv","DR034_CSV File 1m Bins")</f>
        <v>DR034_CSV File 1m Bins</v>
      </c>
      <c r="D4072" t="s">
        <v>2270</v>
      </c>
      <c r="E4072" t="s">
        <v>2198</v>
      </c>
      <c r="F4072" t="str">
        <f>HYPERLINK("http://dwh.geoscience.nsw.gov.au/CI/warehouse/raw/drillhole?project=MIN&amp;site_id=019725","Geol Survey Link")</f>
        <v>Geol Survey Link</v>
      </c>
      <c r="H4072" t="s">
        <v>2271</v>
      </c>
      <c r="I4072">
        <v>-33.438800000000001</v>
      </c>
      <c r="J4072">
        <v>147.36799999999999</v>
      </c>
      <c r="K4072" t="str">
        <f>HYPERLINK("http://nvcl.geoscience.nsw.gov.au/NVCLDataServices/mosaic.html?datasetid=d16ccd1f-9d84-44f3-ad61-1ba0f05d31c","DR034_Core Image")</f>
        <v>DR034_Core Image</v>
      </c>
    </row>
    <row r="4073" spans="1:11" x14ac:dyDescent="0.25">
      <c r="A4073" t="str">
        <f>HYPERLINK("http://www.corstruth.com.au/NSW/DR039_cs.png","DR039_A4")</f>
        <v>DR039_A4</v>
      </c>
      <c r="B4073" t="str">
        <f>HYPERLINK("http://www.corstruth.com.au/NSW/PNG2/DR039_cs.png","DR039_0.25m Bins")</f>
        <v>DR039_0.25m Bins</v>
      </c>
      <c r="C4073" t="str">
        <f>HYPERLINK("http://www.corstruth.com.au/NSW/CSV/DR039.csv","DR039_CSV File 1m Bins")</f>
        <v>DR039_CSV File 1m Bins</v>
      </c>
      <c r="D4073" t="s">
        <v>2272</v>
      </c>
      <c r="E4073" t="s">
        <v>2198</v>
      </c>
      <c r="F4073" t="str">
        <f>HYPERLINK("http://dwh.geoscience.nsw.gov.au/CI/warehouse/raw/drillhole?project=MIN&amp;site_id=019730","Geol Survey Link")</f>
        <v>Geol Survey Link</v>
      </c>
      <c r="H4073" t="s">
        <v>2273</v>
      </c>
      <c r="I4073">
        <v>-33.437399999999997</v>
      </c>
      <c r="J4073">
        <v>147.363</v>
      </c>
      <c r="K4073" t="str">
        <f>HYPERLINK("http://nvcl.geoscience.nsw.gov.au/NVCLDataServices/mosaic.html?datasetid=67c0e0de-73cd-4217-be15-ccb71f48bed","DR039_Core Image")</f>
        <v>DR039_Core Image</v>
      </c>
    </row>
    <row r="4074" spans="1:11" x14ac:dyDescent="0.25">
      <c r="A4074" t="str">
        <f>HYPERLINK("http://www.corstruth.com.au/NSW/DR040_cs.png","DR040_A4")</f>
        <v>DR040_A4</v>
      </c>
      <c r="B4074" t="str">
        <f>HYPERLINK("http://www.corstruth.com.au/NSW/PNG2/DR040_cs.png","DR040_0.25m Bins")</f>
        <v>DR040_0.25m Bins</v>
      </c>
      <c r="C4074" t="str">
        <f>HYPERLINK("http://www.corstruth.com.au/NSW/CSV/DR040.csv","DR040_CSV File 1m Bins")</f>
        <v>DR040_CSV File 1m Bins</v>
      </c>
      <c r="D4074" t="s">
        <v>2274</v>
      </c>
      <c r="E4074" t="s">
        <v>2198</v>
      </c>
      <c r="F4074" t="str">
        <f>HYPERLINK("http://dwh.geoscience.nsw.gov.au/CI/warehouse/raw/drillhole?project=MIN&amp;site_id=019731","Geol Survey Link")</f>
        <v>Geol Survey Link</v>
      </c>
      <c r="H4074" t="s">
        <v>2275</v>
      </c>
      <c r="I4074">
        <v>-33.435899999999997</v>
      </c>
      <c r="J4074">
        <v>147.36699999999999</v>
      </c>
      <c r="K4074" t="str">
        <f>HYPERLINK("http://nvcl.geoscience.nsw.gov.au/NVCLDataServices/mosaic.html?datasetid=e27b70ad-db2d-40d9-aa5a-4faa044c473","DR040_Core Image")</f>
        <v>DR040_Core Image</v>
      </c>
    </row>
    <row r="4075" spans="1:11" x14ac:dyDescent="0.25">
      <c r="A4075" t="str">
        <f>HYPERLINK("http://www.corstruth.com.au/NSW/DR042_cs.png","DR042_A4")</f>
        <v>DR042_A4</v>
      </c>
      <c r="B4075" t="str">
        <f>HYPERLINK("http://www.corstruth.com.au/NSW/PNG2/DR042_cs.png","DR042_0.25m Bins")</f>
        <v>DR042_0.25m Bins</v>
      </c>
      <c r="C4075" t="str">
        <f>HYPERLINK("http://www.corstruth.com.au/NSW/CSV/DR042.csv","DR042_CSV File 1m Bins")</f>
        <v>DR042_CSV File 1m Bins</v>
      </c>
      <c r="D4075" t="s">
        <v>2276</v>
      </c>
      <c r="E4075" t="s">
        <v>2198</v>
      </c>
      <c r="F4075" t="str">
        <f>HYPERLINK("http://dwh.geoscience.nsw.gov.au/CI/warehouse/raw/drillhole?project=MIN&amp;site_id=019733","Geol Survey Link")</f>
        <v>Geol Survey Link</v>
      </c>
      <c r="H4075" t="s">
        <v>2277</v>
      </c>
      <c r="I4075">
        <v>-33.439</v>
      </c>
      <c r="J4075">
        <v>147.36199999999999</v>
      </c>
      <c r="K4075" t="str">
        <f>HYPERLINK("http://nvcl.geoscience.nsw.gov.au/NVCLDataServices/mosaic.html?datasetid=228f9410-e4aa-48c7-a3e0-4da4bbf0da6","DR042_Core Image")</f>
        <v>DR042_Core Image</v>
      </c>
    </row>
    <row r="4076" spans="1:11" x14ac:dyDescent="0.25">
      <c r="A4076" t="str">
        <f>HYPERLINK("http://www.corstruth.com.au/NSW/DR043_cs.png","DR043_A4")</f>
        <v>DR043_A4</v>
      </c>
      <c r="B4076" t="str">
        <f>HYPERLINK("http://www.corstruth.com.au/NSW/PNG2/DR043_cs.png","DR043_0.25m Bins")</f>
        <v>DR043_0.25m Bins</v>
      </c>
      <c r="C4076" t="str">
        <f>HYPERLINK("http://www.corstruth.com.au/NSW/CSV/DR043.csv","DR043_CSV File 1m Bins")</f>
        <v>DR043_CSV File 1m Bins</v>
      </c>
      <c r="D4076" t="s">
        <v>2278</v>
      </c>
      <c r="E4076" t="s">
        <v>2198</v>
      </c>
      <c r="F4076" t="str">
        <f>HYPERLINK("http://dwh.geoscience.nsw.gov.au/CI/warehouse/raw/drillhole?project=MIN&amp;site_id=019734","Geol Survey Link")</f>
        <v>Geol Survey Link</v>
      </c>
      <c r="H4076" t="s">
        <v>2279</v>
      </c>
      <c r="I4076">
        <v>-33.439300000000003</v>
      </c>
      <c r="J4076">
        <v>147.37</v>
      </c>
      <c r="K4076" t="str">
        <f>HYPERLINK("http://nvcl.geoscience.nsw.gov.au/NVCLDataServices/mosaic.html?datasetid=d237d639-c86b-49b0-91b0-61ab7c314df","DR043_Core Image")</f>
        <v>DR043_Core Image</v>
      </c>
    </row>
    <row r="4077" spans="1:11" x14ac:dyDescent="0.25">
      <c r="A4077" t="str">
        <f>HYPERLINK("http://www.corstruth.com.au/NSW/DD89BG29_cs.png","DD89BG29_A4")</f>
        <v>DD89BG29_A4</v>
      </c>
      <c r="B4077" t="str">
        <f>HYPERLINK("http://www.corstruth.com.au/NSW/PNG2/DD89BG29_cs.png","DD89BG29_0.25m Bins")</f>
        <v>DD89BG29_0.25m Bins</v>
      </c>
      <c r="C4077" t="str">
        <f>HYPERLINK("http://www.corstruth.com.au/NSW/CSV/DD89BG29.csv","DD89BG29_CSV File 1m Bins")</f>
        <v>DD89BG29_CSV File 1m Bins</v>
      </c>
      <c r="D4077" t="s">
        <v>2280</v>
      </c>
      <c r="E4077" t="s">
        <v>2198</v>
      </c>
      <c r="F4077" t="str">
        <f>HYPERLINK("http://dwh.geoscience.nsw.gov.au/CI/warehouse/raw/drillhole?project=MIN&amp;site_id=016433","Geol Survey Link")</f>
        <v>Geol Survey Link</v>
      </c>
      <c r="H4077" t="s">
        <v>2281</v>
      </c>
      <c r="I4077">
        <v>-32.637</v>
      </c>
      <c r="J4077">
        <v>149.869</v>
      </c>
      <c r="K4077" t="str">
        <f>HYPERLINK("http://nvcl.geoscience.nsw.gov.au/NVCLDataServices/mosaic.html?datasetid=a241a391-38d2-46cf-893e-c056e3971f6","DD89BG29_Core Image")</f>
        <v>DD89BG29_Core Image</v>
      </c>
    </row>
    <row r="4078" spans="1:11" x14ac:dyDescent="0.25">
      <c r="A4078" t="str">
        <f>HYPERLINK("http://www.corstruth.com.au/NSW/DD89BG37_cs.png","DD89BG37_A4")</f>
        <v>DD89BG37_A4</v>
      </c>
      <c r="B4078" t="str">
        <f>HYPERLINK("http://www.corstruth.com.au/NSW/PNG2/DD89BG37_cs.png","DD89BG37_0.25m Bins")</f>
        <v>DD89BG37_0.25m Bins</v>
      </c>
      <c r="C4078" t="str">
        <f>HYPERLINK("http://www.corstruth.com.au/NSW/CSV/DD89BG37.csv","DD89BG37_CSV File 1m Bins")</f>
        <v>DD89BG37_CSV File 1m Bins</v>
      </c>
      <c r="D4078" t="s">
        <v>2282</v>
      </c>
      <c r="E4078" t="s">
        <v>2198</v>
      </c>
      <c r="F4078" t="str">
        <f>HYPERLINK("http://dwh.geoscience.nsw.gov.au/CI/warehouse/raw/drillhole?project=MIN&amp;site_id=016441","Geol Survey Link")</f>
        <v>Geol Survey Link</v>
      </c>
      <c r="H4078" t="s">
        <v>2281</v>
      </c>
      <c r="I4078">
        <v>-32.64</v>
      </c>
      <c r="J4078">
        <v>149.86699999999999</v>
      </c>
      <c r="K4078" t="str">
        <f>HYPERLINK("http://nvcl.geoscience.nsw.gov.au/NVCLDataServices/mosaic.html?datasetid=05c4ecad-81c2-4f0d-bc27-a3e335c7ca4","DD89BG37_Core Image")</f>
        <v>DD89BG37_Core Image</v>
      </c>
    </row>
    <row r="4079" spans="1:11" x14ac:dyDescent="0.25">
      <c r="A4079" t="str">
        <f>HYPERLINK("http://www.corstruth.com.au/NSW/GBD001_cs.png","GBD001_A4")</f>
        <v>GBD001_A4</v>
      </c>
      <c r="B4079" t="str">
        <f>HYPERLINK("http://www.corstruth.com.au/NSW/PNG2/GBD001_cs.png","GBD001_0.25m Bins")</f>
        <v>GBD001_0.25m Bins</v>
      </c>
      <c r="C4079" t="str">
        <f>HYPERLINK("http://www.corstruth.com.au/NSW/CSV/GBD001.csv","GBD001_CSV File 1m Bins")</f>
        <v>GBD001_CSV File 1m Bins</v>
      </c>
      <c r="D4079" t="s">
        <v>2283</v>
      </c>
      <c r="E4079" t="s">
        <v>2198</v>
      </c>
      <c r="F4079" t="str">
        <f>HYPERLINK("http://dwh.geoscience.nsw.gov.au/CI/warehouse/raw/drillhole?project=MIN&amp;site_id=074719","Geol Survey Link")</f>
        <v>Geol Survey Link</v>
      </c>
      <c r="H4079" t="s">
        <v>2284</v>
      </c>
      <c r="I4079">
        <v>-33.278799999999997</v>
      </c>
      <c r="J4079">
        <v>149.001</v>
      </c>
      <c r="K4079" t="str">
        <f>HYPERLINK("http://nvcl.geoscience.nsw.gov.au/NVCLDataServices/mosaic.html?datasetid=27496bba-c363-46b2-b0e0-2dac9833d6f","GBD001_Core Image")</f>
        <v>GBD001_Core Image</v>
      </c>
    </row>
    <row r="4080" spans="1:11" x14ac:dyDescent="0.25">
      <c r="A4080" t="str">
        <f>HYPERLINK("http://www.corstruth.com.au/NSW/BR009_cs.png","BR009_A4")</f>
        <v>BR009_A4</v>
      </c>
      <c r="B4080" t="str">
        <f>HYPERLINK("http://www.corstruth.com.au/NSW/PNG2/BR009_cs.png","BR009_0.25m Bins")</f>
        <v>BR009_0.25m Bins</v>
      </c>
      <c r="C4080" t="str">
        <f>HYPERLINK("http://www.corstruth.com.au/NSW/CSV/BR009.csv","BR009_CSV File 1m Bins")</f>
        <v>BR009_CSV File 1m Bins</v>
      </c>
      <c r="D4080" t="s">
        <v>2285</v>
      </c>
      <c r="E4080" t="s">
        <v>2198</v>
      </c>
      <c r="F4080" t="str">
        <f>HYPERLINK("http://dwh.geoscience.nsw.gov.au/CI/warehouse/raw/drillhole?project=MIN&amp;site_id=004945","Geol Survey Link")</f>
        <v>Geol Survey Link</v>
      </c>
      <c r="H4080" t="s">
        <v>2286</v>
      </c>
      <c r="I4080">
        <v>-33.323500000000003</v>
      </c>
      <c r="J4080">
        <v>146.32300000000001</v>
      </c>
      <c r="K4080" t="str">
        <f>HYPERLINK("http://nvcl.geoscience.nsw.gov.au/NVCLDataServices/mosaic.html?datasetid=950e8719-1d24-44e2-85e2-e31957bc76b","BR009_Core Image")</f>
        <v>BR009_Core Image</v>
      </c>
    </row>
    <row r="4081" spans="1:11" x14ac:dyDescent="0.25">
      <c r="A4081" t="str">
        <f>HYPERLINK("http://www.corstruth.com.au/NSW/BR016_cs.png","BR016_A4")</f>
        <v>BR016_A4</v>
      </c>
      <c r="D4081" t="s">
        <v>2287</v>
      </c>
      <c r="E4081" t="s">
        <v>2198</v>
      </c>
      <c r="F4081" t="str">
        <f>HYPERLINK("http://dwh.geoscience.nsw.gov.au/CI/warehouse/raw/drillhole?project=MIN&amp;site_id=004953","Geol Survey Link")</f>
        <v>Geol Survey Link</v>
      </c>
      <c r="H4081" t="s">
        <v>2288</v>
      </c>
      <c r="I4081">
        <v>-33.321300000000001</v>
      </c>
      <c r="J4081">
        <v>146.322</v>
      </c>
      <c r="K4081" t="str">
        <f>HYPERLINK("http://nvcl.geoscience.nsw.gov.au/NVCLDataServices/mosaic.html?datasetid=0eb901c6-6241-4015-8602-a0076216829","BR016_Core Image")</f>
        <v>BR016_Core Image</v>
      </c>
    </row>
    <row r="4082" spans="1:11" x14ac:dyDescent="0.25">
      <c r="A4082" t="str">
        <f>HYPERLINK("http://www.corstruth.com.au/NSW/BR018_cs.png","BR018_A4")</f>
        <v>BR018_A4</v>
      </c>
      <c r="B4082" t="str">
        <f>HYPERLINK("http://www.corstruth.com.au/NSW/PNG2/BR018_cs.png","BR018_0.25m Bins")</f>
        <v>BR018_0.25m Bins</v>
      </c>
      <c r="C4082" t="str">
        <f>HYPERLINK("http://www.corstruth.com.au/NSW/CSV/BR018.csv","BR018_CSV File 1m Bins")</f>
        <v>BR018_CSV File 1m Bins</v>
      </c>
      <c r="D4082" t="s">
        <v>2289</v>
      </c>
      <c r="E4082" t="s">
        <v>2198</v>
      </c>
      <c r="F4082" t="str">
        <f>HYPERLINK("http://dwh.geoscience.nsw.gov.au/CI/warehouse/raw/drillhole?project=MIN&amp;site_id=004955","Geol Survey Link")</f>
        <v>Geol Survey Link</v>
      </c>
      <c r="H4082" t="s">
        <v>2290</v>
      </c>
      <c r="I4082">
        <v>-33.323099999999997</v>
      </c>
      <c r="J4082">
        <v>146.32300000000001</v>
      </c>
      <c r="K4082" t="str">
        <f>HYPERLINK("http://nvcl.geoscience.nsw.gov.au/NVCLDataServices/mosaic.html?datasetid=075294dd-b89c-4219-9092-058f483ceaa","BR018_Core Image")</f>
        <v>BR018_Core Image</v>
      </c>
    </row>
    <row r="4083" spans="1:11" x14ac:dyDescent="0.25">
      <c r="A4083" t="str">
        <f>HYPERLINK("http://www.corstruth.com.au/NSW/BR019_cs.png","BR019_A4")</f>
        <v>BR019_A4</v>
      </c>
      <c r="B4083" t="str">
        <f>HYPERLINK("http://www.corstruth.com.au/NSW/PNG2/BR019_cs.png","BR019_0.25m Bins")</f>
        <v>BR019_0.25m Bins</v>
      </c>
      <c r="C4083" t="str">
        <f>HYPERLINK("http://www.corstruth.com.au/NSW/CSV/BR019.csv","BR019_CSV File 1m Bins")</f>
        <v>BR019_CSV File 1m Bins</v>
      </c>
      <c r="D4083" t="s">
        <v>2291</v>
      </c>
      <c r="E4083" t="s">
        <v>2198</v>
      </c>
      <c r="F4083" t="str">
        <f>HYPERLINK("http://dwh.geoscience.nsw.gov.au/CI/warehouse/raw/drillhole?project=MIN&amp;site_id=004956","Geol Survey Link")</f>
        <v>Geol Survey Link</v>
      </c>
      <c r="H4083" t="s">
        <v>2292</v>
      </c>
      <c r="I4083">
        <v>-33.323799999999999</v>
      </c>
      <c r="J4083">
        <v>146.32400000000001</v>
      </c>
      <c r="K4083" t="str">
        <f>HYPERLINK("http://nvcl.geoscience.nsw.gov.au/NVCLDataServices/mosaic.html?datasetid=3fe46e9a-cc78-4452-aa27-11eb91a7723","BR019_Core Image")</f>
        <v>BR019_Core Image</v>
      </c>
    </row>
    <row r="4084" spans="1:11" x14ac:dyDescent="0.25">
      <c r="A4084" t="str">
        <f>HYPERLINK("http://www.corstruth.com.au/NSW/BR1_cs.png","BR1_A4")</f>
        <v>BR1_A4</v>
      </c>
      <c r="B4084" t="str">
        <f>HYPERLINK("http://www.corstruth.com.au/NSW/PNG2/BR1_cs.png","BR1_0.25m Bins")</f>
        <v>BR1_0.25m Bins</v>
      </c>
      <c r="C4084" t="str">
        <f>HYPERLINK("http://www.corstruth.com.au/NSW/CSV/BR1.csv","BR1_CSV File 1m Bins")</f>
        <v>BR1_CSV File 1m Bins</v>
      </c>
      <c r="D4084" t="s">
        <v>2293</v>
      </c>
      <c r="E4084" t="s">
        <v>2198</v>
      </c>
      <c r="F4084" t="str">
        <f>HYPERLINK("http://dwh.geoscience.nsw.gov.au/CI/warehouse/raw/drillhole?project=MIN&amp;site_id=004935","Geol Survey Link")</f>
        <v>Geol Survey Link</v>
      </c>
      <c r="H4084" t="s">
        <v>2288</v>
      </c>
      <c r="I4084">
        <v>-33.323300000000003</v>
      </c>
      <c r="J4084">
        <v>146.32499999999999</v>
      </c>
      <c r="K4084" t="str">
        <f>HYPERLINK("http://nvcl.geoscience.nsw.gov.au/NVCLDataServices/mosaic.html?datasetid=42893aaf-7066-48cd-8a9d-a8ecb99ab5c","BR1_Core Image")</f>
        <v>BR1_Core Image</v>
      </c>
    </row>
    <row r="4085" spans="1:11" x14ac:dyDescent="0.25">
      <c r="A4085" t="str">
        <f>HYPERLINK("http://www.corstruth.com.au/NSW/BR2_cs.png","BR2_A4")</f>
        <v>BR2_A4</v>
      </c>
      <c r="B4085" t="str">
        <f>HYPERLINK("http://www.corstruth.com.au/NSW/PNG2/BR2_cs.png","BR2_0.25m Bins")</f>
        <v>BR2_0.25m Bins</v>
      </c>
      <c r="C4085" t="str">
        <f>HYPERLINK("http://www.corstruth.com.au/NSW/CSV/BR2.csv","BR2_CSV File 1m Bins")</f>
        <v>BR2_CSV File 1m Bins</v>
      </c>
      <c r="D4085" t="s">
        <v>2294</v>
      </c>
      <c r="E4085" t="s">
        <v>2198</v>
      </c>
      <c r="F4085" t="str">
        <f>HYPERLINK("http://dwh.geoscience.nsw.gov.au/CI/warehouse/raw/drillhole?project=MIN&amp;site_id=004936","Geol Survey Link")</f>
        <v>Geol Survey Link</v>
      </c>
      <c r="H4085" t="s">
        <v>2295</v>
      </c>
      <c r="I4085">
        <v>-33.323399999999999</v>
      </c>
      <c r="J4085">
        <v>146.32400000000001</v>
      </c>
      <c r="K4085" t="str">
        <f>HYPERLINK("http://nvcl.geoscience.nsw.gov.au/NVCLDataServices/mosaic.html?datasetid=2f1333e3-d7e9-4182-82a1-75519e1fb2e","BR2_Core Image")</f>
        <v>BR2_Core Image</v>
      </c>
    </row>
    <row r="4086" spans="1:11" x14ac:dyDescent="0.25">
      <c r="A4086" t="str">
        <f>HYPERLINK("http://www.corstruth.com.au/NSW/BR3_cs.png","BR3_A4")</f>
        <v>BR3_A4</v>
      </c>
      <c r="B4086" t="str">
        <f>HYPERLINK("http://www.corstruth.com.au/NSW/PNG2/BR3_cs.png","BR3_0.25m Bins")</f>
        <v>BR3_0.25m Bins</v>
      </c>
      <c r="C4086" t="str">
        <f>HYPERLINK("http://www.corstruth.com.au/NSW/CSV/BR3.csv","BR3_CSV File 1m Bins")</f>
        <v>BR3_CSV File 1m Bins</v>
      </c>
      <c r="D4086" t="s">
        <v>2296</v>
      </c>
      <c r="E4086" t="s">
        <v>2198</v>
      </c>
      <c r="F4086" t="str">
        <f>HYPERLINK("http://dwh.geoscience.nsw.gov.au/CI/warehouse/raw/drillhole?project=MIN&amp;site_id=004937","Geol Survey Link")</f>
        <v>Geol Survey Link</v>
      </c>
      <c r="H4086" t="s">
        <v>2288</v>
      </c>
      <c r="I4086">
        <v>-33.3247</v>
      </c>
      <c r="J4086">
        <v>146.32499999999999</v>
      </c>
      <c r="K4086" t="str">
        <f>HYPERLINK("http://nvcl.geoscience.nsw.gov.au/NVCLDataServices/mosaic.html?datasetid=f2104f11-e675-4e51-9c99-86bb9d86234","BR3_Core Image")</f>
        <v>BR3_Core Image</v>
      </c>
    </row>
    <row r="4087" spans="1:11" x14ac:dyDescent="0.25">
      <c r="A4087" t="str">
        <f>HYPERLINK("http://www.corstruth.com.au/NSW/BR4A_cs.png","BR4A_A4")</f>
        <v>BR4A_A4</v>
      </c>
      <c r="B4087" t="str">
        <f>HYPERLINK("http://www.corstruth.com.au/NSW/PNG2/BR4A_cs.png","BR4A_0.25m Bins")</f>
        <v>BR4A_0.25m Bins</v>
      </c>
      <c r="C4087" t="str">
        <f>HYPERLINK("http://www.corstruth.com.au/NSW/CSV/BR4A.csv","BR4A_CSV File 1m Bins")</f>
        <v>BR4A_CSV File 1m Bins</v>
      </c>
      <c r="D4087" t="s">
        <v>2297</v>
      </c>
      <c r="E4087" t="s">
        <v>2198</v>
      </c>
      <c r="F4087" t="str">
        <f>HYPERLINK("http://dwh.geoscience.nsw.gov.au/CI/warehouse/raw/drillhole?project=MIN&amp;site_id=004940","Geol Survey Link")</f>
        <v>Geol Survey Link</v>
      </c>
      <c r="H4087" t="s">
        <v>2288</v>
      </c>
      <c r="I4087">
        <v>-33.322099999999999</v>
      </c>
      <c r="J4087">
        <v>146.32400000000001</v>
      </c>
      <c r="K4087" t="str">
        <f>HYPERLINK("http://nvcl.geoscience.nsw.gov.au/NVCLDataServices/mosaic.html?datasetid=e7dd1509-49a8-435a-8ddd-60e0896f3d5","BR4A_Core Image")</f>
        <v>BR4A_Core Image</v>
      </c>
    </row>
    <row r="4088" spans="1:11" x14ac:dyDescent="0.25">
      <c r="A4088" t="str">
        <f>HYPERLINK("http://www.corstruth.com.au/NSW/BR5_cs.png","BR5_A4")</f>
        <v>BR5_A4</v>
      </c>
      <c r="B4088" t="str">
        <f>HYPERLINK("http://www.corstruth.com.au/NSW/PNG2/BR5_cs.png","BR5_0.25m Bins")</f>
        <v>BR5_0.25m Bins</v>
      </c>
      <c r="C4088" t="str">
        <f>HYPERLINK("http://www.corstruth.com.au/NSW/CSV/BR5.csv","BR5_CSV File 1m Bins")</f>
        <v>BR5_CSV File 1m Bins</v>
      </c>
      <c r="D4088" t="s">
        <v>2298</v>
      </c>
      <c r="E4088" t="s">
        <v>2198</v>
      </c>
      <c r="F4088" t="str">
        <f>HYPERLINK("http://dwh.geoscience.nsw.gov.au/CI/warehouse/raw/drillhole?project=MIN&amp;site_id=004941","Geol Survey Link")</f>
        <v>Geol Survey Link</v>
      </c>
      <c r="H4088" t="s">
        <v>2299</v>
      </c>
      <c r="I4088">
        <v>-33.323399999999999</v>
      </c>
      <c r="J4088">
        <v>146.32400000000001</v>
      </c>
      <c r="K4088" t="str">
        <f>HYPERLINK("http://nvcl.geoscience.nsw.gov.au/NVCLDataServices/mosaic.html?datasetid=f3dac0dd-6084-42c2-b77d-fb590e3f281","BR5_Core Image")</f>
        <v>BR5_Core Image</v>
      </c>
    </row>
    <row r="4089" spans="1:11" x14ac:dyDescent="0.25">
      <c r="A4089" t="str">
        <f>HYPERLINK("http://www.corstruth.com.au/NSW/BR6_cs.png","BR6_A4")</f>
        <v>BR6_A4</v>
      </c>
      <c r="B4089" t="str">
        <f>HYPERLINK("http://www.corstruth.com.au/NSW/PNG2/BR6_cs.png","BR6_0.25m Bins")</f>
        <v>BR6_0.25m Bins</v>
      </c>
      <c r="C4089" t="str">
        <f>HYPERLINK("http://www.corstruth.com.au/NSW/CSV/BR6.csv","BR6_CSV File 1m Bins")</f>
        <v>BR6_CSV File 1m Bins</v>
      </c>
      <c r="D4089" t="s">
        <v>2300</v>
      </c>
      <c r="E4089" t="s">
        <v>2198</v>
      </c>
      <c r="F4089" t="str">
        <f>HYPERLINK("http://dwh.geoscience.nsw.gov.au/CI/warehouse/raw/drillhole?project=MIN&amp;site_id=004942","Geol Survey Link")</f>
        <v>Geol Survey Link</v>
      </c>
      <c r="H4089" t="s">
        <v>2288</v>
      </c>
      <c r="I4089">
        <v>-33.319000000000003</v>
      </c>
      <c r="J4089">
        <v>146.32300000000001</v>
      </c>
      <c r="K4089" t="str">
        <f>HYPERLINK("http://nvcl.geoscience.nsw.gov.au/NVCLDataServices/mosaic.html?datasetid=3655546d-f87b-43f7-abdd-d8927132416","BR6_Core Image")</f>
        <v>BR6_Core Image</v>
      </c>
    </row>
    <row r="4090" spans="1:11" x14ac:dyDescent="0.25">
      <c r="A4090" t="str">
        <f>HYPERLINK("http://www.corstruth.com.au/NSW/MPH1A_cs.png","MPH1A_A4")</f>
        <v>MPH1A_A4</v>
      </c>
      <c r="B4090" t="str">
        <f>HYPERLINK("http://www.corstruth.com.au/NSW/PNG2/MPH1A_cs.png","MPH1A_0.25m Bins")</f>
        <v>MPH1A_0.25m Bins</v>
      </c>
      <c r="C4090" t="str">
        <f>HYPERLINK("http://www.corstruth.com.au/NSW/CSV/MPH1A.csv","MPH1A_CSV File 1m Bins")</f>
        <v>MPH1A_CSV File 1m Bins</v>
      </c>
      <c r="D4090" t="s">
        <v>2301</v>
      </c>
      <c r="E4090" t="s">
        <v>2198</v>
      </c>
      <c r="F4090" t="str">
        <f>HYPERLINK("http://dwh.geoscience.nsw.gov.au/CI/warehouse/raw/drillhole?project=MIN&amp;site_id=010898","Geol Survey Link")</f>
        <v>Geol Survey Link</v>
      </c>
      <c r="H4090" t="s">
        <v>2302</v>
      </c>
      <c r="I4090">
        <v>-31.7606</v>
      </c>
      <c r="J4090">
        <v>145.35599999999999</v>
      </c>
      <c r="K4090" t="str">
        <f>HYPERLINK("http://nvcl.geoscience.nsw.gov.au/NVCLDataServices/mosaic.html?datasetid=8d044ea5-1bce-4f5e-a49d-af4501844fe","MPH1A_Core Image")</f>
        <v>MPH1A_Core Image</v>
      </c>
    </row>
    <row r="4091" spans="1:11" x14ac:dyDescent="0.25">
      <c r="A4091" t="str">
        <f>HYPERLINK("http://www.corstruth.com.au/NSW/DD93BJ6_cs.png","DD93BJ6_A4")</f>
        <v>DD93BJ6_A4</v>
      </c>
      <c r="B4091" t="str">
        <f>HYPERLINK("http://www.corstruth.com.au/NSW/PNG2/DD93BJ6_cs.png","DD93BJ6_0.25m Bins")</f>
        <v>DD93BJ6_0.25m Bins</v>
      </c>
      <c r="C4091" t="str">
        <f>HYPERLINK("http://www.corstruth.com.au/NSW/CSV/DD93BJ6.csv","DD93BJ6_CSV File 1m Bins")</f>
        <v>DD93BJ6_CSV File 1m Bins</v>
      </c>
      <c r="D4091" t="s">
        <v>2303</v>
      </c>
      <c r="E4091" t="s">
        <v>2198</v>
      </c>
      <c r="F4091" t="str">
        <f>HYPERLINK("http://dwh.geoscience.nsw.gov.au/CI/warehouse/raw/drillhole?project=MIN&amp;site_id=018408","Geol Survey Link")</f>
        <v>Geol Survey Link</v>
      </c>
      <c r="H4091" t="s">
        <v>2304</v>
      </c>
      <c r="I4091">
        <v>-33.703899999999997</v>
      </c>
      <c r="J4091">
        <v>148.87</v>
      </c>
      <c r="K4091" t="str">
        <f>HYPERLINK("http://nvcl.geoscience.nsw.gov.au/NVCLDataServices/mosaic.html?datasetid=75f4eb49-28e0-44c0-b5b3-ee0f3500e94","DD93BJ6_Core Image")</f>
        <v>DD93BJ6_Core Image</v>
      </c>
    </row>
    <row r="4092" spans="1:11" x14ac:dyDescent="0.25">
      <c r="A4092" t="str">
        <f>HYPERLINK("http://www.corstruth.com.au/NSW/DD93BJ7_cs.png","DD93BJ7_A4")</f>
        <v>DD93BJ7_A4</v>
      </c>
      <c r="B4092" t="str">
        <f>HYPERLINK("http://www.corstruth.com.au/NSW/PNG2/DD93BJ7_cs.png","DD93BJ7_0.25m Bins")</f>
        <v>DD93BJ7_0.25m Bins</v>
      </c>
      <c r="C4092" t="str">
        <f>HYPERLINK("http://www.corstruth.com.au/NSW/CSV/DD93BJ7.csv","DD93BJ7_CSV File 1m Bins")</f>
        <v>DD93BJ7_CSV File 1m Bins</v>
      </c>
      <c r="D4092" t="s">
        <v>2305</v>
      </c>
      <c r="E4092" t="s">
        <v>2198</v>
      </c>
      <c r="F4092" t="str">
        <f>HYPERLINK("http://dwh.geoscience.nsw.gov.au/CI/warehouse/raw/drillhole?project=MIN&amp;site_id=018409","Geol Survey Link")</f>
        <v>Geol Survey Link</v>
      </c>
      <c r="H4092" t="s">
        <v>2304</v>
      </c>
      <c r="I4092">
        <v>-33.7104</v>
      </c>
      <c r="J4092">
        <v>148.864</v>
      </c>
      <c r="K4092" t="str">
        <f>HYPERLINK("http://nvcl.geoscience.nsw.gov.au/NVCLDataServices/mosaic.html?datasetid=9b7fde12-1320-49ab-95cb-43c36c5b7f5","DD93BJ7_Core Image")</f>
        <v>DD93BJ7_Core Image</v>
      </c>
    </row>
    <row r="4093" spans="1:11" x14ac:dyDescent="0.25">
      <c r="A4093" t="str">
        <f>HYPERLINK("http://www.corstruth.com.au/NSW/DD93BJ8_cs.png","DD93BJ8_A4")</f>
        <v>DD93BJ8_A4</v>
      </c>
      <c r="B4093" t="str">
        <f>HYPERLINK("http://www.corstruth.com.au/NSW/PNG2/DD93BJ8_cs.png","DD93BJ8_0.25m Bins")</f>
        <v>DD93BJ8_0.25m Bins</v>
      </c>
      <c r="C4093" t="str">
        <f>HYPERLINK("http://www.corstruth.com.au/NSW/CSV/DD93BJ8.csv","DD93BJ8_CSV File 1m Bins")</f>
        <v>DD93BJ8_CSV File 1m Bins</v>
      </c>
      <c r="D4093" t="s">
        <v>2306</v>
      </c>
      <c r="E4093" t="s">
        <v>2198</v>
      </c>
      <c r="F4093" t="str">
        <f>HYPERLINK("http://dwh.geoscience.nsw.gov.au/CI/warehouse/raw/drillhole?project=MIN&amp;site_id=018410","Geol Survey Link")</f>
        <v>Geol Survey Link</v>
      </c>
      <c r="H4093" t="s">
        <v>2304</v>
      </c>
      <c r="I4093">
        <v>-33.7087</v>
      </c>
      <c r="J4093">
        <v>148.86699999999999</v>
      </c>
      <c r="K4093" t="str">
        <f>HYPERLINK("http://nvcl.geoscience.nsw.gov.au/NVCLDataServices/mosaic.html?datasetid=8e180af3-d3b6-4d06-b1a0-9e2b81ad3c7","DD93BJ8_Core Image")</f>
        <v>DD93BJ8_Core Image</v>
      </c>
    </row>
    <row r="4094" spans="1:11" x14ac:dyDescent="0.25">
      <c r="A4094" t="str">
        <f>HYPERLINK("http://www.corstruth.com.au/NSW/DD92BUR1_cs.png","DD92BUR1_A4")</f>
        <v>DD92BUR1_A4</v>
      </c>
      <c r="B4094" t="str">
        <f>HYPERLINK("http://www.corstruth.com.au/NSW/PNG2/DD92BUR1_cs.png","DD92BUR1_0.25m Bins")</f>
        <v>DD92BUR1_0.25m Bins</v>
      </c>
      <c r="C4094" t="str">
        <f>HYPERLINK("http://www.corstruth.com.au/NSW/CSV/DD92BUR1.csv","DD92BUR1_CSV File 1m Bins")</f>
        <v>DD92BUR1_CSV File 1m Bins</v>
      </c>
      <c r="D4094" t="s">
        <v>2307</v>
      </c>
      <c r="E4094" t="s">
        <v>2198</v>
      </c>
      <c r="F4094" t="str">
        <f>HYPERLINK("http://dwh.geoscience.nsw.gov.au/CI/warehouse/raw/drillhole?project=MIN&amp;site_id=016972","Geol Survey Link")</f>
        <v>Geol Survey Link</v>
      </c>
      <c r="H4094" t="s">
        <v>2308</v>
      </c>
      <c r="I4094">
        <v>-31.051400000000001</v>
      </c>
      <c r="J4094">
        <v>145.655</v>
      </c>
      <c r="K4094" t="str">
        <f>HYPERLINK("http://nvcl.geoscience.nsw.gov.au/NVCLDataServices/mosaic.html?datasetid=4d505d1f-8ba8-467b-a4e4-4325671d1d6","DD92BUR1_Core Image")</f>
        <v>DD92BUR1_Core Image</v>
      </c>
    </row>
    <row r="4095" spans="1:11" x14ac:dyDescent="0.25">
      <c r="A4095" t="str">
        <f>HYPERLINK("http://www.corstruth.com.au/NSW/DD92BUR2_cs.png","DD92BUR2_A4")</f>
        <v>DD92BUR2_A4</v>
      </c>
      <c r="B4095" t="str">
        <f>HYPERLINK("http://www.corstruth.com.au/NSW/PNG2/DD92BUR2_cs.png","DD92BUR2_0.25m Bins")</f>
        <v>DD92BUR2_0.25m Bins</v>
      </c>
      <c r="C4095" t="str">
        <f>HYPERLINK("http://www.corstruth.com.au/NSW/CSV/DD92BUR2.csv","DD92BUR2_CSV File 1m Bins")</f>
        <v>DD92BUR2_CSV File 1m Bins</v>
      </c>
      <c r="D4095" t="s">
        <v>2309</v>
      </c>
      <c r="E4095" t="s">
        <v>2198</v>
      </c>
      <c r="F4095" t="str">
        <f>HYPERLINK("http://dwh.geoscience.nsw.gov.au/CI/warehouse/raw/drillhole?project=MIN&amp;site_id=016973","Geol Survey Link")</f>
        <v>Geol Survey Link</v>
      </c>
      <c r="H4095" t="s">
        <v>2308</v>
      </c>
      <c r="I4095">
        <v>-31.0486</v>
      </c>
      <c r="J4095">
        <v>145.655</v>
      </c>
      <c r="K4095" t="str">
        <f>HYPERLINK("http://nvcl.geoscience.nsw.gov.au/NVCLDataServices/mosaic.html?datasetid=6746b471-e41f-40a3-a8fa-4519b7212c7","DD92BUR2_Core Image")</f>
        <v>DD92BUR2_Core Image</v>
      </c>
    </row>
    <row r="4096" spans="1:11" x14ac:dyDescent="0.25">
      <c r="A4096" t="str">
        <f>HYPERLINK("http://www.corstruth.com.au/NSW/RCAT054_cs.png","RCAT054_A4")</f>
        <v>RCAT054_A4</v>
      </c>
      <c r="B4096" t="str">
        <f>HYPERLINK("http://www.corstruth.com.au/NSW/PNG2/RCAT054_cs.png","RCAT054_0.25m Bins")</f>
        <v>RCAT054_0.25m Bins</v>
      </c>
      <c r="C4096" t="str">
        <f>HYPERLINK("http://www.corstruth.com.au/NSW/CSV/RCAT054.csv","RCAT054_CSV File 1m Bins")</f>
        <v>RCAT054_CSV File 1m Bins</v>
      </c>
      <c r="D4096" t="s">
        <v>2310</v>
      </c>
      <c r="E4096" t="s">
        <v>2198</v>
      </c>
      <c r="F4096" t="str">
        <f>HYPERLINK("http://dwh.geoscience.nsw.gov.au/CI/warehouse/raw/drillhole?project=MIN&amp;site_id=022227","Geol Survey Link")</f>
        <v>Geol Survey Link</v>
      </c>
      <c r="H4096" t="s">
        <v>2311</v>
      </c>
      <c r="I4096">
        <v>-32.954500000000003</v>
      </c>
      <c r="J4096">
        <v>148.30500000000001</v>
      </c>
      <c r="K4096" t="str">
        <f>HYPERLINK("http://nvcl.geoscience.nsw.gov.au/NVCLDataServices/mosaic.html?datasetid=d12c1484-3159-41af-b9a8-dc7494b788b","RCAT054_Core Image")</f>
        <v>RCAT054_Core Image</v>
      </c>
    </row>
    <row r="4097" spans="1:11" x14ac:dyDescent="0.25">
      <c r="A4097" t="str">
        <f>HYPERLINK("http://www.corstruth.com.au/NSW/RCAT055_cs.png","RCAT055_A4")</f>
        <v>RCAT055_A4</v>
      </c>
      <c r="B4097" t="str">
        <f>HYPERLINK("http://www.corstruth.com.au/NSW/PNG2/RCAT055_cs.png","RCAT055_0.25m Bins")</f>
        <v>RCAT055_0.25m Bins</v>
      </c>
      <c r="C4097" t="str">
        <f>HYPERLINK("http://www.corstruth.com.au/NSW/CSV/RCAT055.csv","RCAT055_CSV File 1m Bins")</f>
        <v>RCAT055_CSV File 1m Bins</v>
      </c>
      <c r="D4097" t="s">
        <v>2312</v>
      </c>
      <c r="E4097" t="s">
        <v>2198</v>
      </c>
      <c r="F4097" t="str">
        <f>HYPERLINK("http://dwh.geoscience.nsw.gov.au/CI/warehouse/raw/drillhole?project=MIN&amp;site_id=022228","Geol Survey Link")</f>
        <v>Geol Survey Link</v>
      </c>
      <c r="H4097" t="s">
        <v>2311</v>
      </c>
      <c r="I4097">
        <v>-32.954799999999999</v>
      </c>
      <c r="J4097">
        <v>148.30799999999999</v>
      </c>
      <c r="K4097" t="str">
        <f>HYPERLINK("http://nvcl.geoscience.nsw.gov.au/NVCLDataServices/mosaic.html?datasetid=25495dd8-934b-462a-b2f5-2dc4a16575a","RCAT055_Core Image")</f>
        <v>RCAT055_Core Image</v>
      </c>
    </row>
    <row r="4098" spans="1:11" x14ac:dyDescent="0.25">
      <c r="A4098" t="str">
        <f>HYPERLINK("http://www.corstruth.com.au/NSW/RCAT056_cs.png","RCAT056_A4")</f>
        <v>RCAT056_A4</v>
      </c>
      <c r="B4098" t="str">
        <f>HYPERLINK("http://www.corstruth.com.au/NSW/PNG2/RCAT056_cs.png","RCAT056_0.25m Bins")</f>
        <v>RCAT056_0.25m Bins</v>
      </c>
      <c r="C4098" t="str">
        <f>HYPERLINK("http://www.corstruth.com.au/NSW/CSV/RCAT056.csv","RCAT056_CSV File 1m Bins")</f>
        <v>RCAT056_CSV File 1m Bins</v>
      </c>
      <c r="D4098" t="s">
        <v>2313</v>
      </c>
      <c r="E4098" t="s">
        <v>2198</v>
      </c>
      <c r="F4098" t="str">
        <f>HYPERLINK("http://dwh.geoscience.nsw.gov.au/CI/warehouse/raw/drillhole?project=MIN&amp;site_id=022229","Geol Survey Link")</f>
        <v>Geol Survey Link</v>
      </c>
      <c r="H4098" t="s">
        <v>2311</v>
      </c>
      <c r="I4098">
        <v>-32.954900000000002</v>
      </c>
      <c r="J4098">
        <v>148.31100000000001</v>
      </c>
      <c r="K4098" t="str">
        <f>HYPERLINK("http://nvcl.geoscience.nsw.gov.au/NVCLDataServices/mosaic.html?datasetid=2e9ee71b-dda3-4f00-a587-a39f90bb1ad","RCAT056_Core Image")</f>
        <v>RCAT056_Core Image</v>
      </c>
    </row>
    <row r="4099" spans="1:11" x14ac:dyDescent="0.25">
      <c r="A4099" t="str">
        <f>HYPERLINK("http://www.corstruth.com.au/NSW/RCAT058_cs.png","RCAT058_A4")</f>
        <v>RCAT058_A4</v>
      </c>
      <c r="B4099" t="str">
        <f>HYPERLINK("http://www.corstruth.com.au/NSW/PNG2/RCAT058_cs.png","RCAT058_0.25m Bins")</f>
        <v>RCAT058_0.25m Bins</v>
      </c>
      <c r="C4099" t="str">
        <f>HYPERLINK("http://www.corstruth.com.au/NSW/CSV/RCAT058.csv","RCAT058_CSV File 1m Bins")</f>
        <v>RCAT058_CSV File 1m Bins</v>
      </c>
      <c r="D4099" t="s">
        <v>2314</v>
      </c>
      <c r="E4099" t="s">
        <v>2198</v>
      </c>
      <c r="F4099" t="str">
        <f>HYPERLINK("http://dwh.geoscience.nsw.gov.au/CI/warehouse/raw/drillhole?project=MIN&amp;site_id=022231","Geol Survey Link")</f>
        <v>Geol Survey Link</v>
      </c>
      <c r="H4099" t="s">
        <v>2311</v>
      </c>
      <c r="I4099">
        <v>-32.9557</v>
      </c>
      <c r="J4099">
        <v>148.316</v>
      </c>
      <c r="K4099" t="str">
        <f>HYPERLINK("http://nvcl.geoscience.nsw.gov.au/NVCLDataServices/mosaic.html?datasetid=5947ce75-2d33-44bc-9738-cb62f3089f3","RCAT058_Core Image")</f>
        <v>RCAT058_Core Image</v>
      </c>
    </row>
    <row r="4100" spans="1:11" x14ac:dyDescent="0.25">
      <c r="A4100" t="str">
        <f>HYPERLINK("http://www.corstruth.com.au/NSW/RCAT059_cs.png","RCAT059_A4")</f>
        <v>RCAT059_A4</v>
      </c>
      <c r="B4100" t="str">
        <f>HYPERLINK("http://www.corstruth.com.au/NSW/PNG2/RCAT059_cs.png","RCAT059_0.25m Bins")</f>
        <v>RCAT059_0.25m Bins</v>
      </c>
      <c r="C4100" t="str">
        <f>HYPERLINK("http://www.corstruth.com.au/NSW/CSV/RCAT059.csv","RCAT059_CSV File 1m Bins")</f>
        <v>RCAT059_CSV File 1m Bins</v>
      </c>
      <c r="D4100" t="s">
        <v>2315</v>
      </c>
      <c r="E4100" t="s">
        <v>2198</v>
      </c>
      <c r="F4100" t="str">
        <f>HYPERLINK("http://dwh.geoscience.nsw.gov.au/CI/warehouse/raw/drillhole?project=MIN&amp;site_id=022232","Geol Survey Link")</f>
        <v>Geol Survey Link</v>
      </c>
      <c r="H4100" t="s">
        <v>2311</v>
      </c>
      <c r="I4100">
        <v>-32.953800000000001</v>
      </c>
      <c r="J4100">
        <v>148.30600000000001</v>
      </c>
      <c r="K4100" t="str">
        <f>HYPERLINK("http://nvcl.geoscience.nsw.gov.au/NVCLDataServices/mosaic.html?datasetid=cf6f603e-51ec-4080-bdae-72fe09d2abf","RCAT059_Core Image")</f>
        <v>RCAT059_Core Image</v>
      </c>
    </row>
    <row r="4101" spans="1:11" x14ac:dyDescent="0.25">
      <c r="A4101" t="str">
        <f>HYPERLINK("http://www.corstruth.com.au/NSW/RCAT060_cs.png","RCAT060_A4")</f>
        <v>RCAT060_A4</v>
      </c>
      <c r="B4101" t="str">
        <f>HYPERLINK("http://www.corstruth.com.au/NSW/PNG2/RCAT060_cs.png","RCAT060_0.25m Bins")</f>
        <v>RCAT060_0.25m Bins</v>
      </c>
      <c r="C4101" t="str">
        <f>HYPERLINK("http://www.corstruth.com.au/NSW/CSV/RCAT060.csv","RCAT060_CSV File 1m Bins")</f>
        <v>RCAT060_CSV File 1m Bins</v>
      </c>
      <c r="D4101" t="s">
        <v>2316</v>
      </c>
      <c r="E4101" t="s">
        <v>2198</v>
      </c>
      <c r="F4101" t="str">
        <f>HYPERLINK("http://dwh.geoscience.nsw.gov.au/CI/warehouse/raw/drillhole?project=MIN&amp;site_id=022233","Geol Survey Link")</f>
        <v>Geol Survey Link</v>
      </c>
      <c r="H4101" t="s">
        <v>2311</v>
      </c>
      <c r="I4101">
        <v>-32.9559</v>
      </c>
      <c r="J4101">
        <v>148.30600000000001</v>
      </c>
      <c r="K4101" t="str">
        <f>HYPERLINK("http://nvcl.geoscience.nsw.gov.au/NVCLDataServices/mosaic.html?datasetid=0619a9c5-02e7-40bc-be2c-a28aeaa7207","RCAT060_Core Image")</f>
        <v>RCAT060_Core Image</v>
      </c>
    </row>
    <row r="4102" spans="1:11" x14ac:dyDescent="0.25">
      <c r="A4102" t="str">
        <f>HYPERLINK("http://www.corstruth.com.au/NSW/BRC025_cs.png","BRC025_A4")</f>
        <v>BRC025_A4</v>
      </c>
      <c r="B4102" t="str">
        <f>HYPERLINK("http://www.corstruth.com.au/NSW/PNG2/BRC025_cs.png","BRC025_0.25m Bins")</f>
        <v>BRC025_0.25m Bins</v>
      </c>
      <c r="C4102" t="str">
        <f>HYPERLINK("http://www.corstruth.com.au/NSW/CSV/BRC025.csv","BRC025_CSV File 1m Bins")</f>
        <v>BRC025_CSV File 1m Bins</v>
      </c>
      <c r="D4102" t="s">
        <v>2317</v>
      </c>
      <c r="E4102" t="s">
        <v>2198</v>
      </c>
      <c r="F4102" t="str">
        <f>HYPERLINK("http://dwh.geoscience.nsw.gov.au/CI/warehouse/raw/drillhole?project=MIN&amp;site_id=020535","Geol Survey Link")</f>
        <v>Geol Survey Link</v>
      </c>
      <c r="H4102" t="s">
        <v>2318</v>
      </c>
      <c r="I4102">
        <v>-33.840899999999998</v>
      </c>
      <c r="J4102">
        <v>149.68899999999999</v>
      </c>
      <c r="K4102" t="str">
        <f>HYPERLINK("http://nvcl.geoscience.nsw.gov.au/NVCLDataServices/mosaic.html?datasetid=57cd9d69-bcd1-4000-8fd4-c3ef6449f4d","BRC025_Core Image")</f>
        <v>BRC025_Core Image</v>
      </c>
    </row>
    <row r="4103" spans="1:11" x14ac:dyDescent="0.25">
      <c r="A4103" t="str">
        <f>HYPERLINK("http://www.corstruth.com.au/NSW/BRC026_cs.png","BRC026_A4")</f>
        <v>BRC026_A4</v>
      </c>
      <c r="B4103" t="str">
        <f>HYPERLINK("http://www.corstruth.com.au/NSW/PNG2/BRC026_cs.png","BRC026_0.25m Bins")</f>
        <v>BRC026_0.25m Bins</v>
      </c>
      <c r="C4103" t="str">
        <f>HYPERLINK("http://www.corstruth.com.au/NSW/CSV/BRC026.csv","BRC026_CSV File 1m Bins")</f>
        <v>BRC026_CSV File 1m Bins</v>
      </c>
      <c r="D4103" t="s">
        <v>2319</v>
      </c>
      <c r="E4103" t="s">
        <v>2198</v>
      </c>
      <c r="F4103" t="str">
        <f>HYPERLINK("http://dwh.geoscience.nsw.gov.au/CI/warehouse/raw/drillhole?project=MIN&amp;site_id=020536","Geol Survey Link")</f>
        <v>Geol Survey Link</v>
      </c>
      <c r="H4103" t="s">
        <v>2318</v>
      </c>
      <c r="I4103">
        <v>-33.841099999999997</v>
      </c>
      <c r="J4103">
        <v>149.68799999999999</v>
      </c>
      <c r="K4103" t="str">
        <f>HYPERLINK("http://nvcl.geoscience.nsw.gov.au/NVCLDataServices/mosaic.html?datasetid=76402af1-ceaa-4ccb-91bc-691df76989c","BRC026_Core Image")</f>
        <v>BRC026_Core Image</v>
      </c>
    </row>
    <row r="4104" spans="1:11" x14ac:dyDescent="0.25">
      <c r="A4104" t="str">
        <f>HYPERLINK("http://www.corstruth.com.au/NSW/RACED161_cs.png","RACED161_A4")</f>
        <v>RACED161_A4</v>
      </c>
      <c r="B4104" t="str">
        <f>HYPERLINK("http://www.corstruth.com.au/NSW/PNG2/RACED161_cs.png","RACED161_0.25m Bins")</f>
        <v>RACED161_0.25m Bins</v>
      </c>
      <c r="C4104" t="str">
        <f>HYPERLINK("http://www.corstruth.com.au/NSW/CSV/RACED161.csv","RACED161_CSV File 1m Bins")</f>
        <v>RACED161_CSV File 1m Bins</v>
      </c>
      <c r="D4104" t="s">
        <v>2320</v>
      </c>
      <c r="E4104" t="s">
        <v>2198</v>
      </c>
      <c r="F4104" t="str">
        <f>HYPERLINK("http://dwh.geoscience.nsw.gov.au/CI/warehouse/raw/drillhole?project=MIN&amp;site_id=020465","Geol Survey Link")</f>
        <v>Geol Survey Link</v>
      </c>
      <c r="H4104" t="s">
        <v>2318</v>
      </c>
      <c r="I4104">
        <v>-33.844700000000003</v>
      </c>
      <c r="J4104">
        <v>149.69300000000001</v>
      </c>
    </row>
    <row r="4105" spans="1:11" x14ac:dyDescent="0.25">
      <c r="A4105" t="str">
        <f>HYPERLINK("http://www.corstruth.com.au/NSW/RACED205_cs.png","RACED205_A4")</f>
        <v>RACED205_A4</v>
      </c>
      <c r="B4105" t="str">
        <f>HYPERLINK("http://www.corstruth.com.au/NSW/PNG2/RACED205_cs.png","RACED205_0.25m Bins")</f>
        <v>RACED205_0.25m Bins</v>
      </c>
      <c r="C4105" t="str">
        <f>HYPERLINK("http://www.corstruth.com.au/NSW/CSV/RACED205.csv","RACED205_CSV File 1m Bins")</f>
        <v>RACED205_CSV File 1m Bins</v>
      </c>
      <c r="D4105" t="s">
        <v>2321</v>
      </c>
      <c r="E4105" t="s">
        <v>2198</v>
      </c>
      <c r="F4105" t="str">
        <f>HYPERLINK("http://dwh.geoscience.nsw.gov.au/CI/warehouse/raw/drillhole?project=MIN&amp;site_id=020506","Geol Survey Link")</f>
        <v>Geol Survey Link</v>
      </c>
      <c r="H4105" t="s">
        <v>2318</v>
      </c>
      <c r="I4105">
        <v>-33.837899999999998</v>
      </c>
      <c r="J4105">
        <v>149.68799999999999</v>
      </c>
      <c r="K4105" t="str">
        <f>HYPERLINK("http://nvcl.geoscience.nsw.gov.au/NVCLDataServices/mosaic.html?datasetid=a2533e2b-ab71-4322-91db-43acf9b27de","RACED205_Core Image")</f>
        <v>RACED205_Core Image</v>
      </c>
    </row>
    <row r="4106" spans="1:11" x14ac:dyDescent="0.25">
      <c r="A4106" t="str">
        <f>HYPERLINK("http://www.corstruth.com.au/NSW/DD91AR2_cs.png","DD91AR2_A4")</f>
        <v>DD91AR2_A4</v>
      </c>
      <c r="B4106" t="str">
        <f>HYPERLINK("http://www.corstruth.com.au/NSW/PNG2/DD91AR2_cs.png","DD91AR2_0.25m Bins")</f>
        <v>DD91AR2_0.25m Bins</v>
      </c>
      <c r="C4106" t="str">
        <f>HYPERLINK("http://www.corstruth.com.au/NSW/CSV/DD91AR2.csv","DD91AR2_CSV File 1m Bins")</f>
        <v>DD91AR2_CSV File 1m Bins</v>
      </c>
      <c r="D4106" t="s">
        <v>2322</v>
      </c>
      <c r="E4106" t="s">
        <v>2198</v>
      </c>
      <c r="F4106" t="str">
        <f>HYPERLINK("http://dwh.geoscience.nsw.gov.au/CI/warehouse/raw/drillhole?project=MIN&amp;site_id=016552","Geol Survey Link")</f>
        <v>Geol Survey Link</v>
      </c>
      <c r="H4106" t="s">
        <v>2323</v>
      </c>
      <c r="I4106">
        <v>-30.9206</v>
      </c>
      <c r="J4106">
        <v>145.59299999999999</v>
      </c>
      <c r="K4106" t="str">
        <f>HYPERLINK("http://nvcl.geoscience.nsw.gov.au/NVCLDataServices/mosaic.html?datasetid=bdabe4a6-6a14-46cf-841f-9ebb905a98a","DD91AR2_Core Image")</f>
        <v>DD91AR2_Core Image</v>
      </c>
    </row>
    <row r="4107" spans="1:11" x14ac:dyDescent="0.25">
      <c r="A4107" t="str">
        <f>HYPERLINK("http://www.corstruth.com.au/NSW/UDD12046B_cs.png","UDD12046B_A4")</f>
        <v>UDD12046B_A4</v>
      </c>
      <c r="B4107" t="str">
        <f>HYPERLINK("http://www.corstruth.com.au/NSW/PNG2/UDD12046B_cs.png","UDD12046B_0.25m Bins")</f>
        <v>UDD12046B_0.25m Bins</v>
      </c>
      <c r="C4107" t="str">
        <f>HYPERLINK("http://www.corstruth.com.au/NSW/CSV/UDD12046B.csv","UDD12046B_CSV File 1m Bins")</f>
        <v>UDD12046B_CSV File 1m Bins</v>
      </c>
      <c r="D4107" t="s">
        <v>2324</v>
      </c>
      <c r="E4107" t="s">
        <v>2198</v>
      </c>
      <c r="F4107" t="str">
        <f>HYPERLINK("http://dwh.geoscience.nsw.gov.au/CI/warehouse/raw/drillhole?project=MIN&amp;site_id=137263","Geol Survey Link")</f>
        <v>Geol Survey Link</v>
      </c>
      <c r="H4107" t="s">
        <v>2325</v>
      </c>
      <c r="I4107">
        <v>-31.402999999999999</v>
      </c>
      <c r="J4107">
        <v>145.80000000000001</v>
      </c>
      <c r="K4107" t="str">
        <f>HYPERLINK("http://nvcl.geoscience.nsw.gov.au/NVCLDataServices/mosaic.html?datasetid=3f815267-0a0c-4881-83d7-79ec5209a3a","UDD12046B_Core Image")</f>
        <v>UDD12046B_Core Image</v>
      </c>
    </row>
    <row r="4108" spans="1:11" x14ac:dyDescent="0.25">
      <c r="A4108" t="str">
        <f>HYPERLINK("http://www.corstruth.com.au/NSW/UDD14009A_cs.png","UDD14009A_A4")</f>
        <v>UDD14009A_A4</v>
      </c>
      <c r="B4108" t="str">
        <f>HYPERLINK("http://www.corstruth.com.au/NSW/PNG2/UDD14009A_cs.png","UDD14009A_0.25m Bins")</f>
        <v>UDD14009A_0.25m Bins</v>
      </c>
      <c r="C4108" t="str">
        <f>HYPERLINK("http://www.corstruth.com.au/NSW/CSV/UDD14009A.csv","UDD14009A_CSV File 1m Bins")</f>
        <v>UDD14009A_CSV File 1m Bins</v>
      </c>
      <c r="D4108" t="s">
        <v>2326</v>
      </c>
      <c r="E4108" t="s">
        <v>2198</v>
      </c>
      <c r="F4108" t="str">
        <f>HYPERLINK("http://dwh.geoscience.nsw.gov.au/CI/warehouse/raw/drillhole?project=MIN&amp;site_id=171792","Geol Survey Link")</f>
        <v>Geol Survey Link</v>
      </c>
      <c r="H4108" t="s">
        <v>2325</v>
      </c>
      <c r="I4108">
        <v>-31.402999999999999</v>
      </c>
      <c r="J4108">
        <v>145.80000000000001</v>
      </c>
      <c r="K4108" t="str">
        <f>HYPERLINK("http://nvcl.geoscience.nsw.gov.au/NVCLDataServices/mosaic.html?datasetid=3ac33f87-e34d-4e42-b74d-3850d39f039","UDD14009A_Core Image")</f>
        <v>UDD14009A_Core Image</v>
      </c>
    </row>
    <row r="4109" spans="1:11" x14ac:dyDescent="0.25">
      <c r="A4109" t="str">
        <f>HYPERLINK("http://www.corstruth.com.au/NSW/UDD14012_cs.png","UDD14012_A4")</f>
        <v>UDD14012_A4</v>
      </c>
      <c r="B4109" t="str">
        <f>HYPERLINK("http://www.corstruth.com.au/NSW/PNG2/UDD14012_cs.png","UDD14012_0.25m Bins")</f>
        <v>UDD14012_0.25m Bins</v>
      </c>
      <c r="C4109" t="str">
        <f>HYPERLINK("http://www.corstruth.com.au/NSW/CSV/UDD14012.csv","UDD14012_CSV File 1m Bins")</f>
        <v>UDD14012_CSV File 1m Bins</v>
      </c>
      <c r="D4109" t="s">
        <v>2327</v>
      </c>
      <c r="E4109" t="s">
        <v>2198</v>
      </c>
      <c r="F4109" t="str">
        <f>HYPERLINK("http://dwh.geoscience.nsw.gov.au/CI/warehouse/raw/drillhole?project=MIN&amp;site_id=160370","Geol Survey Link")</f>
        <v>Geol Survey Link</v>
      </c>
      <c r="H4109" t="s">
        <v>2328</v>
      </c>
      <c r="I4109">
        <v>-31.4069</v>
      </c>
      <c r="J4109">
        <v>145.80000000000001</v>
      </c>
      <c r="K4109" t="str">
        <f>HYPERLINK("http://nvcl.geoscience.nsw.gov.au/NVCLDataServices/mosaic.html?datasetid=2ba311db-a269-42ff-a566-6bf9549cc6f","UDD14012_Core Image")</f>
        <v>UDD14012_Core Image</v>
      </c>
    </row>
    <row r="4110" spans="1:11" x14ac:dyDescent="0.25">
      <c r="A4110" t="str">
        <f>HYPERLINK("http://www.corstruth.com.au/NSW/UDD15019_cs.png","UDD15019_A4")</f>
        <v>UDD15019_A4</v>
      </c>
      <c r="B4110" t="str">
        <f>HYPERLINK("http://www.corstruth.com.au/NSW/PNG2/UDD15019_cs.png","UDD15019_0.25m Bins")</f>
        <v>UDD15019_0.25m Bins</v>
      </c>
      <c r="C4110" t="str">
        <f>HYPERLINK("http://www.corstruth.com.au/NSW/CSV/UDD15019.csv","UDD15019_CSV File 1m Bins")</f>
        <v>UDD15019_CSV File 1m Bins</v>
      </c>
      <c r="D4110" t="s">
        <v>2329</v>
      </c>
      <c r="E4110" t="s">
        <v>2198</v>
      </c>
      <c r="F4110" t="str">
        <f>HYPERLINK("http://dwh.geoscience.nsw.gov.au/CI/warehouse/raw/drillhole?project=MIN&amp;site_id=171812","Geol Survey Link")</f>
        <v>Geol Survey Link</v>
      </c>
      <c r="H4110" t="s">
        <v>2328</v>
      </c>
      <c r="I4110">
        <v>-31.4069</v>
      </c>
      <c r="J4110">
        <v>145.80000000000001</v>
      </c>
      <c r="K4110" t="str">
        <f>HYPERLINK("http://nvcl.geoscience.nsw.gov.au/NVCLDataServices/mosaic.html?datasetid=3f9098b1-b485-4f75-9baa-03cbece7ecc","UDD15019_Core Image")</f>
        <v>UDD15019_Core Image</v>
      </c>
    </row>
    <row r="4111" spans="1:11" x14ac:dyDescent="0.25">
      <c r="A4111" t="str">
        <f>HYPERLINK("http://www.corstruth.com.au/NSW/PC179_cs.png","PC179_A4")</f>
        <v>PC179_A4</v>
      </c>
      <c r="B4111" t="str">
        <f>HYPERLINK("http://www.corstruth.com.au/NSW/PNG2/PC179_cs.png","PC179_0.25m Bins")</f>
        <v>PC179_0.25m Bins</v>
      </c>
      <c r="C4111" t="str">
        <f>HYPERLINK("http://www.corstruth.com.au/NSW/CSV/PC179.csv","PC179_CSV File 1m Bins")</f>
        <v>PC179_CSV File 1m Bins</v>
      </c>
      <c r="D4111" t="s">
        <v>2330</v>
      </c>
      <c r="E4111" t="s">
        <v>2198</v>
      </c>
      <c r="F4111" t="str">
        <f>HYPERLINK("http://dwh.geoscience.nsw.gov.au/CI/warehouse/raw/drillhole?project=MIN&amp;site_id=003286","Geol Survey Link")</f>
        <v>Geol Survey Link</v>
      </c>
      <c r="H4111" t="s">
        <v>2331</v>
      </c>
      <c r="I4111">
        <v>-33.447800000000001</v>
      </c>
      <c r="J4111">
        <v>148.99299999999999</v>
      </c>
      <c r="K4111" t="str">
        <f>HYPERLINK("http://nvcl.geoscience.nsw.gov.au/NVCLDataServices/mosaic.html?datasetid=b9409f44-d134-4fe2-8830-0f492f7a9aa","PC179_Core Image")</f>
        <v>PC179_Core Image</v>
      </c>
    </row>
    <row r="4112" spans="1:11" x14ac:dyDescent="0.25">
      <c r="A4112" t="str">
        <f>HYPERLINK("http://www.corstruth.com.au/NSW/PC181_cs.png","PC181_A4")</f>
        <v>PC181_A4</v>
      </c>
      <c r="B4112" t="str">
        <f>HYPERLINK("http://www.corstruth.com.au/NSW/PNG2/PC181_cs.png","PC181_0.25m Bins")</f>
        <v>PC181_0.25m Bins</v>
      </c>
      <c r="C4112" t="str">
        <f>HYPERLINK("http://www.corstruth.com.au/NSW/CSV/PC181.csv","PC181_CSV File 1m Bins")</f>
        <v>PC181_CSV File 1m Bins</v>
      </c>
      <c r="D4112" t="s">
        <v>2332</v>
      </c>
      <c r="E4112" t="s">
        <v>2198</v>
      </c>
      <c r="F4112" t="str">
        <f>HYPERLINK("http://dwh.geoscience.nsw.gov.au/CI/warehouse/raw/drillhole?project=MIN&amp;site_id=003288","Geol Survey Link")</f>
        <v>Geol Survey Link</v>
      </c>
      <c r="H4112" t="s">
        <v>2333</v>
      </c>
      <c r="I4112">
        <v>-33.448099999999997</v>
      </c>
      <c r="J4112">
        <v>148.99299999999999</v>
      </c>
      <c r="K4112" t="str">
        <f>HYPERLINK("http://nvcl.geoscience.nsw.gov.au/NVCLDataServices/mosaic.html?datasetid=5bdee2c4-21bd-44b5-9432-a4785628b47","PC181_Core Image")</f>
        <v>PC181_Core Image</v>
      </c>
    </row>
    <row r="4113" spans="1:11" x14ac:dyDescent="0.25">
      <c r="A4113" t="str">
        <f>HYPERLINK("http://www.corstruth.com.au/NSW/PC182_cs.png","PC182_A4")</f>
        <v>PC182_A4</v>
      </c>
      <c r="B4113" t="str">
        <f>HYPERLINK("http://www.corstruth.com.au/NSW/PNG2/PC182_cs.png","PC182_0.25m Bins")</f>
        <v>PC182_0.25m Bins</v>
      </c>
      <c r="C4113" t="str">
        <f>HYPERLINK("http://www.corstruth.com.au/NSW/CSV/PC182.csv","PC182_CSV File 1m Bins")</f>
        <v>PC182_CSV File 1m Bins</v>
      </c>
      <c r="D4113" t="s">
        <v>2334</v>
      </c>
      <c r="E4113" t="s">
        <v>2198</v>
      </c>
      <c r="F4113" t="str">
        <f>HYPERLINK("http://dwh.geoscience.nsw.gov.au/CI/warehouse/raw/drillhole?project=MIN&amp;site_id=003289","Geol Survey Link")</f>
        <v>Geol Survey Link</v>
      </c>
      <c r="H4113" t="s">
        <v>2335</v>
      </c>
      <c r="I4113">
        <v>-33.450899999999997</v>
      </c>
      <c r="J4113">
        <v>148.994</v>
      </c>
      <c r="K4113" t="str">
        <f>HYPERLINK("http://nvcl.geoscience.nsw.gov.au/NVCLDataServices/mosaic.html?datasetid=78d67c16-387b-4ad3-81d2-0db154ba89d","PC182_Core Image")</f>
        <v>PC182_Core Image</v>
      </c>
    </row>
    <row r="4114" spans="1:11" x14ac:dyDescent="0.25">
      <c r="A4114" t="str">
        <f>HYPERLINK("http://www.corstruth.com.au/NSW/PC194_cs.png","PC194_A4")</f>
        <v>PC194_A4</v>
      </c>
      <c r="B4114" t="str">
        <f>HYPERLINK("http://www.corstruth.com.au/NSW/PNG2/PC194_cs.png","PC194_0.25m Bins")</f>
        <v>PC194_0.25m Bins</v>
      </c>
      <c r="C4114" t="str">
        <f>HYPERLINK("http://www.corstruth.com.au/NSW/CSV/PC194.csv","PC194_CSV File 1m Bins")</f>
        <v>PC194_CSV File 1m Bins</v>
      </c>
      <c r="D4114" t="s">
        <v>2336</v>
      </c>
      <c r="E4114" t="s">
        <v>2198</v>
      </c>
      <c r="F4114" t="str">
        <f>HYPERLINK("http://dwh.geoscience.nsw.gov.au/CI/warehouse/raw/drillhole?project=MIN&amp;site_id=003301","Geol Survey Link")</f>
        <v>Geol Survey Link</v>
      </c>
      <c r="H4114" t="s">
        <v>2337</v>
      </c>
      <c r="I4114">
        <v>-33.447299999999998</v>
      </c>
      <c r="J4114">
        <v>148.994</v>
      </c>
      <c r="K4114" t="str">
        <f>HYPERLINK("http://nvcl.geoscience.nsw.gov.au/NVCLDataServices/mosaic.html?datasetid=77aef264-f35c-4ac8-ad2d-2e72424b8be","PC194_Core Image")</f>
        <v>PC194_Core Image</v>
      </c>
    </row>
    <row r="4115" spans="1:11" x14ac:dyDescent="0.25">
      <c r="A4115" t="str">
        <f>HYPERLINK("http://www.corstruth.com.au/NSW/PC196_cs.png","PC196_A4")</f>
        <v>PC196_A4</v>
      </c>
      <c r="B4115" t="str">
        <f>HYPERLINK("http://www.corstruth.com.au/NSW/PNG2/PC196_cs.png","PC196_0.25m Bins")</f>
        <v>PC196_0.25m Bins</v>
      </c>
      <c r="C4115" t="str">
        <f>HYPERLINK("http://www.corstruth.com.au/NSW/CSV/PC196.csv","PC196_CSV File 1m Bins")</f>
        <v>PC196_CSV File 1m Bins</v>
      </c>
      <c r="D4115" t="s">
        <v>2338</v>
      </c>
      <c r="E4115" t="s">
        <v>2198</v>
      </c>
      <c r="F4115" t="str">
        <f>HYPERLINK("http://dwh.geoscience.nsw.gov.au/CI/warehouse/raw/drillhole?project=MIN&amp;site_id=003303","Geol Survey Link")</f>
        <v>Geol Survey Link</v>
      </c>
      <c r="H4115" t="s">
        <v>2339</v>
      </c>
      <c r="I4115">
        <v>-33.444000000000003</v>
      </c>
      <c r="J4115">
        <v>148.994</v>
      </c>
      <c r="K4115" t="str">
        <f>HYPERLINK("http://nvcl.geoscience.nsw.gov.au/NVCLDataServices/mosaic.html?datasetid=0c5570a4-1a4c-4aaa-98bb-068591a050b","PC196_Core Image")</f>
        <v>PC196_Core Image</v>
      </c>
    </row>
    <row r="4116" spans="1:11" x14ac:dyDescent="0.25">
      <c r="A4116" t="str">
        <f>HYPERLINK("http://www.corstruth.com.au/NSW/YAD1_cs.png","YAD1_A4")</f>
        <v>YAD1_A4</v>
      </c>
      <c r="B4116" t="str">
        <f>HYPERLINK("http://www.corstruth.com.au/NSW/PNG2/YAD1_cs.png","YAD1_0.25m Bins")</f>
        <v>YAD1_0.25m Bins</v>
      </c>
      <c r="C4116" t="str">
        <f>HYPERLINK("http://www.corstruth.com.au/NSW/CSV/YAD1.csv","YAD1_CSV File 1m Bins")</f>
        <v>YAD1_CSV File 1m Bins</v>
      </c>
      <c r="D4116" t="s">
        <v>2340</v>
      </c>
      <c r="E4116" t="s">
        <v>2198</v>
      </c>
      <c r="F4116" t="str">
        <f>HYPERLINK("http://dwh.geoscience.nsw.gov.au/CI/warehouse/raw/drillhole?project=MIN&amp;site_id=028741","Geol Survey Link")</f>
        <v>Geol Survey Link</v>
      </c>
      <c r="H4116" t="s">
        <v>2341</v>
      </c>
      <c r="I4116">
        <v>-34.932499999999997</v>
      </c>
      <c r="J4116">
        <v>150.37899999999999</v>
      </c>
    </row>
    <row r="4117" spans="1:11" x14ac:dyDescent="0.25">
      <c r="A4117" t="str">
        <f>HYPERLINK("http://www.corstruth.com.au/NSW/GCB-160_cs.png","GCB-160_A4")</f>
        <v>GCB-160_A4</v>
      </c>
      <c r="B4117" t="str">
        <f>HYPERLINK("http://www.corstruth.com.au/NSW/PNG2/GCB-160_cs.png","GCB-160_0.25m Bins")</f>
        <v>GCB-160_0.25m Bins</v>
      </c>
      <c r="C4117" t="str">
        <f>HYPERLINK("http://www.corstruth.com.au/NSW/CSV/GCB-160.csv","GCB-160_CSV File 1m Bins")</f>
        <v>GCB-160_CSV File 1m Bins</v>
      </c>
      <c r="D4117" t="s">
        <v>2342</v>
      </c>
      <c r="E4117" t="s">
        <v>2198</v>
      </c>
      <c r="F4117" t="str">
        <f>HYPERLINK("http://dwh.geoscience.nsw.gov.au/CI/warehouse/raw/drillhole?project=MIN&amp;site_id=074946","Geol Survey Link")</f>
        <v>Geol Survey Link</v>
      </c>
      <c r="H4117" t="s">
        <v>2343</v>
      </c>
      <c r="I4117">
        <v>-31.6127</v>
      </c>
      <c r="J4117">
        <v>146.34399999999999</v>
      </c>
      <c r="K4117" t="str">
        <f>HYPERLINK("http://nvcl.geoscience.nsw.gov.au/NVCLDataServices/mosaic.html?datasetid=017f48c7-bae4-4410-855c-924b4dea9ea","GCB-160_Core Image")</f>
        <v>GCB-160_Core Image</v>
      </c>
    </row>
    <row r="4118" spans="1:11" x14ac:dyDescent="0.25">
      <c r="A4118" t="str">
        <f>HYPERLINK("http://www.corstruth.com.au/NSW/GCB-163_cs.png","GCB-163_A4")</f>
        <v>GCB-163_A4</v>
      </c>
      <c r="B4118" t="str">
        <f>HYPERLINK("http://www.corstruth.com.au/NSW/PNG2/GCB-163_cs.png","GCB-163_0.25m Bins")</f>
        <v>GCB-163_0.25m Bins</v>
      </c>
      <c r="C4118" t="str">
        <f>HYPERLINK("http://www.corstruth.com.au/NSW/CSV/GCB-163.csv","GCB-163_CSV File 1m Bins")</f>
        <v>GCB-163_CSV File 1m Bins</v>
      </c>
      <c r="D4118" t="s">
        <v>2344</v>
      </c>
      <c r="E4118" t="s">
        <v>2198</v>
      </c>
      <c r="F4118" t="str">
        <f>HYPERLINK("http://dwh.geoscience.nsw.gov.au/CI/warehouse/raw/drillhole?project=MIN&amp;site_id=074949","Geol Survey Link")</f>
        <v>Geol Survey Link</v>
      </c>
      <c r="H4118" t="s">
        <v>2343</v>
      </c>
      <c r="I4118">
        <v>-31.611599999999999</v>
      </c>
      <c r="J4118">
        <v>146.346</v>
      </c>
      <c r="K4118" t="str">
        <f>HYPERLINK("http://nvcl.geoscience.nsw.gov.au/NVCLDataServices/mosaic.html?datasetid=70ec2dfb-0b54-4c29-9fc8-ffa0de37c94","GCB-163_Core Image")</f>
        <v>GCB-163_Core Image</v>
      </c>
    </row>
    <row r="4119" spans="1:11" x14ac:dyDescent="0.25">
      <c r="A4119" t="str">
        <f>HYPERLINK("http://www.corstruth.com.au/NSW/GCB-166_cs.png","GCB-166_A4")</f>
        <v>GCB-166_A4</v>
      </c>
      <c r="B4119" t="str">
        <f>HYPERLINK("http://www.corstruth.com.au/NSW/PNG2/GCB-166_cs.png","GCB-166_0.25m Bins")</f>
        <v>GCB-166_0.25m Bins</v>
      </c>
      <c r="C4119" t="str">
        <f>HYPERLINK("http://www.corstruth.com.au/NSW/CSV/GCB-166.csv","GCB-166_CSV File 1m Bins")</f>
        <v>GCB-166_CSV File 1m Bins</v>
      </c>
      <c r="D4119" t="s">
        <v>2345</v>
      </c>
      <c r="E4119" t="s">
        <v>2198</v>
      </c>
      <c r="F4119" t="str">
        <f>HYPERLINK("http://dwh.geoscience.nsw.gov.au/CI/warehouse/raw/drillhole?project=MIN&amp;site_id=074952","Geol Survey Link")</f>
        <v>Geol Survey Link</v>
      </c>
      <c r="H4119" t="s">
        <v>2343</v>
      </c>
      <c r="I4119">
        <v>-31.611899999999999</v>
      </c>
      <c r="J4119">
        <v>146.346</v>
      </c>
      <c r="K4119" t="str">
        <f>HYPERLINK("http://nvcl.geoscience.nsw.gov.au/NVCLDataServices/mosaic.html?datasetid=d7fb74de-e59c-412c-8b6c-0f343670176","GCB-166_Core Image")</f>
        <v>GCB-166_Core Image</v>
      </c>
    </row>
    <row r="4120" spans="1:11" x14ac:dyDescent="0.25">
      <c r="A4120" t="str">
        <f>HYPERLINK("http://www.corstruth.com.au/NSW/GCB177_cs.png","GCB177_A4")</f>
        <v>GCB177_A4</v>
      </c>
      <c r="B4120" t="str">
        <f>HYPERLINK("http://www.corstruth.com.au/NSW/PNG2/GCB177_cs.png","GCB177_0.25m Bins")</f>
        <v>GCB177_0.25m Bins</v>
      </c>
      <c r="C4120" t="str">
        <f>HYPERLINK("http://www.corstruth.com.au/NSW/CSV/GCB177.csv","GCB177_CSV File 1m Bins")</f>
        <v>GCB177_CSV File 1m Bins</v>
      </c>
      <c r="D4120" t="s">
        <v>2346</v>
      </c>
      <c r="E4120" t="s">
        <v>2198</v>
      </c>
      <c r="F4120" t="str">
        <f>HYPERLINK("http://dwh.geoscience.nsw.gov.au/CI/warehouse/raw/drillhole?project=MIN&amp;site_id=158559","Geol Survey Link")</f>
        <v>Geol Survey Link</v>
      </c>
      <c r="H4120" t="s">
        <v>2343</v>
      </c>
      <c r="I4120">
        <v>-31.617899999999999</v>
      </c>
      <c r="J4120">
        <v>146.352</v>
      </c>
      <c r="K4120" t="str">
        <f>HYPERLINK("http://nvcl.geoscience.nsw.gov.au/NVCLDataServices/mosaic.html?datasetid=0edf86df-b47e-46e2-be0f-7b1945a4b14","GCB177_Core Image")</f>
        <v>GCB177_Core Image</v>
      </c>
    </row>
    <row r="4121" spans="1:11" x14ac:dyDescent="0.25">
      <c r="A4121" t="str">
        <f>HYPERLINK("http://www.corstruth.com.au/NSW/C5-1_cs.png","C5-1_A4")</f>
        <v>C5-1_A4</v>
      </c>
      <c r="B4121" t="str">
        <f>HYPERLINK("http://www.corstruth.com.au/NSW/PNG2/C5-1_cs.png","C5-1_0.25m Bins")</f>
        <v>C5-1_0.25m Bins</v>
      </c>
      <c r="C4121" t="str">
        <f>HYPERLINK("http://www.corstruth.com.au/NSW/CSV/C5-1.csv","C5-1_CSV File 1m Bins")</f>
        <v>C5-1_CSV File 1m Bins</v>
      </c>
      <c r="D4121" t="s">
        <v>2347</v>
      </c>
      <c r="E4121" t="s">
        <v>2198</v>
      </c>
      <c r="F4121" t="str">
        <f>HYPERLINK("http://dwh.geoscience.nsw.gov.au/CI/warehouse/raw/drillhole?project=MIN&amp;site_id=039644","Geol Survey Link")</f>
        <v>Geol Survey Link</v>
      </c>
      <c r="H4121" t="s">
        <v>2348</v>
      </c>
      <c r="I4121">
        <v>-31.5486</v>
      </c>
      <c r="J4121">
        <v>146.27500000000001</v>
      </c>
      <c r="K4121" t="str">
        <f>HYPERLINK("http://nvcl.geoscience.nsw.gov.au/NVCLDataServices/mosaic.html?datasetid=3aebc244-efce-4fdd-9ed9-af9b723a0c5","C5-1_Core Image")</f>
        <v>C5-1_Core Image</v>
      </c>
    </row>
    <row r="4122" spans="1:11" x14ac:dyDescent="0.25">
      <c r="A4122" t="str">
        <f>HYPERLINK("http://www.corstruth.com.au/NSW/C2A-1_cs.png","C2A-1_A4")</f>
        <v>C2A-1_A4</v>
      </c>
      <c r="B4122" t="str">
        <f>HYPERLINK("http://www.corstruth.com.au/NSW/PNG2/C2A-1_cs.png","C2A-1_0.25m Bins")</f>
        <v>C2A-1_0.25m Bins</v>
      </c>
      <c r="C4122" t="str">
        <f>HYPERLINK("http://www.corstruth.com.au/NSW/CSV/C2A-1.csv","C2A-1_CSV File 1m Bins")</f>
        <v>C2A-1_CSV File 1m Bins</v>
      </c>
      <c r="D4122" t="s">
        <v>2349</v>
      </c>
      <c r="E4122" t="s">
        <v>2198</v>
      </c>
      <c r="F4122" t="str">
        <f>HYPERLINK("http://dwh.geoscience.nsw.gov.au/CI/warehouse/raw/drillhole?project=MIN&amp;site_id=039633","Geol Survey Link")</f>
        <v>Geol Survey Link</v>
      </c>
      <c r="H4122" t="s">
        <v>2350</v>
      </c>
      <c r="I4122">
        <v>-31.592600000000001</v>
      </c>
      <c r="J4122">
        <v>146.352</v>
      </c>
      <c r="K4122" t="str">
        <f>HYPERLINK("http://nvcl.geoscience.nsw.gov.au/NVCLDataServices/mosaic.html?datasetid=0a769abe-3002-4de5-9f25-461e1f32fdc","C2A-1_Core Image")</f>
        <v>C2A-1_Core Image</v>
      </c>
    </row>
    <row r="4123" spans="1:11" x14ac:dyDescent="0.25">
      <c r="A4123" t="str">
        <f>HYPERLINK("http://www.corstruth.com.au/NSW/C2A-2_cs.png","C2A-2_A4")</f>
        <v>C2A-2_A4</v>
      </c>
      <c r="B4123" t="str">
        <f>HYPERLINK("http://www.corstruth.com.au/NSW/PNG2/C2A-2_cs.png","C2A-2_0.25m Bins")</f>
        <v>C2A-2_0.25m Bins</v>
      </c>
      <c r="C4123" t="str">
        <f>HYPERLINK("http://www.corstruth.com.au/NSW/CSV/C2A-2.csv","C2A-2_CSV File 1m Bins")</f>
        <v>C2A-2_CSV File 1m Bins</v>
      </c>
      <c r="D4123" t="s">
        <v>2351</v>
      </c>
      <c r="E4123" t="s">
        <v>2198</v>
      </c>
      <c r="F4123" t="str">
        <f>HYPERLINK("http://dwh.geoscience.nsw.gov.au/CI/warehouse/raw/drillhole?project=MIN&amp;site_id=039634","Geol Survey Link")</f>
        <v>Geol Survey Link</v>
      </c>
      <c r="H4123" t="s">
        <v>2350</v>
      </c>
      <c r="I4123">
        <v>-31.590900000000001</v>
      </c>
      <c r="J4123">
        <v>146.35300000000001</v>
      </c>
      <c r="K4123" t="str">
        <f>HYPERLINK("http://nvcl.geoscience.nsw.gov.au/NVCLDataServices/mosaic.html?datasetid=e1a941ea-6434-4ffb-b9aa-3ad40f0d0d0","C2A-2_Core Image")</f>
        <v>C2A-2_Core Image</v>
      </c>
    </row>
    <row r="4124" spans="1:11" x14ac:dyDescent="0.25">
      <c r="A4124" t="str">
        <f>HYPERLINK("http://www.corstruth.com.au/NSW/C2A-4_cs.png","C2A-4_A4")</f>
        <v>C2A-4_A4</v>
      </c>
      <c r="B4124" t="str">
        <f>HYPERLINK("http://www.corstruth.com.au/NSW/PNG2/C2A-4_cs.png","C2A-4_0.25m Bins")</f>
        <v>C2A-4_0.25m Bins</v>
      </c>
      <c r="C4124" t="str">
        <f>HYPERLINK("http://www.corstruth.com.au/NSW/CSV/C2A-4.csv","C2A-4_CSV File 1m Bins")</f>
        <v>C2A-4_CSV File 1m Bins</v>
      </c>
      <c r="D4124" t="s">
        <v>2352</v>
      </c>
      <c r="E4124" t="s">
        <v>2198</v>
      </c>
      <c r="F4124" t="str">
        <f>HYPERLINK("http://dwh.geoscience.nsw.gov.au/CI/warehouse/raw/drillhole?project=MIN&amp;site_id=039636","Geol Survey Link")</f>
        <v>Geol Survey Link</v>
      </c>
      <c r="H4124" t="s">
        <v>2350</v>
      </c>
      <c r="I4124">
        <v>-31.594100000000001</v>
      </c>
      <c r="J4124">
        <v>146.352</v>
      </c>
      <c r="K4124" t="str">
        <f>HYPERLINK("http://nvcl.geoscience.nsw.gov.au/NVCLDataServices/mosaic.html?datasetid=898a9d59-f4a7-46b4-b388-891c97f577b","C2A-4_Core Image")</f>
        <v>C2A-4_Core Image</v>
      </c>
    </row>
    <row r="4125" spans="1:11" x14ac:dyDescent="0.25">
      <c r="A4125" t="str">
        <f>HYPERLINK("http://www.corstruth.com.au/NSW/ACDNY001_cs.png","ACDNY001_A4")</f>
        <v>ACDNY001_A4</v>
      </c>
      <c r="B4125" t="str">
        <f>HYPERLINK("http://www.corstruth.com.au/NSW/PNG2/ACDNY001_cs.png","ACDNY001_0.25m Bins")</f>
        <v>ACDNY001_0.25m Bins</v>
      </c>
      <c r="C4125" t="str">
        <f>HYPERLINK("http://www.corstruth.com.au/NSW/CSV/ACDNY001.csv","ACDNY001_CSV File 1m Bins")</f>
        <v>ACDNY001_CSV File 1m Bins</v>
      </c>
      <c r="D4125" t="s">
        <v>2353</v>
      </c>
      <c r="E4125" t="s">
        <v>2198</v>
      </c>
      <c r="F4125" t="str">
        <f>HYPERLINK("http://dwh.geoscience.nsw.gov.au/CI/warehouse/raw/drillhole?project=MIN&amp;site_id=024547","Geol Survey Link")</f>
        <v>Geol Survey Link</v>
      </c>
      <c r="H4125" t="s">
        <v>2354</v>
      </c>
      <c r="I4125">
        <v>-31.4496</v>
      </c>
      <c r="J4125">
        <v>147.21100000000001</v>
      </c>
    </row>
    <row r="4126" spans="1:11" x14ac:dyDescent="0.25">
      <c r="A4126" t="str">
        <f>HYPERLINK("http://www.corstruth.com.au/NSW/ACDNY002_cs.png","ACDNY002_A4")</f>
        <v>ACDNY002_A4</v>
      </c>
      <c r="B4126" t="str">
        <f>HYPERLINK("http://www.corstruth.com.au/NSW/PNG2/ACDNY002_cs.png","ACDNY002_0.25m Bins")</f>
        <v>ACDNY002_0.25m Bins</v>
      </c>
      <c r="C4126" t="str">
        <f>HYPERLINK("http://www.corstruth.com.au/NSW/CSV/ACDNY002.csv","ACDNY002_CSV File 1m Bins")</f>
        <v>ACDNY002_CSV File 1m Bins</v>
      </c>
      <c r="D4126" t="s">
        <v>2355</v>
      </c>
      <c r="E4126" t="s">
        <v>2198</v>
      </c>
      <c r="F4126" t="str">
        <f>HYPERLINK("http://dwh.geoscience.nsw.gov.au/CI/warehouse/raw/drillhole?project=MIN&amp;site_id=024548","Geol Survey Link")</f>
        <v>Geol Survey Link</v>
      </c>
      <c r="H4126" t="s">
        <v>2354</v>
      </c>
      <c r="I4126">
        <v>-31.367000000000001</v>
      </c>
      <c r="J4126">
        <v>147.238</v>
      </c>
    </row>
    <row r="4127" spans="1:11" x14ac:dyDescent="0.25">
      <c r="A4127" t="str">
        <f>HYPERLINK("http://www.corstruth.com.au/NSW/ACDNY003_cs.png","ACDNY003_A4")</f>
        <v>ACDNY003_A4</v>
      </c>
      <c r="B4127" t="str">
        <f>HYPERLINK("http://www.corstruth.com.au/NSW/PNG2/ACDNY003_cs.png","ACDNY003_0.25m Bins")</f>
        <v>ACDNY003_0.25m Bins</v>
      </c>
      <c r="C4127" t="str">
        <f>HYPERLINK("http://www.corstruth.com.au/NSW/CSV/ACDNY003.csv","ACDNY003_CSV File 1m Bins")</f>
        <v>ACDNY003_CSV File 1m Bins</v>
      </c>
      <c r="D4127" t="s">
        <v>2356</v>
      </c>
      <c r="E4127" t="s">
        <v>2198</v>
      </c>
      <c r="F4127" t="str">
        <f>HYPERLINK("http://dwh.geoscience.nsw.gov.au/CI/warehouse/raw/drillhole?project=MIN&amp;site_id=024549","Geol Survey Link")</f>
        <v>Geol Survey Link</v>
      </c>
      <c r="H4127" t="s">
        <v>2354</v>
      </c>
      <c r="I4127">
        <v>-31.4634</v>
      </c>
      <c r="J4127">
        <v>147.346</v>
      </c>
    </row>
    <row r="4128" spans="1:11" x14ac:dyDescent="0.25">
      <c r="A4128" t="str">
        <f>HYPERLINK("http://www.corstruth.com.au/NSW/DDH6_cs.png","DDH6_A4")</f>
        <v>DDH6_A4</v>
      </c>
      <c r="D4128" t="s">
        <v>2357</v>
      </c>
      <c r="E4128" t="s">
        <v>2198</v>
      </c>
      <c r="F4128" t="str">
        <f>HYPERLINK("http://dwh.geoscience.nsw.gov.au/CI/warehouse/raw/drillhole?project=MIN&amp;site_id=003495","Geol Survey Link")</f>
        <v>Geol Survey Link</v>
      </c>
      <c r="H4128" t="s">
        <v>2358</v>
      </c>
      <c r="I4128">
        <v>-35.609499999999997</v>
      </c>
      <c r="J4128">
        <v>149.44300000000001</v>
      </c>
      <c r="K4128" t="str">
        <f>HYPERLINK("http://nvcl.geoscience.nsw.gov.au/NVCLDataServices/mosaic.html?datasetid=ba8ac436-d4f6-496b-a548-d9ab36b6d55","DDH6_Core Image")</f>
        <v>DDH6_Core Image</v>
      </c>
    </row>
    <row r="4129" spans="1:11" x14ac:dyDescent="0.25">
      <c r="A4129" t="str">
        <f>HYPERLINK("http://www.corstruth.com.au/NSW/DDH7_cs.png","DDH7_A4")</f>
        <v>DDH7_A4</v>
      </c>
      <c r="D4129" t="s">
        <v>2359</v>
      </c>
      <c r="E4129" t="s">
        <v>2198</v>
      </c>
      <c r="F4129" t="str">
        <f>HYPERLINK("http://dwh.geoscience.nsw.gov.au/CI/warehouse/raw/drillhole?project=MIN&amp;site_id=003496","Geol Survey Link")</f>
        <v>Geol Survey Link</v>
      </c>
      <c r="H4129" t="s">
        <v>2358</v>
      </c>
      <c r="I4129">
        <v>-35.607599999999998</v>
      </c>
      <c r="J4129">
        <v>149.44200000000001</v>
      </c>
      <c r="K4129" t="str">
        <f>HYPERLINK("http://nvcl.geoscience.nsw.gov.au/NVCLDataServices/mosaic.html?datasetid=20fb651a-fc71-45b5-83e9-74e75c1088e","DDH7_Core Image")</f>
        <v>DDH7_Core Image</v>
      </c>
    </row>
    <row r="4130" spans="1:11" x14ac:dyDescent="0.25">
      <c r="A4130" t="str">
        <f>HYPERLINK("http://www.corstruth.com.au/NSW/DD91CN1_cs.png","DD91CN1_A4")</f>
        <v>DD91CN1_A4</v>
      </c>
      <c r="B4130" t="str">
        <f>HYPERLINK("http://www.corstruth.com.au/NSW/PNG2/DD91CN1_cs.png","DD91CN1_0.25m Bins")</f>
        <v>DD91CN1_0.25m Bins</v>
      </c>
      <c r="C4130" t="str">
        <f>HYPERLINK("http://www.corstruth.com.au/NSW/CSV/DD91CN1.csv","DD91CN1_CSV File 1m Bins")</f>
        <v>DD91CN1_CSV File 1m Bins</v>
      </c>
      <c r="D4130" t="s">
        <v>2360</v>
      </c>
      <c r="E4130" t="s">
        <v>2198</v>
      </c>
      <c r="F4130" t="str">
        <f>HYPERLINK("http://dwh.geoscience.nsw.gov.au/CI/warehouse/raw/drillhole?project=MIN&amp;site_id=017461","Geol Survey Link")</f>
        <v>Geol Survey Link</v>
      </c>
      <c r="H4130" t="s">
        <v>2361</v>
      </c>
      <c r="I4130">
        <v>-33.427999999999997</v>
      </c>
      <c r="J4130">
        <v>148.79300000000001</v>
      </c>
      <c r="K4130" t="str">
        <f>HYPERLINK("http://nvcl.geoscience.nsw.gov.au/NVCLDataServices/mosaic.html?datasetid=829574f9-aaae-46a5-9819-0e9b89c2735","DD91CN1_Core Image")</f>
        <v>DD91CN1_Core Image</v>
      </c>
    </row>
    <row r="4131" spans="1:11" x14ac:dyDescent="0.25">
      <c r="A4131" t="str">
        <f>HYPERLINK("http://www.corstruth.com.au/NSW/DD91CN2_cs.png","DD91CN2_A4")</f>
        <v>DD91CN2_A4</v>
      </c>
      <c r="B4131" t="str">
        <f>HYPERLINK("http://www.corstruth.com.au/NSW/PNG2/DD91CN2_cs.png","DD91CN2_0.25m Bins")</f>
        <v>DD91CN2_0.25m Bins</v>
      </c>
      <c r="C4131" t="str">
        <f>HYPERLINK("http://www.corstruth.com.au/NSW/CSV/DD91CN2.csv","DD91CN2_CSV File 1m Bins")</f>
        <v>DD91CN2_CSV File 1m Bins</v>
      </c>
      <c r="D4131" t="s">
        <v>2362</v>
      </c>
      <c r="E4131" t="s">
        <v>2198</v>
      </c>
      <c r="F4131" t="str">
        <f>HYPERLINK("http://dwh.geoscience.nsw.gov.au/CI/warehouse/raw/drillhole?project=MIN&amp;site_id=017462","Geol Survey Link")</f>
        <v>Geol Survey Link</v>
      </c>
      <c r="H4131" t="s">
        <v>2361</v>
      </c>
      <c r="I4131">
        <v>-33.425400000000003</v>
      </c>
      <c r="J4131">
        <v>148.78800000000001</v>
      </c>
      <c r="K4131" t="str">
        <f>HYPERLINK("http://nvcl.geoscience.nsw.gov.au/NVCLDataServices/mosaic.html?datasetid=913fb4aa-851e-4a1d-83f9-c2ea772c6f5","DD91CN2_Core Image")</f>
        <v>DD91CN2_Core Image</v>
      </c>
    </row>
    <row r="4132" spans="1:11" x14ac:dyDescent="0.25">
      <c r="A4132" t="str">
        <f>HYPERLINK("http://www.corstruth.com.au/NSW/DD91CN3_cs.png","DD91CN3_A4")</f>
        <v>DD91CN3_A4</v>
      </c>
      <c r="B4132" t="str">
        <f>HYPERLINK("http://www.corstruth.com.au/NSW/PNG2/DD91CN3_cs.png","DD91CN3_0.25m Bins")</f>
        <v>DD91CN3_0.25m Bins</v>
      </c>
      <c r="C4132" t="str">
        <f>HYPERLINK("http://www.corstruth.com.au/NSW/CSV/DD91CN3.csv","DD91CN3_CSV File 1m Bins")</f>
        <v>DD91CN3_CSV File 1m Bins</v>
      </c>
      <c r="D4132" t="s">
        <v>2363</v>
      </c>
      <c r="E4132" t="s">
        <v>2198</v>
      </c>
      <c r="F4132" t="str">
        <f>HYPERLINK("http://dwh.geoscience.nsw.gov.au/CI/warehouse/raw/drillhole?project=MIN&amp;site_id=017463","Geol Survey Link")</f>
        <v>Geol Survey Link</v>
      </c>
      <c r="H4132" t="s">
        <v>2361</v>
      </c>
      <c r="I4132">
        <v>-33.424300000000002</v>
      </c>
      <c r="J4132">
        <v>148.79400000000001</v>
      </c>
      <c r="K4132" t="str">
        <f>HYPERLINK("http://nvcl.geoscience.nsw.gov.au/NVCLDataServices/mosaic.html?datasetid=d3eeecc4-7953-4aa7-bb14-873254bd132","DD91CN3_Core Image")</f>
        <v>DD91CN3_Core Image</v>
      </c>
    </row>
    <row r="4133" spans="1:11" x14ac:dyDescent="0.25">
      <c r="A4133" t="str">
        <f>HYPERLINK("http://www.corstruth.com.au/NSW/DD91CN4_cs.png","DD91CN4_A4")</f>
        <v>DD91CN4_A4</v>
      </c>
      <c r="B4133" t="str">
        <f>HYPERLINK("http://www.corstruth.com.au/NSW/PNG2/DD91CN4_cs.png","DD91CN4_0.25m Bins")</f>
        <v>DD91CN4_0.25m Bins</v>
      </c>
      <c r="C4133" t="str">
        <f>HYPERLINK("http://www.corstruth.com.au/NSW/CSV/DD91CN4.csv","DD91CN4_CSV File 1m Bins")</f>
        <v>DD91CN4_CSV File 1m Bins</v>
      </c>
      <c r="D4133" t="s">
        <v>2364</v>
      </c>
      <c r="E4133" t="s">
        <v>2198</v>
      </c>
      <c r="F4133" t="str">
        <f>HYPERLINK("http://dwh.geoscience.nsw.gov.au/CI/warehouse/raw/drillhole?project=MIN&amp;site_id=017464","Geol Survey Link")</f>
        <v>Geol Survey Link</v>
      </c>
      <c r="H4133" t="s">
        <v>2361</v>
      </c>
      <c r="I4133">
        <v>-33.4221</v>
      </c>
      <c r="J4133">
        <v>148.797</v>
      </c>
      <c r="K4133" t="str">
        <f>HYPERLINK("http://nvcl.geoscience.nsw.gov.au/NVCLDataServices/mosaic.html?datasetid=e3c0b3f7-cbcd-4ca1-b619-cb957447a28","DD91CN4_Core Image")</f>
        <v>DD91CN4_Core Image</v>
      </c>
    </row>
    <row r="4134" spans="1:11" x14ac:dyDescent="0.25">
      <c r="A4134" t="str">
        <f>HYPERLINK("http://www.corstruth.com.au/NSW/DD91CN5_cs.png","DD91CN5_A4")</f>
        <v>DD91CN5_A4</v>
      </c>
      <c r="B4134" t="str">
        <f>HYPERLINK("http://www.corstruth.com.au/NSW/PNG2/DD91CN5_cs.png","DD91CN5_0.25m Bins")</f>
        <v>DD91CN5_0.25m Bins</v>
      </c>
      <c r="C4134" t="str">
        <f>HYPERLINK("http://www.corstruth.com.au/NSW/CSV/DD91CN5.csv","DD91CN5_CSV File 1m Bins")</f>
        <v>DD91CN5_CSV File 1m Bins</v>
      </c>
      <c r="D4134" t="s">
        <v>2365</v>
      </c>
      <c r="E4134" t="s">
        <v>2198</v>
      </c>
      <c r="F4134" t="str">
        <f>HYPERLINK("http://dwh.geoscience.nsw.gov.au/CI/warehouse/raw/drillhole?project=MIN&amp;site_id=017465","Geol Survey Link")</f>
        <v>Geol Survey Link</v>
      </c>
      <c r="H4134" t="s">
        <v>2361</v>
      </c>
      <c r="I4134">
        <v>-33.425400000000003</v>
      </c>
      <c r="J4134">
        <v>148.79400000000001</v>
      </c>
      <c r="K4134" t="str">
        <f>HYPERLINK("http://nvcl.geoscience.nsw.gov.au/NVCLDataServices/mosaic.html?datasetid=18b31843-9de4-4e05-afe9-08411aee8ba","DD91CN5_Core Image")</f>
        <v>DD91CN5_Core Image</v>
      </c>
    </row>
    <row r="4135" spans="1:11" x14ac:dyDescent="0.25">
      <c r="A4135" t="str">
        <f>HYPERLINK("http://www.corstruth.com.au/NSW/DD91CN6_cs.png","DD91CN6_A4")</f>
        <v>DD91CN6_A4</v>
      </c>
      <c r="B4135" t="str">
        <f>HYPERLINK("http://www.corstruth.com.au/NSW/PNG2/DD91CN6_cs.png","DD91CN6_0.25m Bins")</f>
        <v>DD91CN6_0.25m Bins</v>
      </c>
      <c r="C4135" t="str">
        <f>HYPERLINK("http://www.corstruth.com.au/NSW/CSV/DD91CN6.csv","DD91CN6_CSV File 1m Bins")</f>
        <v>DD91CN6_CSV File 1m Bins</v>
      </c>
      <c r="D4135" t="s">
        <v>2366</v>
      </c>
      <c r="E4135" t="s">
        <v>2198</v>
      </c>
      <c r="F4135" t="str">
        <f>HYPERLINK("http://dwh.geoscience.nsw.gov.au/CI/warehouse/raw/drillhole?project=MIN&amp;site_id=017466","Geol Survey Link")</f>
        <v>Geol Survey Link</v>
      </c>
      <c r="H4135" t="s">
        <v>2361</v>
      </c>
      <c r="I4135">
        <v>-33.426299999999998</v>
      </c>
      <c r="J4135">
        <v>148.80000000000001</v>
      </c>
      <c r="K4135" t="str">
        <f>HYPERLINK("http://nvcl.geoscience.nsw.gov.au/NVCLDataServices/mosaic.html?datasetid=69708681-3179-464a-a1f4-21554ac57c1","DD91CN6_Core Image")</f>
        <v>DD91CN6_Core Image</v>
      </c>
    </row>
    <row r="4136" spans="1:11" x14ac:dyDescent="0.25">
      <c r="A4136" t="str">
        <f>HYPERLINK("http://www.corstruth.com.au/NSW/NCG001_cs.png","NCG001_A4")</f>
        <v>NCG001_A4</v>
      </c>
      <c r="D4136" t="s">
        <v>2367</v>
      </c>
      <c r="E4136" t="s">
        <v>2198</v>
      </c>
      <c r="F4136" t="str">
        <f>HYPERLINK("http://dwh.geoscience.nsw.gov.au/CI/warehouse/raw/drillhole?project=MIN&amp;site_id=017485","Geol Survey Link")</f>
        <v>Geol Survey Link</v>
      </c>
      <c r="H4136" t="s">
        <v>2361</v>
      </c>
      <c r="I4136">
        <v>-33.420299999999997</v>
      </c>
      <c r="J4136">
        <v>148.792</v>
      </c>
      <c r="K4136" t="str">
        <f>HYPERLINK("http://nvcl.geoscience.nsw.gov.au/NVCLDataServices/mosaic.html?datasetid=a6501656-a7cc-43e3-b0dd-44ae394ac4e","NCG001_Core Image")</f>
        <v>NCG001_Core Image</v>
      </c>
    </row>
    <row r="4137" spans="1:11" x14ac:dyDescent="0.25">
      <c r="A4137" t="str">
        <f>HYPERLINK("http://www.corstruth.com.au/NSW/NCG002_cs.png","NCG002_A4")</f>
        <v>NCG002_A4</v>
      </c>
      <c r="D4137" t="s">
        <v>2368</v>
      </c>
      <c r="E4137" t="s">
        <v>2198</v>
      </c>
      <c r="F4137" t="str">
        <f>HYPERLINK("http://dwh.geoscience.nsw.gov.au/CI/warehouse/raw/drillhole?project=MIN&amp;site_id=017486","Geol Survey Link")</f>
        <v>Geol Survey Link</v>
      </c>
      <c r="H4137" t="s">
        <v>2361</v>
      </c>
      <c r="I4137">
        <v>-33.424799999999998</v>
      </c>
      <c r="J4137">
        <v>148.79499999999999</v>
      </c>
      <c r="K4137" t="str">
        <f>HYPERLINK("http://nvcl.geoscience.nsw.gov.au/NVCLDataServices/mosaic.html?datasetid=bb664c77-0600-42cc-baf0-665de75569c","NCG002_Core Image")</f>
        <v>NCG002_Core Image</v>
      </c>
    </row>
    <row r="4138" spans="1:11" x14ac:dyDescent="0.25">
      <c r="A4138" t="str">
        <f>HYPERLINK("http://www.corstruth.com.au/NSW/NCG003_cs.png","NCG003_A4")</f>
        <v>NCG003_A4</v>
      </c>
      <c r="D4138" t="s">
        <v>2369</v>
      </c>
      <c r="E4138" t="s">
        <v>2198</v>
      </c>
      <c r="F4138" t="str">
        <f>HYPERLINK("http://dwh.geoscience.nsw.gov.au/CI/warehouse/raw/drillhole?project=MIN&amp;site_id=017487","Geol Survey Link")</f>
        <v>Geol Survey Link</v>
      </c>
      <c r="H4138" t="s">
        <v>2361</v>
      </c>
      <c r="I4138">
        <v>-33.429600000000001</v>
      </c>
      <c r="J4138">
        <v>148.79</v>
      </c>
      <c r="K4138" t="str">
        <f>HYPERLINK("http://nvcl.geoscience.nsw.gov.au/NVCLDataServices/mosaic.html?datasetid=49e838b0-a164-479f-af58-faf182af52a","NCG003_Core Image")</f>
        <v>NCG003_Core Image</v>
      </c>
    </row>
    <row r="4139" spans="1:11" x14ac:dyDescent="0.25">
      <c r="A4139" t="str">
        <f>HYPERLINK("http://www.corstruth.com.au/NSW/NCG004_cs.png","NCG004_A4")</f>
        <v>NCG004_A4</v>
      </c>
      <c r="D4139" t="s">
        <v>2370</v>
      </c>
      <c r="E4139" t="s">
        <v>2198</v>
      </c>
      <c r="F4139" t="str">
        <f>HYPERLINK("http://dwh.geoscience.nsw.gov.au/CI/warehouse/raw/drillhole?project=MIN&amp;site_id=017488","Geol Survey Link")</f>
        <v>Geol Survey Link</v>
      </c>
      <c r="H4139" t="s">
        <v>2361</v>
      </c>
      <c r="I4139">
        <v>-33.434699999999999</v>
      </c>
      <c r="J4139">
        <v>148.792</v>
      </c>
      <c r="K4139" t="str">
        <f>HYPERLINK("http://nvcl.geoscience.nsw.gov.au/NVCLDataServices/mosaic.html?datasetid=1fae0101-0009-437b-8607-a76e122c587","NCG004_Core Image")</f>
        <v>NCG004_Core Image</v>
      </c>
    </row>
    <row r="4140" spans="1:11" x14ac:dyDescent="0.25">
      <c r="A4140" t="str">
        <f>HYPERLINK("http://www.corstruth.com.au/NSW/NCG005_cs.png","NCG005_A4")</f>
        <v>NCG005_A4</v>
      </c>
      <c r="D4140" t="s">
        <v>2371</v>
      </c>
      <c r="E4140" t="s">
        <v>2198</v>
      </c>
      <c r="F4140" t="str">
        <f>HYPERLINK("http://dwh.geoscience.nsw.gov.au/CI/warehouse/raw/drillhole?project=MIN&amp;site_id=017489","Geol Survey Link")</f>
        <v>Geol Survey Link</v>
      </c>
      <c r="H4140" t="s">
        <v>2361</v>
      </c>
      <c r="I4140">
        <v>-33.416899999999998</v>
      </c>
      <c r="J4140">
        <v>148.786</v>
      </c>
      <c r="K4140" t="str">
        <f>HYPERLINK("http://nvcl.geoscience.nsw.gov.au/NVCLDataServices/mosaic.html?datasetid=7c552ee0-2ee0-41a9-9328-3b9c0756bee","NCG005_Core Image")</f>
        <v>NCG005_Core Image</v>
      </c>
    </row>
    <row r="4141" spans="1:11" x14ac:dyDescent="0.25">
      <c r="A4141" t="str">
        <f>HYPERLINK("http://www.corstruth.com.au/NSW/A1_cs.png","A1_A4")</f>
        <v>A1_A4</v>
      </c>
      <c r="B4141" t="str">
        <f>HYPERLINK("http://www.corstruth.com.au/NSW/PNG2/A1_cs.png","A1_0.25m Bins")</f>
        <v>A1_0.25m Bins</v>
      </c>
      <c r="C4141" t="str">
        <f>HYPERLINK("http://www.corstruth.com.au/NSW/CSV/A1.csv","A1_CSV File 1m Bins")</f>
        <v>A1_CSV File 1m Bins</v>
      </c>
      <c r="D4141" t="s">
        <v>2372</v>
      </c>
      <c r="E4141" t="s">
        <v>2198</v>
      </c>
      <c r="F4141" t="str">
        <f>HYPERLINK("http://dwh.geoscience.nsw.gov.au/CI/warehouse/raw/drillhole?project=MIN&amp;site_id=003024","Geol Survey Link")</f>
        <v>Geol Survey Link</v>
      </c>
      <c r="H4141" t="s">
        <v>2373</v>
      </c>
      <c r="I4141">
        <v>-32.217100000000002</v>
      </c>
      <c r="J4141">
        <v>147.44800000000001</v>
      </c>
      <c r="K4141" t="str">
        <f>HYPERLINK("http://nvcl.geoscience.nsw.gov.au/NVCLDataServices/mosaic.html?datasetid=8fca101a-fef2-4278-8f6c-779cc87fbfa","A1_Core Image")</f>
        <v>A1_Core Image</v>
      </c>
    </row>
    <row r="4142" spans="1:11" x14ac:dyDescent="0.25">
      <c r="A4142" t="str">
        <f>HYPERLINK("http://www.corstruth.com.au/NSW/A2_cs.png","A2_A4")</f>
        <v>A2_A4</v>
      </c>
      <c r="B4142" t="str">
        <f>HYPERLINK("http://www.corstruth.com.au/NSW/PNG2/A2_cs.png","A2_0.25m Bins")</f>
        <v>A2_0.25m Bins</v>
      </c>
      <c r="C4142" t="str">
        <f>HYPERLINK("http://www.corstruth.com.au/NSW/CSV/A2.csv","A2_CSV File 1m Bins")</f>
        <v>A2_CSV File 1m Bins</v>
      </c>
      <c r="D4142" t="s">
        <v>2374</v>
      </c>
      <c r="E4142" t="s">
        <v>2198</v>
      </c>
      <c r="F4142" t="str">
        <f>HYPERLINK("http://dwh.geoscience.nsw.gov.au/CI/warehouse/raw/drillhole?project=MIN&amp;site_id=003025","Geol Survey Link")</f>
        <v>Geol Survey Link</v>
      </c>
      <c r="H4142" t="s">
        <v>2375</v>
      </c>
      <c r="I4142">
        <v>-32.216999999999999</v>
      </c>
      <c r="J4142">
        <v>147.44999999999999</v>
      </c>
      <c r="K4142" t="str">
        <f>HYPERLINK("http://nvcl.geoscience.nsw.gov.au/NVCLDataServices/mosaic.html?datasetid=7599f49b-a7fe-441f-9e58-33544c21e08","A2_Core Image")</f>
        <v>A2_Core Image</v>
      </c>
    </row>
    <row r="4143" spans="1:11" x14ac:dyDescent="0.25">
      <c r="A4143" t="str">
        <f>HYPERLINK("http://www.corstruth.com.au/NSW/A3_cs.png","A3_A4")</f>
        <v>A3_A4</v>
      </c>
      <c r="B4143" t="str">
        <f>HYPERLINK("http://www.corstruth.com.au/NSW/PNG2/A3_cs.png","A3_0.25m Bins")</f>
        <v>A3_0.25m Bins</v>
      </c>
      <c r="C4143" t="str">
        <f>HYPERLINK("http://www.corstruth.com.au/NSW/CSV/A3.csv","A3_CSV File 1m Bins")</f>
        <v>A3_CSV File 1m Bins</v>
      </c>
      <c r="D4143" t="s">
        <v>2376</v>
      </c>
      <c r="E4143" t="s">
        <v>2198</v>
      </c>
      <c r="F4143" t="str">
        <f>HYPERLINK("http://dwh.geoscience.nsw.gov.au/CI/warehouse/raw/drillhole?project=MIN&amp;site_id=003026","Geol Survey Link")</f>
        <v>Geol Survey Link</v>
      </c>
      <c r="H4143" t="s">
        <v>2377</v>
      </c>
      <c r="I4143">
        <v>-32.216999999999999</v>
      </c>
      <c r="J4143">
        <v>147.45099999999999</v>
      </c>
      <c r="K4143" t="str">
        <f>HYPERLINK("http://nvcl.geoscience.nsw.gov.au/NVCLDataServices/mosaic.html?datasetid=a94eddde-3b33-47b0-a8bb-8b55cc41de0","A3_Core Image")</f>
        <v>A3_Core Image</v>
      </c>
    </row>
    <row r="4144" spans="1:11" x14ac:dyDescent="0.25">
      <c r="A4144" t="str">
        <f>HYPERLINK("http://www.corstruth.com.au/NSW/B_cs.png","B_A4")</f>
        <v>B_A4</v>
      </c>
      <c r="B4144" t="str">
        <f>HYPERLINK("http://www.corstruth.com.au/NSW/PNG2/B_cs.png","B_0.25m Bins")</f>
        <v>B_0.25m Bins</v>
      </c>
      <c r="C4144" t="str">
        <f>HYPERLINK("http://www.corstruth.com.au/NSW/CSV/B.csv","B_CSV File 1m Bins")</f>
        <v>B_CSV File 1m Bins</v>
      </c>
      <c r="D4144" t="s">
        <v>2378</v>
      </c>
      <c r="E4144" t="s">
        <v>2198</v>
      </c>
      <c r="F4144" t="str">
        <f>HYPERLINK("http://dwh.geoscience.nsw.gov.au/CI/warehouse/raw/drillhole?project=MIN&amp;site_id=003027","Geol Survey Link")</f>
        <v>Geol Survey Link</v>
      </c>
      <c r="H4144" t="s">
        <v>2379</v>
      </c>
      <c r="I4144">
        <v>-32.213799999999999</v>
      </c>
      <c r="J4144">
        <v>147.44900000000001</v>
      </c>
      <c r="K4144" t="str">
        <f>HYPERLINK("http://nvcl.geoscience.nsw.gov.au/NVCLDataServices/mosaic.html?datasetid=ed35c4b4-041b-475d-8f8d-e3bb10a1b26","B_Core Image")</f>
        <v>B_Core Image</v>
      </c>
    </row>
    <row r="4145" spans="1:11" x14ac:dyDescent="0.25">
      <c r="A4145" t="str">
        <f>HYPERLINK("http://www.corstruth.com.au/NSW/DD04CH027A_cs.png","DD04CH027A_A4")</f>
        <v>DD04CH027A_A4</v>
      </c>
      <c r="B4145" t="str">
        <f>HYPERLINK("http://www.corstruth.com.au/NSW/PNG2/DD04CH027A_cs.png","DD04CH027A_0.25m Bins")</f>
        <v>DD04CH027A_0.25m Bins</v>
      </c>
      <c r="C4145" t="str">
        <f>HYPERLINK("http://www.corstruth.com.au/NSW/CSV/DD04CH027A.csv","DD04CH027A_CSV File 1m Bins")</f>
        <v>DD04CH027A_CSV File 1m Bins</v>
      </c>
      <c r="D4145" t="s">
        <v>2380</v>
      </c>
      <c r="E4145" t="s">
        <v>2198</v>
      </c>
      <c r="F4145" t="str">
        <f>HYPERLINK("http://dwh.geoscience.nsw.gov.au/CI/warehouse/raw/drillhole?project=MIN&amp;site_id=069099","Geol Survey Link")</f>
        <v>Geol Survey Link</v>
      </c>
      <c r="H4145" t="s">
        <v>2381</v>
      </c>
      <c r="I4145">
        <v>-31.521799999999999</v>
      </c>
      <c r="J4145">
        <v>145.86099999999999</v>
      </c>
      <c r="K4145" t="str">
        <f>HYPERLINK("http://nvcl.geoscience.nsw.gov.au/NVCLDataServices/mosaic.html?datasetid=c16e18e2-3255-477b-80c5-49ed1911e30","DD04CH027A_Core Image")</f>
        <v>DD04CH027A_Core Image</v>
      </c>
    </row>
    <row r="4146" spans="1:11" x14ac:dyDescent="0.25">
      <c r="A4146" t="str">
        <f>HYPERLINK("http://www.corstruth.com.au/NSW/DD13GC0007_cs.png","DD13GC0007_A4")</f>
        <v>DD13GC0007_A4</v>
      </c>
      <c r="B4146" t="str">
        <f>HYPERLINK("http://www.corstruth.com.au/NSW/PNG2/DD13GC0007_cs.png","DD13GC0007_0.25m Bins")</f>
        <v>DD13GC0007_0.25m Bins</v>
      </c>
      <c r="C4146" t="str">
        <f>HYPERLINK("http://www.corstruth.com.au/NSW/CSV/DD13GC0007.csv","DD13GC0007_CSV File 1m Bins")</f>
        <v>DD13GC0007_CSV File 1m Bins</v>
      </c>
      <c r="D4146" t="s">
        <v>2382</v>
      </c>
      <c r="E4146" t="s">
        <v>2198</v>
      </c>
      <c r="F4146" t="str">
        <f>HYPERLINK("http://dwh.geoscience.nsw.gov.au/CI/warehouse/raw/drillhole?project=MIN&amp;site_id=155793","Geol Survey Link")</f>
        <v>Geol Survey Link</v>
      </c>
      <c r="H4146" t="s">
        <v>2383</v>
      </c>
      <c r="I4146">
        <v>-31.500900000000001</v>
      </c>
      <c r="J4146">
        <v>145.84700000000001</v>
      </c>
      <c r="K4146" t="str">
        <f>HYPERLINK("http://nvcl.geoscience.nsw.gov.au/NVCLDataServices/mosaic.html?datasetid=be957bfa-d7b0-448f-b46c-539f5a0dabe","DD13GC0007_Core Image")</f>
        <v>DD13GC0007_Core Image</v>
      </c>
    </row>
    <row r="4147" spans="1:11" x14ac:dyDescent="0.25">
      <c r="A4147" t="str">
        <f>HYPERLINK("http://www.corstruth.com.au/NSW/DD13GC0009A_cs.png","DD13GC0009A_A4")</f>
        <v>DD13GC0009A_A4</v>
      </c>
      <c r="B4147" t="str">
        <f>HYPERLINK("http://www.corstruth.com.au/NSW/PNG2/DD13GC0009A_cs.png","DD13GC0009A_0.25m Bins")</f>
        <v>DD13GC0009A_0.25m Bins</v>
      </c>
      <c r="C4147" t="str">
        <f>HYPERLINK("http://www.corstruth.com.au/NSW/CSV/DD13GC0009A.csv","DD13GC0009A_CSV File 1m Bins")</f>
        <v>DD13GC0009A_CSV File 1m Bins</v>
      </c>
      <c r="D4147" t="s">
        <v>2384</v>
      </c>
      <c r="E4147" t="s">
        <v>2198</v>
      </c>
      <c r="F4147" t="str">
        <f>HYPERLINK("http://dwh.geoscience.nsw.gov.au/CI/warehouse/raw/drillhole?project=MIN&amp;site_id=173327","Geol Survey Link")</f>
        <v>Geol Survey Link</v>
      </c>
      <c r="H4147" t="s">
        <v>2383</v>
      </c>
      <c r="I4147">
        <v>-31.501799999999999</v>
      </c>
      <c r="J4147">
        <v>145.84700000000001</v>
      </c>
      <c r="K4147" t="str">
        <f>HYPERLINK("http://nvcl.geoscience.nsw.gov.au/NVCLDataServices/mosaic.html?datasetid=0e3caf95-49f9-415d-9d6c-b6d5875bfd2","DD13GC0009A_Core Image")</f>
        <v>DD13GC0009A_Core Image</v>
      </c>
    </row>
    <row r="4148" spans="1:11" x14ac:dyDescent="0.25">
      <c r="A4148" t="str">
        <f>HYPERLINK("http://www.corstruth.com.au/NSW/DD13GC0010_cs.png","DD13GC0010_A4")</f>
        <v>DD13GC0010_A4</v>
      </c>
      <c r="B4148" t="str">
        <f>HYPERLINK("http://www.corstruth.com.au/NSW/PNG2/DD13GC0010_cs.png","DD13GC0010_0.25m Bins")</f>
        <v>DD13GC0010_0.25m Bins</v>
      </c>
      <c r="C4148" t="str">
        <f>HYPERLINK("http://www.corstruth.com.au/NSW/CSV/DD13GC0010.csv","DD13GC0010_CSV File 1m Bins")</f>
        <v>DD13GC0010_CSV File 1m Bins</v>
      </c>
      <c r="D4148" t="s">
        <v>2385</v>
      </c>
      <c r="E4148" t="s">
        <v>2198</v>
      </c>
      <c r="F4148" t="str">
        <f>HYPERLINK("http://dwh.geoscience.nsw.gov.au/CI/warehouse/raw/drillhole?project=MIN&amp;site_id=155796","Geol Survey Link")</f>
        <v>Geol Survey Link</v>
      </c>
      <c r="H4148" t="s">
        <v>2383</v>
      </c>
      <c r="I4148">
        <v>-31.501799999999999</v>
      </c>
      <c r="J4148">
        <v>145.84700000000001</v>
      </c>
      <c r="K4148" t="str">
        <f>HYPERLINK("http://nvcl.geoscience.nsw.gov.au/NVCLDataServices/mosaic.html?datasetid=2be010d3-71c6-4d1f-822b-e0e10310035","DD13GC0010_Core Image")</f>
        <v>DD13GC0010_Core Image</v>
      </c>
    </row>
    <row r="4149" spans="1:11" x14ac:dyDescent="0.25">
      <c r="A4149" t="str">
        <f>HYPERLINK("http://www.corstruth.com.au/NSW/DD13GC007A_cs.png","DD13GC007A_A4")</f>
        <v>DD13GC007A_A4</v>
      </c>
      <c r="B4149" t="str">
        <f>HYPERLINK("http://www.corstruth.com.au/NSW/PNG2/DD13GC007A_cs.png","DD13GC007A_0.25m Bins")</f>
        <v>DD13GC007A_0.25m Bins</v>
      </c>
      <c r="C4149" t="str">
        <f>HYPERLINK("http://www.corstruth.com.au/NSW/CSV/DD13GC007A.csv","DD13GC007A_CSV File 1m Bins")</f>
        <v>DD13GC007A_CSV File 1m Bins</v>
      </c>
      <c r="D4149" t="s">
        <v>2386</v>
      </c>
      <c r="E4149" t="s">
        <v>2198</v>
      </c>
      <c r="F4149" t="str">
        <f>HYPERLINK("http://dwh.geoscience.nsw.gov.au/CI/warehouse/raw/drillhole?project=MIN&amp;site_id=155797","Geol Survey Link")</f>
        <v>Geol Survey Link</v>
      </c>
      <c r="H4149" t="s">
        <v>2383</v>
      </c>
      <c r="I4149">
        <v>-31.500900000000001</v>
      </c>
      <c r="J4149">
        <v>145.84700000000001</v>
      </c>
      <c r="K4149" t="str">
        <f>HYPERLINK("http://nvcl.geoscience.nsw.gov.au/NVCLDataServices/mosaic.html?datasetid=c953b06a-77b5-4368-a86c-9e6504e8c92","DD13GC007A_Core Image")</f>
        <v>DD13GC007A_Core Image</v>
      </c>
    </row>
    <row r="4150" spans="1:11" x14ac:dyDescent="0.25">
      <c r="A4150" t="str">
        <f>HYPERLINK("http://www.corstruth.com.au/NSW/DD13GC007B_cs.png","DD13GC007B_A4")</f>
        <v>DD13GC007B_A4</v>
      </c>
      <c r="B4150" t="str">
        <f>HYPERLINK("http://www.corstruth.com.au/NSW/PNG2/DD13GC007B_cs.png","DD13GC007B_0.25m Bins")</f>
        <v>DD13GC007B_0.25m Bins</v>
      </c>
      <c r="C4150" t="str">
        <f>HYPERLINK("http://www.corstruth.com.au/NSW/CSV/DD13GC007B.csv","DD13GC007B_CSV File 1m Bins")</f>
        <v>DD13GC007B_CSV File 1m Bins</v>
      </c>
      <c r="D4150" t="s">
        <v>2387</v>
      </c>
      <c r="E4150" t="s">
        <v>2198</v>
      </c>
      <c r="F4150" t="str">
        <f>HYPERLINK("http://dwh.geoscience.nsw.gov.au/CI/warehouse/raw/drillhole?project=MIN&amp;site_id=155798","Geol Survey Link")</f>
        <v>Geol Survey Link</v>
      </c>
      <c r="H4150" t="s">
        <v>2383</v>
      </c>
      <c r="I4150">
        <v>-31.500900000000001</v>
      </c>
      <c r="J4150">
        <v>145.84700000000001</v>
      </c>
      <c r="K4150" t="str">
        <f>HYPERLINK("http://nvcl.geoscience.nsw.gov.au/NVCLDataServices/mosaic.html?datasetid=a1acd6c0-0f52-4eed-bfac-e1759d66a8d","DD13GC007B_Core Image")</f>
        <v>DD13GC007B_Core Image</v>
      </c>
    </row>
    <row r="4151" spans="1:11" x14ac:dyDescent="0.25">
      <c r="A4151" t="str">
        <f>HYPERLINK("http://www.corstruth.com.au/NSW/DD15GC0019_cs.png","DD15GC0019_A4")</f>
        <v>DD15GC0019_A4</v>
      </c>
      <c r="B4151" t="str">
        <f>HYPERLINK("http://www.corstruth.com.au/NSW/PNG2/DD15GC0019_cs.png","DD15GC0019_0.25m Bins")</f>
        <v>DD15GC0019_0.25m Bins</v>
      </c>
      <c r="C4151" t="str">
        <f>HYPERLINK("http://www.corstruth.com.au/NSW/CSV/DD15GC0019.csv","DD15GC0019_CSV File 1m Bins")</f>
        <v>DD15GC0019_CSV File 1m Bins</v>
      </c>
      <c r="D4151" t="s">
        <v>2388</v>
      </c>
      <c r="E4151" t="s">
        <v>2198</v>
      </c>
      <c r="F4151" t="str">
        <f>HYPERLINK("http://dwh.geoscience.nsw.gov.au/CI/warehouse/raw/drillhole?project=MIN&amp;site_id=173334","Geol Survey Link")</f>
        <v>Geol Survey Link</v>
      </c>
      <c r="H4151" t="s">
        <v>2383</v>
      </c>
      <c r="I4151">
        <v>-31.5046</v>
      </c>
      <c r="J4151">
        <v>145.84200000000001</v>
      </c>
      <c r="K4151" t="str">
        <f>HYPERLINK("http://nvcl.geoscience.nsw.gov.au/NVCLDataServices/mosaic.html?datasetid=debf051f-6995-4a32-9d12-6c8e57af31a","DD15GC0019_Core Image")</f>
        <v>DD15GC0019_Core Image</v>
      </c>
    </row>
    <row r="4152" spans="1:11" x14ac:dyDescent="0.25">
      <c r="A4152" t="str">
        <f>HYPERLINK("http://www.corstruth.com.au/NSW/DD16CA0640_cs.png","DD16CA0640_A4")</f>
        <v>DD16CA0640_A4</v>
      </c>
      <c r="B4152" t="str">
        <f>HYPERLINK("http://www.corstruth.com.au/NSW/PNG2/DD16CA0640_cs.png","DD16CA0640_0.25m Bins")</f>
        <v>DD16CA0640_0.25m Bins</v>
      </c>
      <c r="C4152" t="str">
        <f>HYPERLINK("http://www.corstruth.com.au/NSW/CSV/DD16CA0640.csv","DD16CA0640_CSV File 1m Bins")</f>
        <v>DD16CA0640_CSV File 1m Bins</v>
      </c>
      <c r="D4152" t="s">
        <v>2389</v>
      </c>
      <c r="E4152" t="s">
        <v>2198</v>
      </c>
      <c r="F4152" t="str">
        <f>HYPERLINK("http://dwh.geoscience.nsw.gov.au/CI/warehouse/raw/drillhole?project=MIN&amp;site_id=173345","Geol Survey Link")</f>
        <v>Geol Survey Link</v>
      </c>
      <c r="H4152" t="s">
        <v>2383</v>
      </c>
      <c r="I4152">
        <v>-31.529499999999999</v>
      </c>
      <c r="J4152">
        <v>145.86099999999999</v>
      </c>
      <c r="K4152" t="str">
        <f>HYPERLINK("http://nvcl.geoscience.nsw.gov.au/NVCLDataServices/mosaic.html?datasetid=dbb86deb-c33d-42d7-aa5c-442d03c0334","DD16CA0640_Core Image")</f>
        <v>DD16CA0640_Core Image</v>
      </c>
    </row>
    <row r="4153" spans="1:11" x14ac:dyDescent="0.25">
      <c r="A4153" t="str">
        <f>HYPERLINK("http://www.corstruth.com.au/NSW/UD16GS0005_cs.png","UD16GS0005_A4")</f>
        <v>UD16GS0005_A4</v>
      </c>
      <c r="B4153" t="str">
        <f>HYPERLINK("http://www.corstruth.com.au/NSW/PNG2/UD16GS0005_cs.png","UD16GS0005_0.25m Bins")</f>
        <v>UD16GS0005_0.25m Bins</v>
      </c>
      <c r="C4153" t="str">
        <f>HYPERLINK("http://www.corstruth.com.au/NSW/CSV/UD16GS0005.csv","UD16GS0005_CSV File 1m Bins")</f>
        <v>UD16GS0005_CSV File 1m Bins</v>
      </c>
      <c r="D4153" t="s">
        <v>2390</v>
      </c>
      <c r="E4153" t="s">
        <v>2198</v>
      </c>
      <c r="F4153" t="str">
        <f>HYPERLINK("http://dwh.geoscience.nsw.gov.au/CI/warehouse/raw/drillhole?project=MIN&amp;site_id=173511","Geol Survey Link")</f>
        <v>Geol Survey Link</v>
      </c>
      <c r="H4153" t="s">
        <v>2383</v>
      </c>
      <c r="I4153">
        <v>-31.518999999999998</v>
      </c>
      <c r="J4153">
        <v>145.85499999999999</v>
      </c>
      <c r="K4153" t="str">
        <f>HYPERLINK("http://nvcl.geoscience.nsw.gov.au/NVCLDataServices/mosaic.html?datasetid=4919d990-aa71-47fc-9543-5f71fed09ae","UD16GS0005_Core Image")</f>
        <v>UD16GS0005_Core Image</v>
      </c>
    </row>
    <row r="4154" spans="1:11" x14ac:dyDescent="0.25">
      <c r="A4154" t="str">
        <f>HYPERLINK("http://www.corstruth.com.au/NSW/DCP1_cs.png","DCP1_A4")</f>
        <v>DCP1_A4</v>
      </c>
      <c r="B4154" t="str">
        <f>HYPERLINK("http://www.corstruth.com.au/NSW/PNG2/DCP1_cs.png","DCP1_0.25m Bins")</f>
        <v>DCP1_0.25m Bins</v>
      </c>
      <c r="C4154" t="str">
        <f>HYPERLINK("http://www.corstruth.com.au/NSW/CSV/DCP1.csv","DCP1_CSV File 1m Bins")</f>
        <v>DCP1_CSV File 1m Bins</v>
      </c>
      <c r="D4154" t="s">
        <v>2391</v>
      </c>
      <c r="E4154" t="s">
        <v>2198</v>
      </c>
      <c r="F4154" t="str">
        <f>HYPERLINK("http://dwh.geoscience.nsw.gov.au/CI/warehouse/raw/drillhole?project=MIN&amp;site_id=006423","Geol Survey Link")</f>
        <v>Geol Survey Link</v>
      </c>
      <c r="H4154" t="s">
        <v>2392</v>
      </c>
      <c r="I4154">
        <v>-35.335099999999997</v>
      </c>
      <c r="J4154">
        <v>147.328</v>
      </c>
      <c r="K4154" t="str">
        <f>HYPERLINK("http://nvcl.geoscience.nsw.gov.au/NVCLDataServices/mosaic.html?datasetid=2f72d0c1-14d0-4ef9-8a0c-dc58d5c0c42","DCP1_Core Image")</f>
        <v>DCP1_Core Image</v>
      </c>
    </row>
    <row r="4155" spans="1:11" x14ac:dyDescent="0.25">
      <c r="A4155" t="str">
        <f>HYPERLINK("http://www.corstruth.com.au/NSW/JG97-2_cs.png","JG97-2_A4")</f>
        <v>JG97-2_A4</v>
      </c>
      <c r="D4155" t="s">
        <v>2393</v>
      </c>
      <c r="E4155" t="s">
        <v>2198</v>
      </c>
      <c r="F4155" t="str">
        <f>HYPERLINK("http://dwh.geoscience.nsw.gov.au/CI/warehouse/raw/drillhole?project=MIN&amp;site_id=017459","Geol Survey Link")</f>
        <v>Geol Survey Link</v>
      </c>
      <c r="H4155" t="s">
        <v>2394</v>
      </c>
      <c r="I4155">
        <v>-33.429099999999998</v>
      </c>
      <c r="J4155">
        <v>148.79400000000001</v>
      </c>
      <c r="K4155" t="str">
        <f>HYPERLINK("http://nvcl.geoscience.nsw.gov.au/NVCLDataServices/mosaic.html?datasetid=ee6e7153-78fe-43cd-8edf-c07613f86e4","JG97-2_Core Image")</f>
        <v>JG97-2_Core Image</v>
      </c>
    </row>
    <row r="4156" spans="1:11" x14ac:dyDescent="0.25">
      <c r="A4156" t="str">
        <f>HYPERLINK("http://www.corstruth.com.au/NSW/DDHCH-2_cs.png","DDHCH-2_A4")</f>
        <v>DDHCH-2_A4</v>
      </c>
      <c r="B4156" t="str">
        <f>HYPERLINK("http://www.corstruth.com.au/NSW/PNG2/DDHCH-2_cs.png","DDHCH-2_0.25m Bins")</f>
        <v>DDHCH-2_0.25m Bins</v>
      </c>
      <c r="C4156" t="str">
        <f>HYPERLINK("http://www.corstruth.com.au/NSW/CSV/DDHCH-2.csv","DDHCH-2_CSV File 1m Bins")</f>
        <v>DDHCH-2_CSV File 1m Bins</v>
      </c>
      <c r="D4156" t="s">
        <v>2395</v>
      </c>
      <c r="E4156" t="s">
        <v>2198</v>
      </c>
      <c r="F4156" t="str">
        <f>HYPERLINK("http://dwh.geoscience.nsw.gov.au/CI/warehouse/raw/drillhole?project=MIN&amp;site_id=001945","Geol Survey Link")</f>
        <v>Geol Survey Link</v>
      </c>
      <c r="H4156" t="s">
        <v>2396</v>
      </c>
      <c r="I4156">
        <v>-31.791699999999999</v>
      </c>
      <c r="J4156">
        <v>141.41</v>
      </c>
      <c r="K4156" t="str">
        <f>HYPERLINK("http://nvcl.geoscience.nsw.gov.au/NVCLDataServices/mosaic.html?datasetid=47186d2e-82f5-4abf-9a2a-dc0a2ab1403","DDHCH-2_Core Image")</f>
        <v>DDHCH-2_Core Image</v>
      </c>
    </row>
    <row r="4157" spans="1:11" x14ac:dyDescent="0.25">
      <c r="A4157" t="str">
        <f>HYPERLINK("http://www.corstruth.com.au/NSW/DD97CH19_cs.png","DD97CH19_A4")</f>
        <v>DD97CH19_A4</v>
      </c>
      <c r="B4157" t="str">
        <f>HYPERLINK("http://www.corstruth.com.au/NSW/PNG2/DD97CH19_cs.png","DD97CH19_0.25m Bins")</f>
        <v>DD97CH19_0.25m Bins</v>
      </c>
      <c r="C4157" t="str">
        <f>HYPERLINK("http://www.corstruth.com.au/NSW/CSV/DD97CH19.csv","DD97CH19_CSV File 1m Bins")</f>
        <v>DD97CH19_CSV File 1m Bins</v>
      </c>
      <c r="D4157" t="s">
        <v>2397</v>
      </c>
      <c r="E4157" t="s">
        <v>2198</v>
      </c>
      <c r="F4157" t="str">
        <f>HYPERLINK("http://dwh.geoscience.nsw.gov.au/CI/warehouse/raw/drillhole?project=MIN&amp;site_id=031042","Geol Survey Link")</f>
        <v>Geol Survey Link</v>
      </c>
      <c r="H4157" t="s">
        <v>2398</v>
      </c>
      <c r="I4157">
        <v>-31.5227</v>
      </c>
      <c r="J4157">
        <v>145.863</v>
      </c>
      <c r="K4157" t="str">
        <f>HYPERLINK("http://nvcl.geoscience.nsw.gov.au/NVCLDataServices/mosaic.html?datasetid=f1af9c6e-9563-4e20-b24c-f2cfe27f831","DD97CH19_Core Image")</f>
        <v>DD97CH19_Core Image</v>
      </c>
    </row>
    <row r="4158" spans="1:11" x14ac:dyDescent="0.25">
      <c r="A4158" t="str">
        <f>HYPERLINK("http://www.corstruth.com.au/NSW/DD92CH13_cs.png","DD92CH13_A4")</f>
        <v>DD92CH13_A4</v>
      </c>
      <c r="B4158" t="str">
        <f>HYPERLINK("http://www.corstruth.com.au/NSW/PNG2/DD92CH13_cs.png","DD92CH13_0.25m Bins")</f>
        <v>DD92CH13_0.25m Bins</v>
      </c>
      <c r="C4158" t="str">
        <f>HYPERLINK("http://www.corstruth.com.au/NSW/CSV/DD92CH13.csv","DD92CH13_CSV File 1m Bins")</f>
        <v>DD92CH13_CSV File 1m Bins</v>
      </c>
      <c r="D4158" t="s">
        <v>2399</v>
      </c>
      <c r="E4158" t="s">
        <v>2198</v>
      </c>
      <c r="F4158" t="str">
        <f>HYPERLINK("http://dwh.geoscience.nsw.gov.au/CI/warehouse/raw/drillhole?project=MIN&amp;site_id=031035","Geol Survey Link")</f>
        <v>Geol Survey Link</v>
      </c>
      <c r="H4158" t="s">
        <v>2400</v>
      </c>
      <c r="I4158">
        <v>-31.5229</v>
      </c>
      <c r="J4158">
        <v>145.86099999999999</v>
      </c>
      <c r="K4158" t="str">
        <f>HYPERLINK("http://nvcl.geoscience.nsw.gov.au/NVCLDataServices/mosaic.html?datasetid=c79cc56a-ee3b-4a5a-b7e7-55c7900e7ea","DD92CH13_Core Image")</f>
        <v>DD92CH13_Core Image</v>
      </c>
    </row>
    <row r="4159" spans="1:11" x14ac:dyDescent="0.25">
      <c r="A4159" t="str">
        <f>HYPERLINK("http://www.corstruth.com.au/NSW/CW1_cs.png","CW1_A4")</f>
        <v>CW1_A4</v>
      </c>
      <c r="B4159" t="str">
        <f>HYPERLINK("http://www.corstruth.com.au/NSW/PNG2/CW1_cs.png","CW1_0.25m Bins")</f>
        <v>CW1_0.25m Bins</v>
      </c>
      <c r="C4159" t="str">
        <f>HYPERLINK("http://www.corstruth.com.au/NSW/CSV/CW1.csv","CW1_CSV File 1m Bins")</f>
        <v>CW1_CSV File 1m Bins</v>
      </c>
      <c r="D4159" t="s">
        <v>2401</v>
      </c>
      <c r="E4159" t="s">
        <v>2198</v>
      </c>
      <c r="F4159" t="str">
        <f>HYPERLINK("http://dwh.geoscience.nsw.gov.au/CI/warehouse/raw/drillhole?project=MIN&amp;site_id=005270","Geol Survey Link")</f>
        <v>Geol Survey Link</v>
      </c>
      <c r="H4159" t="s">
        <v>2402</v>
      </c>
      <c r="I4159">
        <v>-32.235199999999999</v>
      </c>
      <c r="J4159">
        <v>147.358</v>
      </c>
      <c r="K4159" t="str">
        <f>HYPERLINK("http://nvcl.geoscience.nsw.gov.au/NVCLDataServices/mosaic.html?datasetid=a7676b17-d5c4-43f6-ab8d-ef31f3201b3","CW1_Core Image")</f>
        <v>CW1_Core Image</v>
      </c>
    </row>
    <row r="4160" spans="1:11" x14ac:dyDescent="0.25">
      <c r="A4160" t="str">
        <f>HYPERLINK("http://www.corstruth.com.au/NSW/XGDD006_cs.png","XGDD006_A4")</f>
        <v>XGDD006_A4</v>
      </c>
      <c r="B4160" t="str">
        <f>HYPERLINK("http://www.corstruth.com.au/NSW/PNG2/XGDD006_cs.png","XGDD006_0.25m Bins")</f>
        <v>XGDD006_0.25m Bins</v>
      </c>
      <c r="C4160" t="str">
        <f>HYPERLINK("http://www.corstruth.com.au/NSW/CSV/XGDD006.csv","XGDD006_CSV File 1m Bins")</f>
        <v>XGDD006_CSV File 1m Bins</v>
      </c>
      <c r="D4160" t="s">
        <v>2403</v>
      </c>
      <c r="E4160" t="s">
        <v>2198</v>
      </c>
      <c r="F4160" t="str">
        <f>HYPERLINK("http://dwh.geoscience.nsw.gov.au/CI/warehouse/raw/drillhole?project=MIN&amp;site_id=116297","Geol Survey Link")</f>
        <v>Geol Survey Link</v>
      </c>
      <c r="H4160" t="s">
        <v>2404</v>
      </c>
      <c r="I4160">
        <v>-34.626199999999997</v>
      </c>
      <c r="J4160">
        <v>148.19999999999999</v>
      </c>
      <c r="K4160" t="str">
        <f>HYPERLINK("http://nvcl.geoscience.nsw.gov.au/NVCLDataServices/mosaic.html?datasetid=5fbc1376-2a35-4dc2-9f1c-f7e640167e0","XGDD006_Core Image")</f>
        <v>XGDD006_Core Image</v>
      </c>
    </row>
    <row r="4161" spans="1:11" x14ac:dyDescent="0.25">
      <c r="A4161" t="str">
        <f>HYPERLINK("http://www.corstruth.com.au/NSW/DDH113_cs.png","DDH113_A4")</f>
        <v>DDH113_A4</v>
      </c>
      <c r="D4161" t="s">
        <v>2405</v>
      </c>
      <c r="E4161" t="s">
        <v>2198</v>
      </c>
      <c r="F4161" t="str">
        <f>HYPERLINK("http://dwh.geoscience.nsw.gov.au/CI/warehouse/raw/drillhole?project=COAL&amp;site_id=027746","Geol Survey Link")</f>
        <v>Geol Survey Link</v>
      </c>
      <c r="H4161" t="s">
        <v>2406</v>
      </c>
      <c r="I4161">
        <v>-32.034199999999998</v>
      </c>
      <c r="J4161">
        <v>149.239</v>
      </c>
      <c r="K4161" t="str">
        <f>HYPERLINK("http://nvcl.geoscience.nsw.gov.au/NVCLDataServices/mosaic.html?datasetid=8d4f57ca-f0b6-4058-a118-ff32ec8a549","DDH113_Core Image")</f>
        <v>DDH113_Core Image</v>
      </c>
    </row>
    <row r="4162" spans="1:11" x14ac:dyDescent="0.25">
      <c r="A4162" t="str">
        <f>HYPERLINK("http://www.corstruth.com.au/NSW/DDCC16_cs.png","DDCC16_A4")</f>
        <v>DDCC16_A4</v>
      </c>
      <c r="B4162" t="str">
        <f>HYPERLINK("http://www.corstruth.com.au/NSW/PNG2/DDCC16_cs.png","DDCC16_0.25m Bins")</f>
        <v>DDCC16_0.25m Bins</v>
      </c>
      <c r="C4162" t="str">
        <f>HYPERLINK("http://www.corstruth.com.au/NSW/CSV/DDCC16.csv","DDCC16_CSV File 1m Bins")</f>
        <v>DDCC16_CSV File 1m Bins</v>
      </c>
      <c r="D4162" t="s">
        <v>2407</v>
      </c>
      <c r="E4162" t="s">
        <v>2198</v>
      </c>
      <c r="F4162" t="str">
        <f>HYPERLINK("http://dwh.geoscience.nsw.gov.au/CI/warehouse/raw/drillhole?project=MIN&amp;site_id=013116","Geol Survey Link")</f>
        <v>Geol Survey Link</v>
      </c>
      <c r="H4162" t="s">
        <v>2408</v>
      </c>
      <c r="I4162">
        <v>-35.425800000000002</v>
      </c>
      <c r="J4162">
        <v>148.15299999999999</v>
      </c>
    </row>
    <row r="4163" spans="1:11" x14ac:dyDescent="0.25">
      <c r="A4163" t="str">
        <f>HYPERLINK("http://www.corstruth.com.au/NSW/DDCC17_cs.png","DDCC17_A4")</f>
        <v>DDCC17_A4</v>
      </c>
      <c r="B4163" t="str">
        <f>HYPERLINK("http://www.corstruth.com.au/NSW/PNG2/DDCC17_cs.png","DDCC17_0.25m Bins")</f>
        <v>DDCC17_0.25m Bins</v>
      </c>
      <c r="C4163" t="str">
        <f>HYPERLINK("http://www.corstruth.com.au/NSW/CSV/DDCC17.csv","DDCC17_CSV File 1m Bins")</f>
        <v>DDCC17_CSV File 1m Bins</v>
      </c>
      <c r="D4163" t="s">
        <v>2409</v>
      </c>
      <c r="E4163" t="s">
        <v>2198</v>
      </c>
      <c r="F4163" t="str">
        <f>HYPERLINK("http://dwh.geoscience.nsw.gov.au/CI/warehouse/raw/drillhole?project=MIN&amp;site_id=013117","Geol Survey Link")</f>
        <v>Geol Survey Link</v>
      </c>
      <c r="H4163" t="s">
        <v>2408</v>
      </c>
      <c r="I4163">
        <v>-35.427199999999999</v>
      </c>
      <c r="J4163">
        <v>148.15299999999999</v>
      </c>
    </row>
    <row r="4164" spans="1:11" x14ac:dyDescent="0.25">
      <c r="A4164" t="str">
        <f>HYPERLINK("http://www.corstruth.com.au/NSW/CODD002_cs.png","CODD002_A4")</f>
        <v>CODD002_A4</v>
      </c>
      <c r="B4164" t="str">
        <f>HYPERLINK("http://www.corstruth.com.au/NSW/PNG2/CODD002_cs.png","CODD002_0.25m Bins")</f>
        <v>CODD002_0.25m Bins</v>
      </c>
      <c r="C4164" t="str">
        <f>HYPERLINK("http://www.corstruth.com.au/NSW/CSV/CODD002.csv","CODD002_CSV File 1m Bins")</f>
        <v>CODD002_CSV File 1m Bins</v>
      </c>
      <c r="D4164" t="s">
        <v>2410</v>
      </c>
      <c r="E4164" t="s">
        <v>2198</v>
      </c>
      <c r="F4164" t="str">
        <f>HYPERLINK("http://dwh.geoscience.nsw.gov.au/CI/warehouse/raw/drillhole?project=MIN&amp;site_id=230563","Geol Survey Link")</f>
        <v>Geol Survey Link</v>
      </c>
      <c r="H4164" t="s">
        <v>2411</v>
      </c>
      <c r="I4164">
        <v>-32.041200000000003</v>
      </c>
      <c r="J4164">
        <v>147.059</v>
      </c>
      <c r="K4164" t="str">
        <f>HYPERLINK("http://nvcl.geoscience.nsw.gov.au/NVCLDataServices/mosaic.html?datasetid=051fee4d-3f04-4b34-9229-fd56700d446","CODD002_Core Image")</f>
        <v>CODD002_Core Image</v>
      </c>
    </row>
    <row r="4165" spans="1:11" x14ac:dyDescent="0.25">
      <c r="A4165" t="str">
        <f>HYPERLINK("http://www.corstruth.com.au/NSW/CORC033_cs.png","CORC033_A4")</f>
        <v>CORC033_A4</v>
      </c>
      <c r="B4165" t="str">
        <f>HYPERLINK("http://www.corstruth.com.au/NSW/PNG2/CORC033_cs.png","CORC033_0.25m Bins")</f>
        <v>CORC033_0.25m Bins</v>
      </c>
      <c r="C4165" t="str">
        <f>HYPERLINK("http://www.corstruth.com.au/NSW/CSV/CORC033.csv","CORC033_CSV File 1m Bins")</f>
        <v>CORC033_CSV File 1m Bins</v>
      </c>
      <c r="D4165" t="s">
        <v>2412</v>
      </c>
      <c r="E4165" t="s">
        <v>2198</v>
      </c>
      <c r="F4165" t="str">
        <f>HYPERLINK("http://dwh.geoscience.nsw.gov.au/CI/warehouse/raw/drillhole?project=MIN&amp;site_id=230582","Geol Survey Link")</f>
        <v>Geol Survey Link</v>
      </c>
      <c r="H4165" t="s">
        <v>2411</v>
      </c>
      <c r="I4165">
        <v>-32.040700000000001</v>
      </c>
      <c r="J4165">
        <v>147.06100000000001</v>
      </c>
      <c r="K4165" t="str">
        <f>HYPERLINK("http://nvcl.geoscience.nsw.gov.au/NVCLDataServices/mosaic.html?datasetid=538c9c5b-693d-4737-84e9-86bddfedb03","CORC033_Core Image")</f>
        <v>CORC033_Core Image</v>
      </c>
    </row>
    <row r="4166" spans="1:11" x14ac:dyDescent="0.25">
      <c r="A4166" t="str">
        <f>HYPERLINK("http://www.corstruth.com.au/NSW/CM1_cs.png","CM1_A4")</f>
        <v>CM1_A4</v>
      </c>
      <c r="B4166" t="str">
        <f>HYPERLINK("http://www.corstruth.com.au/NSW/PNG2/CM1_cs.png","CM1_0.25m Bins")</f>
        <v>CM1_0.25m Bins</v>
      </c>
      <c r="C4166" t="str">
        <f>HYPERLINK("http://www.corstruth.com.au/NSW/CSV/CM1.csv","CM1_CSV File 1m Bins")</f>
        <v>CM1_CSV File 1m Bins</v>
      </c>
      <c r="D4166" t="s">
        <v>2413</v>
      </c>
      <c r="E4166" t="s">
        <v>2198</v>
      </c>
      <c r="F4166" t="str">
        <f>HYPERLINK("http://dwh.geoscience.nsw.gov.au/CI/warehouse/raw/drillhole?project=MIN&amp;site_id=010886","Geol Survey Link")</f>
        <v>Geol Survey Link</v>
      </c>
      <c r="H4166" t="s">
        <v>2414</v>
      </c>
      <c r="I4166">
        <v>-32.584699999999998</v>
      </c>
      <c r="J4166">
        <v>149.047</v>
      </c>
    </row>
    <row r="4167" spans="1:11" x14ac:dyDescent="0.25">
      <c r="A4167" t="str">
        <f>HYPERLINK("http://www.corstruth.com.au/NSW/CM4_cs.png","CM4_A4")</f>
        <v>CM4_A4</v>
      </c>
      <c r="B4167" t="str">
        <f>HYPERLINK("http://www.corstruth.com.au/NSW/PNG2/CM4_cs.png","CM4_0.25m Bins")</f>
        <v>CM4_0.25m Bins</v>
      </c>
      <c r="C4167" t="str">
        <f>HYPERLINK("http://www.corstruth.com.au/NSW/CSV/CM4.csv","CM4_CSV File 1m Bins")</f>
        <v>CM4_CSV File 1m Bins</v>
      </c>
      <c r="D4167" t="s">
        <v>2415</v>
      </c>
      <c r="E4167" t="s">
        <v>2198</v>
      </c>
      <c r="F4167" t="str">
        <f>HYPERLINK("http://dwh.geoscience.nsw.gov.au/CI/warehouse/raw/drillhole?project=MIN&amp;site_id=010889","Geol Survey Link")</f>
        <v>Geol Survey Link</v>
      </c>
      <c r="H4167" t="s">
        <v>2414</v>
      </c>
      <c r="I4167">
        <v>-32.587200000000003</v>
      </c>
      <c r="J4167">
        <v>149.04900000000001</v>
      </c>
    </row>
    <row r="4168" spans="1:11" x14ac:dyDescent="0.25">
      <c r="A4168" t="str">
        <f>HYPERLINK("http://www.corstruth.com.au/NSW/CW20_cs.png","CW20_A4")</f>
        <v>CW20_A4</v>
      </c>
      <c r="B4168" t="str">
        <f>HYPERLINK("http://www.corstruth.com.au/NSW/PNG2/CW20_cs.png","CW20_0.25m Bins")</f>
        <v>CW20_0.25m Bins</v>
      </c>
      <c r="C4168" t="str">
        <f>HYPERLINK("http://www.corstruth.com.au/NSW/CSV/CW20.csv","CW20_CSV File 1m Bins")</f>
        <v>CW20_CSV File 1m Bins</v>
      </c>
      <c r="D4168" t="s">
        <v>2416</v>
      </c>
      <c r="E4168" t="s">
        <v>2198</v>
      </c>
      <c r="F4168" t="str">
        <f>HYPERLINK("http://dwh.geoscience.nsw.gov.au/CI/warehouse/raw/drillhole?project=MIN&amp;site_id=010856","Geol Survey Link")</f>
        <v>Geol Survey Link</v>
      </c>
      <c r="H4168" t="s">
        <v>2414</v>
      </c>
      <c r="I4168">
        <v>-32.587499999999999</v>
      </c>
      <c r="J4168">
        <v>149.048</v>
      </c>
    </row>
    <row r="4169" spans="1:11" x14ac:dyDescent="0.25">
      <c r="A4169" t="str">
        <f>HYPERLINK("http://www.corstruth.com.au/NSW/DDHCW30_cs.png","DDHCW30_A4")</f>
        <v>DDHCW30_A4</v>
      </c>
      <c r="B4169" t="str">
        <f>HYPERLINK("http://www.corstruth.com.au/NSW/PNG2/DDHCW30_cs.png","DDHCW30_0.25m Bins")</f>
        <v>DDHCW30_0.25m Bins</v>
      </c>
      <c r="C4169" t="str">
        <f>HYPERLINK("http://www.corstruth.com.au/NSW/CSV/DDHCW30.csv","DDHCW30_CSV File 1m Bins")</f>
        <v>DDHCW30_CSV File 1m Bins</v>
      </c>
      <c r="D4169" t="s">
        <v>2417</v>
      </c>
      <c r="E4169" t="s">
        <v>2198</v>
      </c>
      <c r="F4169" t="str">
        <f>HYPERLINK("http://dwh.geoscience.nsw.gov.au/CI/warehouse/raw/drillhole?project=MIN&amp;site_id=010866","Geol Survey Link")</f>
        <v>Geol Survey Link</v>
      </c>
      <c r="H4169" t="s">
        <v>2414</v>
      </c>
      <c r="I4169">
        <v>-32.584899999999998</v>
      </c>
      <c r="J4169">
        <v>149.047</v>
      </c>
    </row>
    <row r="4170" spans="1:11" x14ac:dyDescent="0.25">
      <c r="A4170" t="str">
        <f>HYPERLINK("http://www.corstruth.com.au/NSW/COD001_cs.png","COD001_A4")</f>
        <v>COD001_A4</v>
      </c>
      <c r="B4170" t="str">
        <f>HYPERLINK("http://www.corstruth.com.au/NSW/PNG2/COD001_cs.png","COD001_0.25m Bins")</f>
        <v>COD001_0.25m Bins</v>
      </c>
      <c r="C4170" t="str">
        <f>HYPERLINK("http://www.corstruth.com.au/NSW/CSV/COD001.csv","COD001_CSV File 1m Bins")</f>
        <v>COD001_CSV File 1m Bins</v>
      </c>
      <c r="D4170" t="s">
        <v>2418</v>
      </c>
      <c r="E4170" t="s">
        <v>2198</v>
      </c>
      <c r="F4170" t="str">
        <f>HYPERLINK("http://dwh.geoscience.nsw.gov.au/CI/warehouse/raw/drillhole?project=MIN&amp;site_id=068202","Geol Survey Link")</f>
        <v>Geol Survey Link</v>
      </c>
      <c r="H4170" t="s">
        <v>2419</v>
      </c>
      <c r="I4170">
        <v>-33.048900000000003</v>
      </c>
      <c r="J4170">
        <v>147.12299999999999</v>
      </c>
      <c r="K4170" t="str">
        <f>HYPERLINK("http://nvcl.geoscience.nsw.gov.au/NVCLDataServices/mosaic.html?datasetid=dac18bcf-343c-4128-a6cd-90ad5f0bee0","COD001_Core Image")</f>
        <v>COD001_Core Image</v>
      </c>
    </row>
    <row r="4171" spans="1:11" x14ac:dyDescent="0.25">
      <c r="A4171" t="str">
        <f>HYPERLINK("http://www.corstruth.com.au/NSW/COD005_cs.png","COD005_A4")</f>
        <v>COD005_A4</v>
      </c>
      <c r="B4171" t="str">
        <f>HYPERLINK("http://www.corstruth.com.au/NSW/PNG2/COD005_cs.png","COD005_0.25m Bins")</f>
        <v>COD005_0.25m Bins</v>
      </c>
      <c r="C4171" t="str">
        <f>HYPERLINK("http://www.corstruth.com.au/NSW/CSV/COD005.csv","COD005_CSV File 1m Bins")</f>
        <v>COD005_CSV File 1m Bins</v>
      </c>
      <c r="D4171" t="s">
        <v>2420</v>
      </c>
      <c r="E4171" t="s">
        <v>2198</v>
      </c>
      <c r="F4171" t="str">
        <f>HYPERLINK("http://dwh.geoscience.nsw.gov.au/CI/warehouse/raw/drillhole?project=MIN&amp;site_id=068206","Geol Survey Link")</f>
        <v>Geol Survey Link</v>
      </c>
      <c r="H4171" t="s">
        <v>2419</v>
      </c>
      <c r="I4171">
        <v>-33.050699999999999</v>
      </c>
      <c r="J4171">
        <v>147.13</v>
      </c>
      <c r="K4171" t="str">
        <f>HYPERLINK("http://nvcl.geoscience.nsw.gov.au/NVCLDataServices/mosaic.html?datasetid=05b261a2-58cb-4833-ae65-f48aa8fe4fb","COD005_Core Image")</f>
        <v>COD005_Core Image</v>
      </c>
    </row>
    <row r="4172" spans="1:11" x14ac:dyDescent="0.25">
      <c r="A4172" t="str">
        <f>HYPERLINK("http://www.corstruth.com.au/NSW/COD006_cs.png","COD006_A4")</f>
        <v>COD006_A4</v>
      </c>
      <c r="B4172" t="str">
        <f>HYPERLINK("http://www.corstruth.com.au/NSW/PNG2/COD006_cs.png","COD006_0.25m Bins")</f>
        <v>COD006_0.25m Bins</v>
      </c>
      <c r="C4172" t="str">
        <f>HYPERLINK("http://www.corstruth.com.au/NSW/CSV/COD006.csv","COD006_CSV File 1m Bins")</f>
        <v>COD006_CSV File 1m Bins</v>
      </c>
      <c r="D4172" t="s">
        <v>2421</v>
      </c>
      <c r="E4172" t="s">
        <v>2198</v>
      </c>
      <c r="F4172" t="str">
        <f>HYPERLINK("http://dwh.geoscience.nsw.gov.au/CI/warehouse/raw/drillhole?project=MIN&amp;site_id=068207","Geol Survey Link")</f>
        <v>Geol Survey Link</v>
      </c>
      <c r="H4172" t="s">
        <v>2419</v>
      </c>
      <c r="I4172">
        <v>-33.050800000000002</v>
      </c>
      <c r="J4172">
        <v>147.13</v>
      </c>
      <c r="K4172" t="str">
        <f>HYPERLINK("http://nvcl.geoscience.nsw.gov.au/NVCLDataServices/mosaic.html?datasetid=dda3fb69-907f-4e94-8386-2b3edca9394","COD006_Core Image")</f>
        <v>COD006_Core Image</v>
      </c>
    </row>
    <row r="4173" spans="1:11" x14ac:dyDescent="0.25">
      <c r="A4173" t="str">
        <f>HYPERLINK("http://www.corstruth.com.au/NSW/TD9203_cs.png","TD9203_A4")</f>
        <v>TD9203_A4</v>
      </c>
      <c r="B4173" t="str">
        <f>HYPERLINK("http://www.corstruth.com.au/NSW/PNG2/TD9203_cs.png","TD9203_0.25m Bins")</f>
        <v>TD9203_0.25m Bins</v>
      </c>
      <c r="C4173" t="str">
        <f>HYPERLINK("http://www.corstruth.com.au/NSW/CSV/TD9203.csv","TD9203_CSV File 1m Bins")</f>
        <v>TD9203_CSV File 1m Bins</v>
      </c>
      <c r="D4173" t="s">
        <v>2422</v>
      </c>
      <c r="E4173" t="s">
        <v>2198</v>
      </c>
      <c r="F4173" t="str">
        <f>HYPERLINK("http://dwh.geoscience.nsw.gov.au/CI/warehouse/raw/drillhole?project=MIN&amp;site_id=001205","Geol Survey Link")</f>
        <v>Geol Survey Link</v>
      </c>
      <c r="H4173" t="s">
        <v>2423</v>
      </c>
      <c r="I4173">
        <v>-30.665800000000001</v>
      </c>
      <c r="J4173">
        <v>141.08699999999999</v>
      </c>
    </row>
    <row r="4174" spans="1:11" x14ac:dyDescent="0.25">
      <c r="A4174" t="str">
        <f>HYPERLINK("http://www.corstruth.com.au/NSW/TD9204_cs.png","TD9204_A4")</f>
        <v>TD9204_A4</v>
      </c>
      <c r="B4174" t="str">
        <f>HYPERLINK("http://www.corstruth.com.au/NSW/PNG2/TD9204_cs.png","TD9204_0.25m Bins")</f>
        <v>TD9204_0.25m Bins</v>
      </c>
      <c r="C4174" t="str">
        <f>HYPERLINK("http://www.corstruth.com.au/NSW/CSV/TD9204.csv","TD9204_CSV File 1m Bins")</f>
        <v>TD9204_CSV File 1m Bins</v>
      </c>
      <c r="D4174" t="s">
        <v>2422</v>
      </c>
      <c r="E4174" t="s">
        <v>2198</v>
      </c>
      <c r="F4174" t="str">
        <f>HYPERLINK("http://dwh.geoscience.nsw.gov.au/CI/warehouse/raw/drillhole?project=MIN&amp;site_id=001205","Geol Survey Link")</f>
        <v>Geol Survey Link</v>
      </c>
      <c r="H4174" t="s">
        <v>2424</v>
      </c>
      <c r="I4174">
        <v>-30.665800000000001</v>
      </c>
      <c r="J4174">
        <v>141.08699999999999</v>
      </c>
      <c r="K4174" t="str">
        <f>HYPERLINK("http://nvcl.geoscience.nsw.gov.au/NVCLDataServices/mosaic.html?datasetid=9d1e457a-d5c8-4da1-94cc-ef4699b8bf6","TD9204_Core Image")</f>
        <v>TD9204_Core Image</v>
      </c>
    </row>
    <row r="4175" spans="1:11" x14ac:dyDescent="0.25">
      <c r="A4175" t="str">
        <f>HYPERLINK("http://www.corstruth.com.au/NSW/CMRD58_cs.png","CMRD58_A4")</f>
        <v>CMRD58_A4</v>
      </c>
      <c r="B4175" t="str">
        <f>HYPERLINK("http://www.corstruth.com.au/NSW/PNG2/CMRD58_cs.png","CMRD58_0.25m Bins")</f>
        <v>CMRD58_0.25m Bins</v>
      </c>
      <c r="C4175" t="str">
        <f>HYPERLINK("http://www.corstruth.com.au/NSW/CSV/CMRD58.csv","CMRD58_CSV File 1m Bins")</f>
        <v>CMRD58_CSV File 1m Bins</v>
      </c>
      <c r="D4175" t="s">
        <v>2425</v>
      </c>
      <c r="E4175" t="s">
        <v>2198</v>
      </c>
      <c r="F4175" t="str">
        <f>HYPERLINK("http://dwh.geoscience.nsw.gov.au/CI/warehouse/raw/drillhole?project=MIN&amp;site_id=067911","Geol Survey Link")</f>
        <v>Geol Survey Link</v>
      </c>
      <c r="H4175" t="s">
        <v>2426</v>
      </c>
      <c r="I4175">
        <v>-29.950199999999999</v>
      </c>
      <c r="J4175">
        <v>151.02000000000001</v>
      </c>
      <c r="K4175" t="str">
        <f>HYPERLINK("http://nvcl.geoscience.nsw.gov.au/NVCLDataServices/mosaic.html?datasetid=bf5942af-4186-4b79-a208-49d69e85804","CMRD58_Core Image")</f>
        <v>CMRD58_Core Image</v>
      </c>
    </row>
    <row r="4176" spans="1:11" x14ac:dyDescent="0.25">
      <c r="A4176" t="str">
        <f>HYPERLINK("http://www.corstruth.com.au/NSW/CMRD59_cs.png","CMRD59_A4")</f>
        <v>CMRD59_A4</v>
      </c>
      <c r="B4176" t="str">
        <f>HYPERLINK("http://www.corstruth.com.au/NSW/PNG2/CMRD59_cs.png","CMRD59_0.25m Bins")</f>
        <v>CMRD59_0.25m Bins</v>
      </c>
      <c r="C4176" t="str">
        <f>HYPERLINK("http://www.corstruth.com.au/NSW/CSV/CMRD59.csv","CMRD59_CSV File 1m Bins")</f>
        <v>CMRD59_CSV File 1m Bins</v>
      </c>
      <c r="D4176" t="s">
        <v>2427</v>
      </c>
      <c r="E4176" t="s">
        <v>2198</v>
      </c>
      <c r="F4176" t="str">
        <f>HYPERLINK("http://dwh.geoscience.nsw.gov.au/CI/warehouse/raw/drillhole?project=MIN&amp;site_id=067912","Geol Survey Link")</f>
        <v>Geol Survey Link</v>
      </c>
      <c r="H4176" t="s">
        <v>2426</v>
      </c>
      <c r="I4176">
        <v>-29.9511</v>
      </c>
      <c r="J4176">
        <v>151.02000000000001</v>
      </c>
      <c r="K4176" t="str">
        <f>HYPERLINK("http://nvcl.geoscience.nsw.gov.au/NVCLDataServices/mosaic.html?datasetid=c4409ddc-184a-4c3a-961b-7053df3cb2e","CMRD59_Core Image")</f>
        <v>CMRD59_Core Image</v>
      </c>
    </row>
    <row r="4177" spans="1:11" x14ac:dyDescent="0.25">
      <c r="A4177" t="str">
        <f>HYPERLINK("http://www.corstruth.com.au/NSW/CMRD78_cs.png","CMRD78_A4")</f>
        <v>CMRD78_A4</v>
      </c>
      <c r="B4177" t="str">
        <f>HYPERLINK("http://www.corstruth.com.au/NSW/PNG2/CMRD78_cs.png","CMRD78_0.25m Bins")</f>
        <v>CMRD78_0.25m Bins</v>
      </c>
      <c r="C4177" t="str">
        <f>HYPERLINK("http://www.corstruth.com.au/NSW/CSV/CMRD78.csv","CMRD78_CSV File 1m Bins")</f>
        <v>CMRD78_CSV File 1m Bins</v>
      </c>
      <c r="D4177" t="s">
        <v>2428</v>
      </c>
      <c r="E4177" t="s">
        <v>2198</v>
      </c>
      <c r="F4177" t="str">
        <f>HYPERLINK("http://dwh.geoscience.nsw.gov.au/CI/warehouse/raw/drillhole?project=MIN&amp;site_id=067927","Geol Survey Link")</f>
        <v>Geol Survey Link</v>
      </c>
      <c r="H4177" t="s">
        <v>2426</v>
      </c>
      <c r="I4177">
        <v>-29.957799999999999</v>
      </c>
      <c r="J4177">
        <v>151.02600000000001</v>
      </c>
      <c r="K4177" t="str">
        <f>HYPERLINK("http://nvcl.geoscience.nsw.gov.au/NVCLDataServices/mosaic.html?datasetid=78bed102-5422-4199-8b7a-6dca7d43d36","CMRD78_Core Image")</f>
        <v>CMRD78_Core Image</v>
      </c>
    </row>
    <row r="4178" spans="1:11" x14ac:dyDescent="0.25">
      <c r="A4178" t="str">
        <f>HYPERLINK("http://www.corstruth.com.au/NSW/CMRD79_cs.png","CMRD79_A4")</f>
        <v>CMRD79_A4</v>
      </c>
      <c r="B4178" t="str">
        <f>HYPERLINK("http://www.corstruth.com.au/NSW/PNG2/CMRD79_cs.png","CMRD79_0.25m Bins")</f>
        <v>CMRD79_0.25m Bins</v>
      </c>
      <c r="C4178" t="str">
        <f>HYPERLINK("http://www.corstruth.com.au/NSW/CSV/CMRD79.csv","CMRD79_CSV File 1m Bins")</f>
        <v>CMRD79_CSV File 1m Bins</v>
      </c>
      <c r="D4178" t="s">
        <v>2429</v>
      </c>
      <c r="E4178" t="s">
        <v>2198</v>
      </c>
      <c r="F4178" t="str">
        <f>HYPERLINK("http://dwh.geoscience.nsw.gov.au/CI/warehouse/raw/drillhole?project=MIN&amp;site_id=067928","Geol Survey Link")</f>
        <v>Geol Survey Link</v>
      </c>
      <c r="H4178" t="s">
        <v>2426</v>
      </c>
      <c r="I4178">
        <v>-29.951699999999999</v>
      </c>
      <c r="J4178">
        <v>151.023</v>
      </c>
      <c r="K4178" t="str">
        <f>HYPERLINK("http://nvcl.geoscience.nsw.gov.au/NVCLDataServices/mosaic.html?datasetid=7bc10062-ead9-46c7-a59a-ab176a39480","CMRD79_Core Image")</f>
        <v>CMRD79_Core Image</v>
      </c>
    </row>
    <row r="4179" spans="1:11" x14ac:dyDescent="0.25">
      <c r="A4179" t="str">
        <f>HYPERLINK("http://www.corstruth.com.au/NSW/HOWELL1_cs.png","HOWELL1_A4")</f>
        <v>HOWELL1_A4</v>
      </c>
      <c r="B4179" t="str">
        <f>HYPERLINK("http://www.corstruth.com.au/NSW/PNG2/HOWELL1_cs.png","HOWELL1_0.25m Bins")</f>
        <v>HOWELL1_0.25m Bins</v>
      </c>
      <c r="C4179" t="str">
        <f>HYPERLINK("http://www.corstruth.com.au/NSW/CSV/HOWELL1.csv","HOWELL1_CSV File 1m Bins")</f>
        <v>HOWELL1_CSV File 1m Bins</v>
      </c>
      <c r="D4179" t="s">
        <v>2430</v>
      </c>
      <c r="E4179" t="s">
        <v>2198</v>
      </c>
      <c r="F4179" t="str">
        <f>HYPERLINK("http://dwh.geoscience.nsw.gov.au/CI/warehouse/raw/drillhole?project=MIN&amp;site_id=025242","Geol Survey Link")</f>
        <v>Geol Survey Link</v>
      </c>
      <c r="H4179" t="s">
        <v>2426</v>
      </c>
      <c r="I4179">
        <v>-29.9605</v>
      </c>
      <c r="J4179">
        <v>151.03100000000001</v>
      </c>
    </row>
    <row r="4180" spans="1:11" x14ac:dyDescent="0.25">
      <c r="A4180" t="str">
        <f>HYPERLINK("http://www.corstruth.com.au/NSW/HOWELL2_cs.png","HOWELL2_A4")</f>
        <v>HOWELL2_A4</v>
      </c>
      <c r="B4180" t="str">
        <f>HYPERLINK("http://www.corstruth.com.au/NSW/PNG2/HOWELL2_cs.png","HOWELL2_0.25m Bins")</f>
        <v>HOWELL2_0.25m Bins</v>
      </c>
      <c r="C4180" t="str">
        <f>HYPERLINK("http://www.corstruth.com.au/NSW/CSV/HOWELL2.csv","HOWELL2_CSV File 1m Bins")</f>
        <v>HOWELL2_CSV File 1m Bins</v>
      </c>
      <c r="D4180" t="s">
        <v>2431</v>
      </c>
      <c r="E4180" t="s">
        <v>2198</v>
      </c>
      <c r="F4180" t="str">
        <f>HYPERLINK("http://dwh.geoscience.nsw.gov.au/CI/warehouse/raw/drillhole?project=MIN&amp;site_id=025243","Geol Survey Link")</f>
        <v>Geol Survey Link</v>
      </c>
      <c r="H4180" t="s">
        <v>2426</v>
      </c>
      <c r="I4180">
        <v>-29.9602</v>
      </c>
      <c r="J4180">
        <v>151.03</v>
      </c>
      <c r="K4180" t="str">
        <f>HYPERLINK("http://nvcl.geoscience.nsw.gov.au/NVCLDataServices/mosaic.html?datasetid=f4146701-05af-442e-9b5f-099c0eda053","HOWELL2_Core Image")</f>
        <v>HOWELL2_Core Image</v>
      </c>
    </row>
    <row r="4181" spans="1:11" x14ac:dyDescent="0.25">
      <c r="A4181" t="str">
        <f>HYPERLINK("http://www.corstruth.com.au/NSW/HOWELL3_cs.png","HOWELL3_A4")</f>
        <v>HOWELL3_A4</v>
      </c>
      <c r="B4181" t="str">
        <f>HYPERLINK("http://www.corstruth.com.au/NSW/PNG2/HOWELL3_cs.png","HOWELL3_0.25m Bins")</f>
        <v>HOWELL3_0.25m Bins</v>
      </c>
      <c r="C4181" t="str">
        <f>HYPERLINK("http://www.corstruth.com.au/NSW/CSV/HOWELL3.csv","HOWELL3_CSV File 1m Bins")</f>
        <v>HOWELL3_CSV File 1m Bins</v>
      </c>
      <c r="D4181" t="s">
        <v>2432</v>
      </c>
      <c r="E4181" t="s">
        <v>2198</v>
      </c>
      <c r="F4181" t="str">
        <f>HYPERLINK("http://dwh.geoscience.nsw.gov.au/CI/warehouse/raw/drillhole?project=MIN&amp;site_id=025244","Geol Survey Link")</f>
        <v>Geol Survey Link</v>
      </c>
      <c r="H4181" t="s">
        <v>2426</v>
      </c>
      <c r="I4181">
        <v>-29.956099999999999</v>
      </c>
      <c r="J4181">
        <v>151.02500000000001</v>
      </c>
    </row>
    <row r="4182" spans="1:11" x14ac:dyDescent="0.25">
      <c r="A4182" t="str">
        <f>HYPERLINK("http://www.corstruth.com.au/NSW/HOWELL4_cs.png","HOWELL4_A4")</f>
        <v>HOWELL4_A4</v>
      </c>
      <c r="B4182" t="str">
        <f>HYPERLINK("http://www.corstruth.com.au/NSW/PNG2/HOWELL4_cs.png","HOWELL4_0.25m Bins")</f>
        <v>HOWELL4_0.25m Bins</v>
      </c>
      <c r="C4182" t="str">
        <f>HYPERLINK("http://www.corstruth.com.au/NSW/CSV/HOWELL4.csv","HOWELL4_CSV File 1m Bins")</f>
        <v>HOWELL4_CSV File 1m Bins</v>
      </c>
      <c r="D4182" t="s">
        <v>2433</v>
      </c>
      <c r="E4182" t="s">
        <v>2198</v>
      </c>
      <c r="F4182" t="str">
        <f>HYPERLINK("http://dwh.geoscience.nsw.gov.au/CI/warehouse/raw/drillhole?project=MIN&amp;site_id=025245","Geol Survey Link")</f>
        <v>Geol Survey Link</v>
      </c>
      <c r="H4182" t="s">
        <v>2426</v>
      </c>
      <c r="I4182">
        <v>-29.9589</v>
      </c>
      <c r="J4182">
        <v>151.02799999999999</v>
      </c>
      <c r="K4182" t="str">
        <f>HYPERLINK("http://nvcl.geoscience.nsw.gov.au/NVCLDataServices/mosaic.html?datasetid=266dfa43-dfda-4f57-b17c-ed38545e03b","HOWELL4_Core Image")</f>
        <v>HOWELL4_Core Image</v>
      </c>
    </row>
    <row r="4183" spans="1:11" x14ac:dyDescent="0.25">
      <c r="A4183" t="str">
        <f>HYPERLINK("http://www.corstruth.com.au/NSW/CRD001_cs.png","CRD001_A4")</f>
        <v>CRD001_A4</v>
      </c>
      <c r="D4183" t="s">
        <v>2434</v>
      </c>
      <c r="E4183" t="s">
        <v>2198</v>
      </c>
      <c r="F4183" t="str">
        <f>HYPERLINK("http://dwh.geoscience.nsw.gov.au/CI/warehouse/raw/drillhole?project=MIN&amp;site_id=017476","Geol Survey Link")</f>
        <v>Geol Survey Link</v>
      </c>
      <c r="H4183" t="s">
        <v>2435</v>
      </c>
      <c r="I4183">
        <v>-33.427100000000003</v>
      </c>
      <c r="J4183">
        <v>148.79400000000001</v>
      </c>
      <c r="K4183" t="str">
        <f>HYPERLINK("http://nvcl.geoscience.nsw.gov.au/NVCLDataServices/mosaic.html?datasetid=98622f4a-26f9-45f0-9453-2cb92c149d3","CRD001_Core Image")</f>
        <v>CRD001_Core Image</v>
      </c>
    </row>
    <row r="4184" spans="1:11" x14ac:dyDescent="0.25">
      <c r="A4184" t="str">
        <f>HYPERLINK("http://www.corstruth.com.au/NSW/CRD002_cs.png","CRD002_A4")</f>
        <v>CRD002_A4</v>
      </c>
      <c r="D4184" t="s">
        <v>2436</v>
      </c>
      <c r="E4184" t="s">
        <v>2198</v>
      </c>
      <c r="F4184" t="str">
        <f>HYPERLINK("http://dwh.geoscience.nsw.gov.au/CI/warehouse/raw/drillhole?project=MIN&amp;site_id=017477","Geol Survey Link")</f>
        <v>Geol Survey Link</v>
      </c>
      <c r="H4184" t="s">
        <v>2435</v>
      </c>
      <c r="I4184">
        <v>-33.428800000000003</v>
      </c>
      <c r="J4184">
        <v>148.79400000000001</v>
      </c>
      <c r="K4184" t="str">
        <f>HYPERLINK("http://nvcl.geoscience.nsw.gov.au/NVCLDataServices/mosaic.html?datasetid=78055347-4ce3-4285-9283-936055490e1","CRD002_Core Image")</f>
        <v>CRD002_Core Image</v>
      </c>
    </row>
    <row r="4185" spans="1:11" x14ac:dyDescent="0.25">
      <c r="A4185" t="str">
        <f>HYPERLINK("http://www.corstruth.com.au/NSW/CRD003_cs.png","CRD003_A4")</f>
        <v>CRD003_A4</v>
      </c>
      <c r="D4185" t="s">
        <v>2437</v>
      </c>
      <c r="E4185" t="s">
        <v>2198</v>
      </c>
      <c r="F4185" t="str">
        <f>HYPERLINK("http://dwh.geoscience.nsw.gov.au/CI/warehouse/raw/drillhole?project=MIN&amp;site_id=017484","Geol Survey Link")</f>
        <v>Geol Survey Link</v>
      </c>
      <c r="H4185" t="s">
        <v>2435</v>
      </c>
      <c r="I4185">
        <v>-33.4253</v>
      </c>
      <c r="J4185">
        <v>148.791</v>
      </c>
      <c r="K4185" t="str">
        <f>HYPERLINK("http://nvcl.geoscience.nsw.gov.au/NVCLDataServices/mosaic.html?datasetid=1bdab84d-eea6-40d3-8905-53b62558a7a","CRD003_Core Image")</f>
        <v>CRD003_Core Image</v>
      </c>
    </row>
    <row r="4186" spans="1:11" x14ac:dyDescent="0.25">
      <c r="A4186" t="str">
        <f>HYPERLINK("http://www.corstruth.com.au/NSW/DDHCB5_cs.png","DDHCB5_A4")</f>
        <v>DDHCB5_A4</v>
      </c>
      <c r="B4186" t="str">
        <f>HYPERLINK("http://www.corstruth.com.au/NSW/PNG2/DDHCB5_cs.png","DDHCB5_0.25m Bins")</f>
        <v>DDHCB5_0.25m Bins</v>
      </c>
      <c r="C4186" t="str">
        <f>HYPERLINK("http://www.corstruth.com.au/NSW/CSV/DDHCB5.csv","DDHCB5_CSV File 1m Bins")</f>
        <v>DDHCB5_CSV File 1m Bins</v>
      </c>
      <c r="D4186" t="s">
        <v>2438</v>
      </c>
      <c r="E4186" t="s">
        <v>2198</v>
      </c>
      <c r="F4186" t="str">
        <f>HYPERLINK("http://dwh.geoscience.nsw.gov.au/CI/warehouse/raw/drillhole?project=MIN&amp;site_id=002000","Geol Survey Link")</f>
        <v>Geol Survey Link</v>
      </c>
      <c r="H4186" t="s">
        <v>2439</v>
      </c>
      <c r="I4186">
        <v>-32.1325</v>
      </c>
      <c r="J4186">
        <v>141.50399999999999</v>
      </c>
      <c r="K4186" t="str">
        <f>HYPERLINK("http://nvcl.geoscience.nsw.gov.au/NVCLDataServices/mosaic.html?datasetid=3850bd24-e37b-4c45-8761-4a70a3f2b3a","DDHCB5_Core Image")</f>
        <v>DDHCB5_Core Image</v>
      </c>
    </row>
    <row r="4187" spans="1:11" x14ac:dyDescent="0.25">
      <c r="A4187" t="str">
        <f>HYPERLINK("http://www.corstruth.com.au/NSW/DDHCB6_cs.png","DDHCB6_A4")</f>
        <v>DDHCB6_A4</v>
      </c>
      <c r="B4187" t="str">
        <f>HYPERLINK("http://www.corstruth.com.au/NSW/PNG2/DDHCB6_cs.png","DDHCB6_0.25m Bins")</f>
        <v>DDHCB6_0.25m Bins</v>
      </c>
      <c r="C4187" t="str">
        <f>HYPERLINK("http://www.corstruth.com.au/NSW/CSV/DDHCB6.csv","DDHCB6_CSV File 1m Bins")</f>
        <v>DDHCB6_CSV File 1m Bins</v>
      </c>
      <c r="D4187" t="s">
        <v>2440</v>
      </c>
      <c r="E4187" t="s">
        <v>2198</v>
      </c>
      <c r="F4187" t="str">
        <f>HYPERLINK("http://dwh.geoscience.nsw.gov.au/CI/warehouse/raw/drillhole?project=Min&amp;site_id=002001","Geol Survey Link")</f>
        <v>Geol Survey Link</v>
      </c>
      <c r="H4187" t="s">
        <v>2439</v>
      </c>
      <c r="I4187">
        <v>-32.129899999999999</v>
      </c>
      <c r="J4187">
        <v>141.506</v>
      </c>
    </row>
    <row r="4188" spans="1:11" x14ac:dyDescent="0.25">
      <c r="A4188" t="str">
        <f>HYPERLINK("http://www.corstruth.com.au/NSW/NCH004_cs.png","NCH004_A4")</f>
        <v>NCH004_A4</v>
      </c>
      <c r="B4188" t="str">
        <f>HYPERLINK("http://www.corstruth.com.au/NSW/PNG2/NCH004_cs.png","NCH004_0.25m Bins")</f>
        <v>NCH004_0.25m Bins</v>
      </c>
      <c r="C4188" t="str">
        <f>HYPERLINK("http://www.corstruth.com.au/NSW/CSV/NCH004.csv","NCH004_CSV File 1m Bins")</f>
        <v>NCH004_CSV File 1m Bins</v>
      </c>
      <c r="D4188" t="s">
        <v>2441</v>
      </c>
      <c r="E4188" t="s">
        <v>2198</v>
      </c>
      <c r="F4188" t="str">
        <f>HYPERLINK("http://dwh.geoscience.nsw.gov.au/CI/warehouse/raw/drillhole?project=MIN&amp;site_id=032901","Geol Survey Link")</f>
        <v>Geol Survey Link</v>
      </c>
      <c r="H4188" t="s">
        <v>2442</v>
      </c>
      <c r="I4188">
        <v>-33.0548</v>
      </c>
      <c r="J4188">
        <v>148.86699999999999</v>
      </c>
      <c r="K4188" t="str">
        <f>HYPERLINK("http://nvcl.geoscience.nsw.gov.au/NVCLDataServices/mosaic.html?datasetid=aa302a84-a0e2-4b8e-b18d-33039fbb9cf","NCH004_Core Image")</f>
        <v>NCH004_Core Image</v>
      </c>
    </row>
    <row r="4189" spans="1:11" x14ac:dyDescent="0.25">
      <c r="A4189" t="str">
        <f>HYPERLINK("http://www.corstruth.com.au/NSW/NCH006_cs.png","NCH006_A4")</f>
        <v>NCH006_A4</v>
      </c>
      <c r="B4189" t="str">
        <f>HYPERLINK("http://www.corstruth.com.au/NSW/PNG2/NCH006_cs.png","NCH006_0.25m Bins")</f>
        <v>NCH006_0.25m Bins</v>
      </c>
      <c r="C4189" t="str">
        <f>HYPERLINK("http://www.corstruth.com.au/NSW/CSV/NCH006.csv","NCH006_CSV File 1m Bins")</f>
        <v>NCH006_CSV File 1m Bins</v>
      </c>
      <c r="D4189" t="s">
        <v>2443</v>
      </c>
      <c r="E4189" t="s">
        <v>2198</v>
      </c>
      <c r="F4189" t="str">
        <f>HYPERLINK("http://dwh.geoscience.nsw.gov.au/CI/warehouse/raw/drillhole?project=MIN&amp;site_id=032903","Geol Survey Link")</f>
        <v>Geol Survey Link</v>
      </c>
      <c r="H4189" t="s">
        <v>2442</v>
      </c>
      <c r="I4189">
        <v>-33.055100000000003</v>
      </c>
      <c r="J4189">
        <v>148.87299999999999</v>
      </c>
      <c r="K4189" t="str">
        <f>HYPERLINK("http://nvcl.geoscience.nsw.gov.au/NVCLDataServices/mosaic.html?datasetid=d4b1339c-0074-4326-b962-24dddb0bdb3","NCH006_Core Image")</f>
        <v>NCH006_Core Image</v>
      </c>
    </row>
    <row r="4190" spans="1:11" x14ac:dyDescent="0.25">
      <c r="A4190" t="str">
        <f>HYPERLINK("http://www.corstruth.com.au/NSW/NCH012_cs.png","NCH012_A4")</f>
        <v>NCH012_A4</v>
      </c>
      <c r="B4190" t="str">
        <f>HYPERLINK("http://www.corstruth.com.au/NSW/PNG2/NCH012_cs.png","NCH012_0.25m Bins")</f>
        <v>NCH012_0.25m Bins</v>
      </c>
      <c r="C4190" t="str">
        <f>HYPERLINK("http://www.corstruth.com.au/NSW/CSV/NCH012.csv","NCH012_CSV File 1m Bins")</f>
        <v>NCH012_CSV File 1m Bins</v>
      </c>
      <c r="D4190" t="s">
        <v>2444</v>
      </c>
      <c r="E4190" t="s">
        <v>2198</v>
      </c>
      <c r="F4190" t="str">
        <f>HYPERLINK("http://dwh.geoscience.nsw.gov.au/CI/warehouse/raw/drillhole?project=MIN&amp;site_id=032909","Geol Survey Link")</f>
        <v>Geol Survey Link</v>
      </c>
      <c r="H4190" t="s">
        <v>2442</v>
      </c>
      <c r="I4190">
        <v>-33.049399999999999</v>
      </c>
      <c r="J4190">
        <v>148.87200000000001</v>
      </c>
    </row>
    <row r="4191" spans="1:11" x14ac:dyDescent="0.25">
      <c r="A4191" t="str">
        <f>HYPERLINK("http://www.corstruth.com.au/NSW/Corella_E5_cs.png","Corella E5_A4")</f>
        <v>Corella E5_A4</v>
      </c>
      <c r="B4191" t="str">
        <f>HYPERLINK("http://www.corstruth.com.au/NSW/PNG2/Corella_E5_cs.png","Corella E5_0.25m Bins")</f>
        <v>Corella E5_0.25m Bins</v>
      </c>
      <c r="C4191" t="str">
        <f>HYPERLINK("http://www.corstruth.com.au/NSW/CSV/Corella_E5.csv","Corella E5_CSV File 1m Bins")</f>
        <v>Corella E5_CSV File 1m Bins</v>
      </c>
      <c r="D4191" t="s">
        <v>2445</v>
      </c>
      <c r="E4191" t="s">
        <v>2198</v>
      </c>
      <c r="F4191" t="str">
        <f>HYPERLINK("http://dwh.geoscience.nsw.gov.au/CI/warehouse/raw/drillhole?project=PET&amp;site_id=000208","Geol Survey Link")</f>
        <v>Geol Survey Link</v>
      </c>
      <c r="H4191" t="s">
        <v>2446</v>
      </c>
      <c r="I4191">
        <v>-28.832599999999999</v>
      </c>
      <c r="J4191">
        <v>153.02000000000001</v>
      </c>
      <c r="K4191" t="str">
        <f>HYPERLINK("http://nvcl.geoscience.nsw.gov.au/NVCLDataServices/mosaic.html?datasetid=29b1de36-8a1a-49b4-92f8-7dc524b007b","Corella E5_Core Image")</f>
        <v>Corella E5_Core Image</v>
      </c>
    </row>
    <row r="4192" spans="1:11" x14ac:dyDescent="0.25">
      <c r="A4192" t="str">
        <f>HYPERLINK("http://www.corstruth.com.au/NSW/DDH60_cs.png","DDH60_A4")</f>
        <v>DDH60_A4</v>
      </c>
      <c r="B4192" t="str">
        <f>HYPERLINK("http://www.corstruth.com.au/NSW/PNG2/DDH60_cs.png","DDH60_0.25m Bins")</f>
        <v>DDH60_0.25m Bins</v>
      </c>
      <c r="C4192" t="str">
        <f>HYPERLINK("http://www.corstruth.com.au/NSW/CSV/DDH60.csv","DDH60_CSV File 1m Bins")</f>
        <v>DDH60_CSV File 1m Bins</v>
      </c>
      <c r="D4192" t="s">
        <v>2447</v>
      </c>
      <c r="E4192" t="s">
        <v>2198</v>
      </c>
      <c r="F4192" t="str">
        <f>HYPERLINK("http://dwh.geoscience.nsw.gov.au/CI/warehouse/raw/drillhole?project=MIN&amp;site_id=010737","Geol Survey Link")</f>
        <v>Geol Survey Link</v>
      </c>
      <c r="H4192" t="s">
        <v>2448</v>
      </c>
      <c r="I4192">
        <v>-34.625500000000002</v>
      </c>
      <c r="J4192">
        <v>148.19999999999999</v>
      </c>
      <c r="K4192" t="str">
        <f>HYPERLINK("http://nvcl.geoscience.nsw.gov.au/NVCLDataServices/mosaic.html?datasetid=c6c7f340-ec90-46de-8eca-074bc7b16a1","DDH60_Core Image")</f>
        <v>DDH60_Core Image</v>
      </c>
    </row>
    <row r="4193" spans="1:11" x14ac:dyDescent="0.25">
      <c r="A4193" t="str">
        <f>HYPERLINK("http://www.corstruth.com.au/NSW/DDH85_cs.png","DDH85_A4")</f>
        <v>DDH85_A4</v>
      </c>
      <c r="B4193" t="str">
        <f>HYPERLINK("http://www.corstruth.com.au/NSW/PNG2/DDH85_cs.png","DDH85_0.25m Bins")</f>
        <v>DDH85_0.25m Bins</v>
      </c>
      <c r="C4193" t="str">
        <f>HYPERLINK("http://www.corstruth.com.au/NSW/CSV/DDH85.csv","DDH85_CSV File 1m Bins")</f>
        <v>DDH85_CSV File 1m Bins</v>
      </c>
      <c r="D4193" t="s">
        <v>2449</v>
      </c>
      <c r="E4193" t="s">
        <v>2198</v>
      </c>
      <c r="F4193" t="str">
        <f>HYPERLINK("http://dwh.geoscience.nsw.gov.au/CI/warehouse/raw/drillhole?project=MIN&amp;site_id=010762","Geol Survey Link")</f>
        <v>Geol Survey Link</v>
      </c>
      <c r="H4193" t="s">
        <v>2448</v>
      </c>
      <c r="I4193">
        <v>-34.627099999999999</v>
      </c>
      <c r="J4193">
        <v>148.19999999999999</v>
      </c>
      <c r="K4193" t="str">
        <f>HYPERLINK("http://nvcl.geoscience.nsw.gov.au/NVCLDataServices/mosaic.html?datasetid=193a6c5a-3fc1-489e-ae29-e76a57c7b1e","DDH85_Core Image")</f>
        <v>DDH85_Core Image</v>
      </c>
    </row>
    <row r="4194" spans="1:11" x14ac:dyDescent="0.25">
      <c r="A4194" t="str">
        <f>HYPERLINK("http://www.corstruth.com.au/NSW/DDHC10_cs.png","DDHC10_A4")</f>
        <v>DDHC10_A4</v>
      </c>
      <c r="B4194" t="str">
        <f>HYPERLINK("http://www.corstruth.com.au/NSW/PNG2/DDHC10_cs.png","DDHC10_0.25m Bins")</f>
        <v>DDHC10_0.25m Bins</v>
      </c>
      <c r="C4194" t="str">
        <f>HYPERLINK("http://www.corstruth.com.au/NSW/CSV/DDHC10.csv","DDHC10_CSV File 1m Bins")</f>
        <v>DDHC10_CSV File 1m Bins</v>
      </c>
      <c r="D4194" t="s">
        <v>2450</v>
      </c>
      <c r="E4194" t="s">
        <v>2198</v>
      </c>
      <c r="F4194" t="str">
        <f>HYPERLINK("http://dwh.geoscience.nsw.gov.au/CI/warehouse/raw/drillhole?project=MIN&amp;site_id=010684","Geol Survey Link")</f>
        <v>Geol Survey Link</v>
      </c>
      <c r="H4194" t="s">
        <v>2448</v>
      </c>
      <c r="I4194">
        <v>-34.625500000000002</v>
      </c>
      <c r="J4194">
        <v>148.19999999999999</v>
      </c>
      <c r="K4194" t="str">
        <f>HYPERLINK("http://nvcl.geoscience.nsw.gov.au/NVCLDataServices/mosaic.html?datasetid=186cbf41-603d-419e-991f-acd1324b152","DDHC10_Core Image")</f>
        <v>DDHC10_Core Image</v>
      </c>
    </row>
    <row r="4195" spans="1:11" x14ac:dyDescent="0.25">
      <c r="A4195" t="str">
        <f>HYPERLINK("http://www.corstruth.com.au/NSW/DDHC4_cs.png","DDHC4_A4")</f>
        <v>DDHC4_A4</v>
      </c>
      <c r="B4195" t="str">
        <f>HYPERLINK("http://www.corstruth.com.au/NSW/PNG2/DDHC4_cs.png","DDHC4_0.25m Bins")</f>
        <v>DDHC4_0.25m Bins</v>
      </c>
      <c r="C4195" t="str">
        <f>HYPERLINK("http://www.corstruth.com.au/NSW/CSV/DDHC4.csv","DDHC4_CSV File 1m Bins")</f>
        <v>DDHC4_CSV File 1m Bins</v>
      </c>
      <c r="D4195" t="s">
        <v>2451</v>
      </c>
      <c r="E4195" t="s">
        <v>2198</v>
      </c>
      <c r="F4195" t="str">
        <f>HYPERLINK("http://dwh.geoscience.nsw.gov.au/CI/warehouse/raw/drillhole?project=MIN&amp;site_id=010677","Geol Survey Link")</f>
        <v>Geol Survey Link</v>
      </c>
      <c r="H4195" t="s">
        <v>2448</v>
      </c>
      <c r="I4195">
        <v>-34.626399999999997</v>
      </c>
      <c r="J4195">
        <v>148.20099999999999</v>
      </c>
      <c r="K4195" t="str">
        <f>HYPERLINK("http://nvcl.geoscience.nsw.gov.au/NVCLDataServices/mosaic.html?datasetid=dca73425-da65-4089-ada5-6cf6367f995","DDHC4_Core Image")</f>
        <v>DDHC4_Core Image</v>
      </c>
    </row>
    <row r="4196" spans="1:11" x14ac:dyDescent="0.25">
      <c r="A4196" t="str">
        <f>HYPERLINK("http://www.corstruth.com.au/NSW/ACDCH001_cs.png","ACDCH001_A4")</f>
        <v>ACDCH001_A4</v>
      </c>
      <c r="B4196" t="str">
        <f>HYPERLINK("http://www.corstruth.com.au/NSW/PNG2/ACDCH001_cs.png","ACDCH001_0.25m Bins")</f>
        <v>ACDCH001_0.25m Bins</v>
      </c>
      <c r="C4196" t="str">
        <f>HYPERLINK("http://www.corstruth.com.au/NSW/CSV/ACDCH001.csv","ACDCH001_CSV File 1m Bins")</f>
        <v>ACDCH001_CSV File 1m Bins</v>
      </c>
      <c r="D4196" t="s">
        <v>2452</v>
      </c>
      <c r="E4196" t="s">
        <v>2198</v>
      </c>
      <c r="F4196" t="str">
        <f>HYPERLINK("http://dwh.geoscience.nsw.gov.au/CI/warehouse/raw/drillhole?project=MIN&amp;site_id=024552","Geol Survey Link")</f>
        <v>Geol Survey Link</v>
      </c>
      <c r="H4196" t="s">
        <v>2453</v>
      </c>
      <c r="I4196">
        <v>-33.660800000000002</v>
      </c>
      <c r="J4196">
        <v>147.745</v>
      </c>
      <c r="K4196" t="str">
        <f>HYPERLINK("http://nvcl.geoscience.nsw.gov.au/NVCLDataServices/mosaic.html?datasetid=b64a2f03-2651-48ff-8a97-b925d8a4b99","ACDCH001_Core Image")</f>
        <v>ACDCH001_Core Image</v>
      </c>
    </row>
    <row r="4197" spans="1:11" x14ac:dyDescent="0.25">
      <c r="A4197" t="str">
        <f>HYPERLINK("http://www.corstruth.com.au/NSW/CHD005_cs.png","CHD005_A4")</f>
        <v>CHD005_A4</v>
      </c>
      <c r="B4197" t="str">
        <f>HYPERLINK("http://www.corstruth.com.au/NSW/PNG2/CHD005_cs.png","CHD005_0.25m Bins")</f>
        <v>CHD005_0.25m Bins</v>
      </c>
      <c r="C4197" t="str">
        <f>HYPERLINK("http://www.corstruth.com.au/NSW/CSV/CHD005.csv","CHD005_CSV File 1m Bins")</f>
        <v>CHD005_CSV File 1m Bins</v>
      </c>
      <c r="D4197" t="s">
        <v>2454</v>
      </c>
      <c r="E4197" t="s">
        <v>2198</v>
      </c>
      <c r="F4197" t="str">
        <f>HYPERLINK("http://dwh.geoscience.nsw.gov.au/CI/warehouse/raw/drillhole?project=MIN&amp;site_id=019102","Geol Survey Link")</f>
        <v>Geol Survey Link</v>
      </c>
      <c r="H4197" t="s">
        <v>2453</v>
      </c>
      <c r="I4197">
        <v>-33.6708</v>
      </c>
      <c r="J4197">
        <v>147.751</v>
      </c>
      <c r="K4197" t="str">
        <f>HYPERLINK("http://nvcl.geoscience.nsw.gov.au/NVCLDataServices/mosaic.html?datasetid=4253e379-25a5-4e19-949f-9589ead2b52","CHD005_Core Image")</f>
        <v>CHD005_Core Image</v>
      </c>
    </row>
    <row r="4198" spans="1:11" x14ac:dyDescent="0.25">
      <c r="A4198" t="str">
        <f>HYPERLINK("http://www.corstruth.com.au/NSW/CHD006_cs.png","CHD006_A4")</f>
        <v>CHD006_A4</v>
      </c>
      <c r="B4198" t="str">
        <f>HYPERLINK("http://www.corstruth.com.au/NSW/PNG2/CHD006_cs.png","CHD006_0.25m Bins")</f>
        <v>CHD006_0.25m Bins</v>
      </c>
      <c r="C4198" t="str">
        <f>HYPERLINK("http://www.corstruth.com.au/NSW/CSV/CHD006.csv","CHD006_CSV File 1m Bins")</f>
        <v>CHD006_CSV File 1m Bins</v>
      </c>
      <c r="D4198" t="s">
        <v>2455</v>
      </c>
      <c r="E4198" t="s">
        <v>2198</v>
      </c>
      <c r="F4198" t="str">
        <f>HYPERLINK("http://dwh.geoscience.nsw.gov.au/CI/warehouse/raw/drillhole?project=MIN&amp;site_id=019103","Geol Survey Link")</f>
        <v>Geol Survey Link</v>
      </c>
      <c r="H4198" t="s">
        <v>2453</v>
      </c>
      <c r="I4198">
        <v>-33.647799999999997</v>
      </c>
      <c r="J4198">
        <v>147.73699999999999</v>
      </c>
      <c r="K4198" t="str">
        <f>HYPERLINK("http://nvcl.geoscience.nsw.gov.au/NVCLDataServices/mosaic.html?datasetid=339a7fba-155f-4c21-9077-d833b2a5e3e","CHD006_Core Image")</f>
        <v>CHD006_Core Image</v>
      </c>
    </row>
    <row r="4199" spans="1:11" x14ac:dyDescent="0.25">
      <c r="A4199" t="str">
        <f>HYPERLINK("http://www.corstruth.com.au/NSW/CHD007_cs.png","CHD007_A4")</f>
        <v>CHD007_A4</v>
      </c>
      <c r="B4199" t="str">
        <f>HYPERLINK("http://www.corstruth.com.au/NSW/PNG2/CHD007_cs.png","CHD007_0.25m Bins")</f>
        <v>CHD007_0.25m Bins</v>
      </c>
      <c r="C4199" t="str">
        <f>HYPERLINK("http://www.corstruth.com.au/NSW/CSV/CHD007.csv","CHD007_CSV File 1m Bins")</f>
        <v>CHD007_CSV File 1m Bins</v>
      </c>
      <c r="D4199" t="s">
        <v>2456</v>
      </c>
      <c r="E4199" t="s">
        <v>2198</v>
      </c>
      <c r="F4199" t="str">
        <f>HYPERLINK("http://dwh.geoscience.nsw.gov.au/CI/warehouse/raw/drillhole?project=MIN&amp;site_id=019104","Geol Survey Link")</f>
        <v>Geol Survey Link</v>
      </c>
      <c r="H4199" t="s">
        <v>2453</v>
      </c>
      <c r="I4199">
        <v>-33.660299999999999</v>
      </c>
      <c r="J4199">
        <v>147.751</v>
      </c>
      <c r="K4199" t="str">
        <f>HYPERLINK("http://nvcl.geoscience.nsw.gov.au/NVCLDataServices/mosaic.html?datasetid=aada9fea-ca3a-4892-8d13-9375805c4a0","CHD007_Core Image")</f>
        <v>CHD007_Core Image</v>
      </c>
    </row>
    <row r="4200" spans="1:11" x14ac:dyDescent="0.25">
      <c r="A4200" t="str">
        <f>HYPERLINK("http://www.corstruth.com.au/NSW/CHD008_cs.png","CHD008_A4")</f>
        <v>CHD008_A4</v>
      </c>
      <c r="B4200" t="str">
        <f>HYPERLINK("http://www.corstruth.com.au/NSW/PNG2/CHD008_cs.png","CHD008_0.25m Bins")</f>
        <v>CHD008_0.25m Bins</v>
      </c>
      <c r="C4200" t="str">
        <f>HYPERLINK("http://www.corstruth.com.au/NSW/CSV/CHD008.csv","CHD008_CSV File 1m Bins")</f>
        <v>CHD008_CSV File 1m Bins</v>
      </c>
      <c r="D4200" t="s">
        <v>2457</v>
      </c>
      <c r="E4200" t="s">
        <v>2198</v>
      </c>
      <c r="F4200" t="str">
        <f>HYPERLINK("http://dwh.geoscience.nsw.gov.au/CI/warehouse/raw/drillhole?project=MIN&amp;site_id=019105","Geol Survey Link")</f>
        <v>Geol Survey Link</v>
      </c>
      <c r="H4200" t="s">
        <v>2458</v>
      </c>
      <c r="I4200">
        <v>-33.668300000000002</v>
      </c>
      <c r="J4200">
        <v>147.75700000000001</v>
      </c>
      <c r="K4200" t="str">
        <f>HYPERLINK("http://nvcl.geoscience.nsw.gov.au/NVCLDataServices/mosaic.html?datasetid=f978374c-95e0-4e6d-a671-20e16d37119","CHD008_Core Image")</f>
        <v>CHD008_Core Image</v>
      </c>
    </row>
    <row r="4201" spans="1:11" x14ac:dyDescent="0.25">
      <c r="A4201" t="str">
        <f>HYPERLINK("http://www.corstruth.com.au/NSW/CHD009_cs.png","CHD009_A4")</f>
        <v>CHD009_A4</v>
      </c>
      <c r="B4201" t="str">
        <f>HYPERLINK("http://www.corstruth.com.au/NSW/PNG2/CHD009_cs.png","CHD009_0.25m Bins")</f>
        <v>CHD009_0.25m Bins</v>
      </c>
      <c r="C4201" t="str">
        <f>HYPERLINK("http://www.corstruth.com.au/NSW/CSV/CHD009.csv","CHD009_CSV File 1m Bins")</f>
        <v>CHD009_CSV File 1m Bins</v>
      </c>
      <c r="D4201" t="s">
        <v>2459</v>
      </c>
      <c r="E4201" t="s">
        <v>2198</v>
      </c>
      <c r="F4201" t="str">
        <f>HYPERLINK("http://dwh.geoscience.nsw.gov.au/CI/warehouse/raw/drillhole?project=MIN&amp;site_id=019106","Geol Survey Link")</f>
        <v>Geol Survey Link</v>
      </c>
      <c r="H4201" t="s">
        <v>2453</v>
      </c>
      <c r="I4201">
        <v>-33.668700000000001</v>
      </c>
      <c r="J4201">
        <v>147.756</v>
      </c>
      <c r="K4201" t="str">
        <f>HYPERLINK("http://nvcl.geoscience.nsw.gov.au/NVCLDataServices/mosaic.html?datasetid=693da904-0962-4e02-a09c-b976a534aa1","CHD009_Core Image")</f>
        <v>CHD009_Core Image</v>
      </c>
    </row>
    <row r="4202" spans="1:11" x14ac:dyDescent="0.25">
      <c r="A4202" t="str">
        <f>HYPERLINK("http://www.corstruth.com.au/NSW/DD96CH001_cs.png","DD96CH001_A4")</f>
        <v>DD96CH001_A4</v>
      </c>
      <c r="B4202" t="str">
        <f>HYPERLINK("http://www.corstruth.com.au/NSW/PNG2/DD96CH001_cs.png","DD96CH001_0.25m Bins")</f>
        <v>DD96CH001_0.25m Bins</v>
      </c>
      <c r="C4202" t="str">
        <f>HYPERLINK("http://www.corstruth.com.au/NSW/CSV/DD96CH001.csv","DD96CH001_CSV File 1m Bins")</f>
        <v>DD96CH001_CSV File 1m Bins</v>
      </c>
      <c r="D4202" t="s">
        <v>2460</v>
      </c>
      <c r="E4202" t="s">
        <v>2198</v>
      </c>
      <c r="F4202" t="str">
        <f>HYPERLINK("http://dwh.geoscience.nsw.gov.au/CI/warehouse/raw/drillhole?project=MIN&amp;site_id=019098","Geol Survey Link")</f>
        <v>Geol Survey Link</v>
      </c>
      <c r="H4202" t="s">
        <v>2453</v>
      </c>
      <c r="I4202">
        <v>-33.659999999999997</v>
      </c>
      <c r="J4202">
        <v>147.749</v>
      </c>
      <c r="K4202" t="str">
        <f>HYPERLINK("http://nvcl.geoscience.nsw.gov.au/NVCLDataServices/mosaic.html?datasetid=6c3e2eae-d578-4eef-9208-bfa294fbb6b","DD96CH001_Core Image")</f>
        <v>DD96CH001_Core Image</v>
      </c>
    </row>
    <row r="4203" spans="1:11" x14ac:dyDescent="0.25">
      <c r="A4203" t="str">
        <f>HYPERLINK("http://www.corstruth.com.au/NSW/DD96CH002_cs.png","DD96CH002_A4")</f>
        <v>DD96CH002_A4</v>
      </c>
      <c r="B4203" t="str">
        <f>HYPERLINK("http://www.corstruth.com.au/NSW/PNG2/DD96CH002_cs.png","DD96CH002_0.25m Bins")</f>
        <v>DD96CH002_0.25m Bins</v>
      </c>
      <c r="C4203" t="str">
        <f>HYPERLINK("http://www.corstruth.com.au/NSW/CSV/DD96CH002.csv","DD96CH002_CSV File 1m Bins")</f>
        <v>DD96CH002_CSV File 1m Bins</v>
      </c>
      <c r="D4203" t="s">
        <v>2461</v>
      </c>
      <c r="E4203" t="s">
        <v>2198</v>
      </c>
      <c r="F4203" t="str">
        <f>HYPERLINK("http://dwh.geoscience.nsw.gov.au/CI/warehouse/raw/drillhole?project=MIN&amp;site_id=019099","Geol Survey Link")</f>
        <v>Geol Survey Link</v>
      </c>
      <c r="H4203" t="s">
        <v>2453</v>
      </c>
      <c r="I4203">
        <v>-33.660499999999999</v>
      </c>
      <c r="J4203">
        <v>147.751</v>
      </c>
      <c r="K4203" t="str">
        <f>HYPERLINK("http://nvcl.geoscience.nsw.gov.au/NVCLDataServices/mosaic.html?datasetid=3fad0f1e-e3a2-4752-9e0d-eda7d438965","DD96CH002_Core Image")</f>
        <v>DD96CH002_Core Image</v>
      </c>
    </row>
    <row r="4204" spans="1:11" x14ac:dyDescent="0.25">
      <c r="A4204" t="str">
        <f>HYPERLINK("http://www.corstruth.com.au/NSW/CBMD001_cs.png","CBMD001_A4")</f>
        <v>CBMD001_A4</v>
      </c>
      <c r="B4204" t="str">
        <f>HYPERLINK("http://www.corstruth.com.au/NSW/PNG2/CBMD001_cs.png","CBMD001_0.25m Bins")</f>
        <v>CBMD001_0.25m Bins</v>
      </c>
      <c r="C4204" t="str">
        <f>HYPERLINK("http://www.corstruth.com.au/NSW/CSV/CBMD001.csv","CBMD001_CSV File 1m Bins")</f>
        <v>CBMD001_CSV File 1m Bins</v>
      </c>
      <c r="D4204" t="s">
        <v>2462</v>
      </c>
      <c r="E4204" t="s">
        <v>2198</v>
      </c>
      <c r="F4204" t="str">
        <f>HYPERLINK("http://dwh.geoscience.nsw.gov.au/CI/warehouse/raw/drillhole?project=MIN&amp;site_id=137100","Geol Survey Link")</f>
        <v>Geol Survey Link</v>
      </c>
      <c r="H4204" t="s">
        <v>2463</v>
      </c>
      <c r="I4204">
        <v>-33.902500000000003</v>
      </c>
      <c r="J4204">
        <v>147.642</v>
      </c>
      <c r="K4204" t="str">
        <f>HYPERLINK("http://nvcl.geoscience.nsw.gov.au/NVCLDataServices/mosaic.html?datasetid=0ec803cf-0d20-4cc5-934b-7a0794459ff","CBMD001_Core Image")</f>
        <v>CBMD001_Core Image</v>
      </c>
    </row>
    <row r="4205" spans="1:11" x14ac:dyDescent="0.25">
      <c r="A4205" t="str">
        <f>HYPERLINK("http://www.corstruth.com.au/NSW/CBMD002_cs.png","CBMD002_A4")</f>
        <v>CBMD002_A4</v>
      </c>
      <c r="B4205" t="str">
        <f>HYPERLINK("http://www.corstruth.com.au/NSW/PNG2/CBMD002_cs.png","CBMD002_0.25m Bins")</f>
        <v>CBMD002_0.25m Bins</v>
      </c>
      <c r="C4205" t="str">
        <f>HYPERLINK("http://www.corstruth.com.au/NSW/CSV/CBMD002.csv","CBMD002_CSV File 1m Bins")</f>
        <v>CBMD002_CSV File 1m Bins</v>
      </c>
      <c r="D4205" t="s">
        <v>2464</v>
      </c>
      <c r="E4205" t="s">
        <v>2198</v>
      </c>
      <c r="F4205" t="str">
        <f>HYPERLINK("http://dwh.geoscience.nsw.gov.au/CI/warehouse/raw/drillhole?project=MIN&amp;site_id=137101","Geol Survey Link")</f>
        <v>Geol Survey Link</v>
      </c>
      <c r="H4205" t="s">
        <v>2465</v>
      </c>
      <c r="I4205">
        <v>-33.897300000000001</v>
      </c>
      <c r="J4205">
        <v>147.64400000000001</v>
      </c>
      <c r="K4205" t="str">
        <f>HYPERLINK("http://nvcl.geoscience.nsw.gov.au/NVCLDataServices/mosaic.html?datasetid=706b65dc-11ee-423b-a923-83bc8a77076","CBMD002_Core Image")</f>
        <v>CBMD002_Core Image</v>
      </c>
    </row>
    <row r="4206" spans="1:11" x14ac:dyDescent="0.25">
      <c r="A4206" t="str">
        <f>HYPERLINK("http://www.corstruth.com.au/NSW/CBMD003_cs.png","CBMD003_A4")</f>
        <v>CBMD003_A4</v>
      </c>
      <c r="B4206" t="str">
        <f>HYPERLINK("http://www.corstruth.com.au/NSW/PNG2/CBMD003_cs.png","CBMD003_0.25m Bins")</f>
        <v>CBMD003_0.25m Bins</v>
      </c>
      <c r="C4206" t="str">
        <f>HYPERLINK("http://www.corstruth.com.au/NSW/CSV/CBMD003.csv","CBMD003_CSV File 1m Bins")</f>
        <v>CBMD003_CSV File 1m Bins</v>
      </c>
      <c r="D4206" t="s">
        <v>2466</v>
      </c>
      <c r="E4206" t="s">
        <v>2198</v>
      </c>
      <c r="F4206" t="str">
        <f>HYPERLINK("http://dwh.geoscience.nsw.gov.au/CI/warehouse/raw/drillhole?project=MIN&amp;site_id=137102","Geol Survey Link")</f>
        <v>Geol Survey Link</v>
      </c>
      <c r="H4206" t="s">
        <v>2467</v>
      </c>
      <c r="I4206">
        <v>-33.891800000000003</v>
      </c>
      <c r="J4206">
        <v>147.65</v>
      </c>
      <c r="K4206" t="str">
        <f>HYPERLINK("http://nvcl.geoscience.nsw.gov.au/NVCLDataServices/mosaic.html?datasetid=01985dcd-1173-450d-9668-9059a9161d8","CBMD003_Core Image")</f>
        <v>CBMD003_Core Image</v>
      </c>
    </row>
    <row r="4207" spans="1:11" x14ac:dyDescent="0.25">
      <c r="A4207" t="str">
        <f>HYPERLINK("http://www.corstruth.com.au/NSW/CBMD005_cs.png","CBMD005_A4")</f>
        <v>CBMD005_A4</v>
      </c>
      <c r="B4207" t="str">
        <f>HYPERLINK("http://www.corstruth.com.au/NSW/PNG2/CBMD005_cs.png","CBMD005_0.25m Bins")</f>
        <v>CBMD005_0.25m Bins</v>
      </c>
      <c r="C4207" t="str">
        <f>HYPERLINK("http://www.corstruth.com.au/NSW/CSV/CBMD005.csv","CBMD005_CSV File 1m Bins")</f>
        <v>CBMD005_CSV File 1m Bins</v>
      </c>
      <c r="D4207" t="s">
        <v>2468</v>
      </c>
      <c r="E4207" t="s">
        <v>2198</v>
      </c>
      <c r="F4207" t="str">
        <f>HYPERLINK("http://dwh.geoscience.nsw.gov.au/CI/warehouse/raw/drillhole?project=MIN&amp;site_id=137103","Geol Survey Link")</f>
        <v>Geol Survey Link</v>
      </c>
      <c r="H4207" t="s">
        <v>2469</v>
      </c>
      <c r="I4207">
        <v>-33.913400000000003</v>
      </c>
      <c r="J4207">
        <v>147.66300000000001</v>
      </c>
      <c r="K4207" t="str">
        <f>HYPERLINK("http://nvcl.geoscience.nsw.gov.au/NVCLDataServices/mosaic.html?datasetid=9b79d334-b76a-45d2-a1f8-f48fc5e5619","CBMD005_Core Image")</f>
        <v>CBMD005_Core Image</v>
      </c>
    </row>
    <row r="4208" spans="1:11" x14ac:dyDescent="0.25">
      <c r="A4208" t="str">
        <f>HYPERLINK("http://www.corstruth.com.au/NSW/CBMD006_cs.png","CBMD006_A4")</f>
        <v>CBMD006_A4</v>
      </c>
      <c r="B4208" t="str">
        <f>HYPERLINK("http://www.corstruth.com.au/NSW/PNG2/CBMD006_cs.png","CBMD006_0.25m Bins")</f>
        <v>CBMD006_0.25m Bins</v>
      </c>
      <c r="C4208" t="str">
        <f>HYPERLINK("http://www.corstruth.com.au/NSW/CSV/CBMD006.csv","CBMD006_CSV File 1m Bins")</f>
        <v>CBMD006_CSV File 1m Bins</v>
      </c>
      <c r="D4208" t="s">
        <v>2470</v>
      </c>
      <c r="E4208" t="s">
        <v>2198</v>
      </c>
      <c r="F4208" t="str">
        <f>HYPERLINK("http://dwh.geoscience.nsw.gov.au/CI/warehouse/raw/drillhole?project=MIN&amp;site_id=137104","Geol Survey Link")</f>
        <v>Geol Survey Link</v>
      </c>
      <c r="H4208" t="s">
        <v>2471</v>
      </c>
      <c r="I4208">
        <v>-33.876399999999997</v>
      </c>
      <c r="J4208">
        <v>147.666</v>
      </c>
      <c r="K4208" t="str">
        <f>HYPERLINK("http://nvcl.geoscience.nsw.gov.au/NVCLDataServices/mosaic.html?datasetid=e71d5ba0-9a5e-4ae3-877b-a6dec5ec89e","CBMD006_Core Image")</f>
        <v>CBMD006_Core Image</v>
      </c>
    </row>
    <row r="4209" spans="1:11" x14ac:dyDescent="0.25">
      <c r="A4209" t="str">
        <f>HYPERLINK("http://www.corstruth.com.au/NSW/CBMD007_cs.png","CBMD007_A4")</f>
        <v>CBMD007_A4</v>
      </c>
      <c r="B4209" t="str">
        <f>HYPERLINK("http://www.corstruth.com.au/NSW/PNG2/CBMD007_cs.png","CBMD007_0.25m Bins")</f>
        <v>CBMD007_0.25m Bins</v>
      </c>
      <c r="C4209" t="str">
        <f>HYPERLINK("http://www.corstruth.com.au/NSW/CSV/CBMD007.csv","CBMD007_CSV File 1m Bins")</f>
        <v>CBMD007_CSV File 1m Bins</v>
      </c>
      <c r="D4209" t="s">
        <v>2472</v>
      </c>
      <c r="E4209" t="s">
        <v>2198</v>
      </c>
      <c r="F4209" t="str">
        <f>HYPERLINK("http://dwh.geoscience.nsw.gov.au/CI/warehouse/raw/drillhole?project=MIN&amp;site_id=137105","Geol Survey Link")</f>
        <v>Geol Survey Link</v>
      </c>
      <c r="H4209" t="s">
        <v>2473</v>
      </c>
      <c r="I4209">
        <v>-33.873899999999999</v>
      </c>
      <c r="J4209">
        <v>147.65600000000001</v>
      </c>
      <c r="K4209" t="str">
        <f>HYPERLINK("http://nvcl.geoscience.nsw.gov.au/NVCLDataServices/mosaic.html?datasetid=d3f4d677-a7e7-46b3-864e-e112d0cb07a","CBMD007_Core Image")</f>
        <v>CBMD007_Core Image</v>
      </c>
    </row>
    <row r="4210" spans="1:11" x14ac:dyDescent="0.25">
      <c r="A4210" t="str">
        <f>HYPERLINK("http://www.corstruth.com.au/NSW/CBRCD01_cs.png","CBRCD01_A4")</f>
        <v>CBRCD01_A4</v>
      </c>
      <c r="D4210" t="s">
        <v>2474</v>
      </c>
      <c r="E4210" t="s">
        <v>2198</v>
      </c>
      <c r="F4210" t="str">
        <f>HYPERLINK("http://dwh.geoscience.nsw.gov.au/CI/warehouse/raw/drillhole?project=MIN&amp;site_id=024519","Geol Survey Link")</f>
        <v>Geol Survey Link</v>
      </c>
      <c r="H4210" t="s">
        <v>2475</v>
      </c>
      <c r="I4210">
        <v>-30.6434</v>
      </c>
      <c r="J4210">
        <v>144.38900000000001</v>
      </c>
      <c r="K4210" t="str">
        <f>HYPERLINK("http://nvcl.geoscience.nsw.gov.au/NVCLDataServices/mosaic.html?datasetid=545a42d0-8f18-4166-8e65-1dc13b62ee6","CBRCD01_Core Image")</f>
        <v>CBRCD01_Core Image</v>
      </c>
    </row>
    <row r="4211" spans="1:11" x14ac:dyDescent="0.25">
      <c r="A4211" t="str">
        <f>HYPERLINK("http://www.corstruth.com.au/NSW/DD05CH0044_cs.png","DD05CH0044_A4")</f>
        <v>DD05CH0044_A4</v>
      </c>
      <c r="B4211" t="str">
        <f>HYPERLINK("http://www.corstruth.com.au/NSW/PNG2/DD05CH0044_cs.png","DD05CH0044_0.25m Bins")</f>
        <v>DD05CH0044_0.25m Bins</v>
      </c>
      <c r="C4211" t="str">
        <f>HYPERLINK("http://www.corstruth.com.au/NSW/CSV/DD05CH0044.csv","DD05CH0044_CSV File 1m Bins")</f>
        <v>DD05CH0044_CSV File 1m Bins</v>
      </c>
      <c r="D4211" t="s">
        <v>2476</v>
      </c>
      <c r="E4211" t="s">
        <v>2198</v>
      </c>
      <c r="F4211" t="str">
        <f>HYPERLINK("http://dwh.geoscience.nsw.gov.au/CI/warehouse/raw/drillhole?project=MIN&amp;site_id=069150","Geol Survey Link")</f>
        <v>Geol Survey Link</v>
      </c>
      <c r="I4211">
        <v>-31.5229</v>
      </c>
      <c r="J4211">
        <v>145.86099999999999</v>
      </c>
      <c r="K4211" t="str">
        <f>HYPERLINK("http://nvcl.geoscience.nsw.gov.au/NVCLDataServices/mosaic.html?datasetid=9e5e1351-cacf-4bd5-9937-25ddb069c3f","DD05CH0044_Core Image")</f>
        <v>DD05CH0044_Core Image</v>
      </c>
    </row>
    <row r="4212" spans="1:11" x14ac:dyDescent="0.25">
      <c r="A4212" t="str">
        <f>HYPERLINK("http://www.corstruth.com.au/NSW/DD95NO3B_cs.png","DD95NO3B_A4")</f>
        <v>DD95NO3B_A4</v>
      </c>
      <c r="B4212" t="str">
        <f>HYPERLINK("http://www.corstruth.com.au/NSW/PNG2/DD95NO3B_cs.png","DD95NO3B_0.25m Bins")</f>
        <v>DD95NO3B_0.25m Bins</v>
      </c>
      <c r="C4212" t="str">
        <f>HYPERLINK("http://www.corstruth.com.au/NSW/CSV/DD95NO3B.csv","DD95NO3B_CSV File 1m Bins")</f>
        <v>DD95NO3B_CSV File 1m Bins</v>
      </c>
      <c r="D4212" t="s">
        <v>2477</v>
      </c>
      <c r="E4212" t="s">
        <v>2198</v>
      </c>
      <c r="F4212" t="str">
        <f>HYPERLINK("http://dwh.geoscience.nsw.gov.au/CI/warehouse/raw/drillhole?project=MIN&amp;site_id=031625","Geol Survey Link")</f>
        <v>Geol Survey Link</v>
      </c>
      <c r="I4212">
        <v>-31.538599999999999</v>
      </c>
      <c r="J4212">
        <v>145.86699999999999</v>
      </c>
      <c r="K4212" t="str">
        <f>HYPERLINK("http://nvcl.geoscience.nsw.gov.au/NVCLDataServices/mosaic.html?datasetid=fe27fb37-906d-44ec-8560-13b9ca0b208","DD95NO3B_Core Image")</f>
        <v>DD95NO3B_Core Image</v>
      </c>
    </row>
    <row r="4213" spans="1:11" x14ac:dyDescent="0.25">
      <c r="A4213" t="str">
        <f>HYPERLINK("http://www.corstruth.com.au/NSW/DD95NO3C_cs.png","DD95NO3C_A4")</f>
        <v>DD95NO3C_A4</v>
      </c>
      <c r="B4213" t="str">
        <f>HYPERLINK("http://www.corstruth.com.au/NSW/PNG2/DD95NO3C_cs.png","DD95NO3C_0.25m Bins")</f>
        <v>DD95NO3C_0.25m Bins</v>
      </c>
      <c r="C4213" t="str">
        <f>HYPERLINK("http://www.corstruth.com.au/NSW/CSV/DD95NO3C.csv","DD95NO3C_CSV File 1m Bins")</f>
        <v>DD95NO3C_CSV File 1m Bins</v>
      </c>
      <c r="D4213" t="s">
        <v>2478</v>
      </c>
      <c r="E4213" t="s">
        <v>2198</v>
      </c>
      <c r="F4213" t="str">
        <f>HYPERLINK("http://dwh.geoscience.nsw.gov.au/CI/warehouse/raw/drillhole?project=MIN&amp;site_id=031626","Geol Survey Link")</f>
        <v>Geol Survey Link</v>
      </c>
      <c r="I4213">
        <v>-31.538599999999999</v>
      </c>
      <c r="J4213">
        <v>145.86699999999999</v>
      </c>
      <c r="K4213" t="str">
        <f>HYPERLINK("http://nvcl.geoscience.nsw.gov.au/NVCLDataServices/mosaic.html?datasetid=0e24b13f-6a6c-4f55-b5b7-4bfd080227e","DD95NO3C_Core Image")</f>
        <v>DD95NO3C_Core Image</v>
      </c>
    </row>
    <row r="4214" spans="1:11" x14ac:dyDescent="0.25">
      <c r="A4214" t="str">
        <f>HYPERLINK("http://www.corstruth.com.au/NSW/DD96NO12A_cs.png","DD96NO12A_A4")</f>
        <v>DD96NO12A_A4</v>
      </c>
      <c r="B4214" t="str">
        <f>HYPERLINK("http://www.corstruth.com.au/NSW/PNG2/DD96NO12A_cs.png","DD96NO12A_0.25m Bins")</f>
        <v>DD96NO12A_0.25m Bins</v>
      </c>
      <c r="C4214" t="str">
        <f>HYPERLINK("http://www.corstruth.com.au/NSW/CSV/DD96NO12A.csv","DD96NO12A_CSV File 1m Bins")</f>
        <v>DD96NO12A_CSV File 1m Bins</v>
      </c>
      <c r="D4214" t="s">
        <v>2479</v>
      </c>
      <c r="E4214" t="s">
        <v>2198</v>
      </c>
      <c r="F4214" t="str">
        <f>HYPERLINK("http://dwh.geoscience.nsw.gov.au/CI/warehouse/raw/drillhole?project=MIN&amp;site_id=031649","Geol Survey Link")</f>
        <v>Geol Survey Link</v>
      </c>
      <c r="I4214">
        <v>-31.539000000000001</v>
      </c>
      <c r="J4214">
        <v>145.86600000000001</v>
      </c>
      <c r="K4214" t="str">
        <f>HYPERLINK("http://nvcl.geoscience.nsw.gov.au/NVCLDataServices/mosaic.html?datasetid=f34b73af-9930-492c-ad1b-f41bc9f6f09","DD96NO12A_Core Image")</f>
        <v>DD96NO12A_Core Image</v>
      </c>
    </row>
    <row r="4215" spans="1:11" x14ac:dyDescent="0.25">
      <c r="A4215" t="str">
        <f>HYPERLINK("http://www.corstruth.com.au/NSW/DD98PE5B_cs.png","DD98PE5B_A4")</f>
        <v>DD98PE5B_A4</v>
      </c>
      <c r="B4215" t="str">
        <f>HYPERLINK("http://www.corstruth.com.au/NSW/PNG2/DD98PE5B_cs.png","DD98PE5B_0.25m Bins")</f>
        <v>DD98PE5B_0.25m Bins</v>
      </c>
      <c r="C4215" t="str">
        <f>HYPERLINK("http://www.corstruth.com.au/NSW/CSV/DD98PE5B.csv","DD98PE5B_CSV File 1m Bins")</f>
        <v>DD98PE5B_CSV File 1m Bins</v>
      </c>
      <c r="D4215" t="s">
        <v>2480</v>
      </c>
      <c r="E4215" t="s">
        <v>2198</v>
      </c>
      <c r="F4215" t="str">
        <f>HYPERLINK("http://dwh.geoscience.nsw.gov.au/CI/warehouse/raw/drillhole?project=MIN&amp;site_id=031323","Geol Survey Link")</f>
        <v>Geol Survey Link</v>
      </c>
      <c r="I4215">
        <v>-31.574300000000001</v>
      </c>
      <c r="J4215">
        <v>145.87700000000001</v>
      </c>
      <c r="K4215" t="str">
        <f>HYPERLINK("http://nvcl.geoscience.nsw.gov.au/NVCLDataServices/mosaic.html?datasetid=01bdc2fb-516d-4109-9db3-cb8aecba49e","DD98PE5B_Core Image")</f>
        <v>DD98PE5B_Core Image</v>
      </c>
    </row>
    <row r="4216" spans="1:11" x14ac:dyDescent="0.25">
      <c r="A4216" t="str">
        <f>HYPERLINK("http://www.corstruth.com.au/NSW/JG97-1_cs.png","JG97-1_A4")</f>
        <v>JG97-1_A4</v>
      </c>
      <c r="D4216" t="s">
        <v>2481</v>
      </c>
      <c r="E4216" t="s">
        <v>2198</v>
      </c>
      <c r="F4216" t="str">
        <f>HYPERLINK("http://dwh.geoscience.nsw.gov.au/CI/warehouse/raw/drillhole?project=MIN&amp;site_id=017448","Geol Survey Link")</f>
        <v>Geol Survey Link</v>
      </c>
      <c r="H4216" t="s">
        <v>2482</v>
      </c>
      <c r="I4216">
        <v>-33.434699999999999</v>
      </c>
      <c r="J4216">
        <v>148.79300000000001</v>
      </c>
      <c r="K4216" t="str">
        <f>HYPERLINK("http://nvcl.geoscience.nsw.gov.au/NVCLDataServices/mosaic.html?datasetid=e685c02d-56cb-4b1a-8b4f-3e22779f888","JG97-1_Core Image")</f>
        <v>JG97-1_Core Image</v>
      </c>
    </row>
    <row r="4217" spans="1:11" x14ac:dyDescent="0.25">
      <c r="A4217" t="str">
        <f>HYPERLINK("http://www.corstruth.com.au/NSW/DD93GB32_cs.png","DD93GB32_A4")</f>
        <v>DD93GB32_A4</v>
      </c>
      <c r="B4217" t="str">
        <f>HYPERLINK("http://www.corstruth.com.au/NSW/PNG2/DD93GB32_cs.png","DD93GB32_0.25m Bins")</f>
        <v>DD93GB32_0.25m Bins</v>
      </c>
      <c r="C4217" t="str">
        <f>HYPERLINK("http://www.corstruth.com.au/NSW/CSV/DD93GB32.csv","DD93GB32_CSV File 1m Bins")</f>
        <v>DD93GB32_CSV File 1m Bins</v>
      </c>
      <c r="D4217" t="s">
        <v>2483</v>
      </c>
      <c r="E4217" t="s">
        <v>2198</v>
      </c>
      <c r="F4217" t="str">
        <f>HYPERLINK("http://dwh.geoscience.nsw.gov.au/CI/warehouse/raw/drillhole?project=MIN&amp;site_id=036005","Geol Survey Link")</f>
        <v>Geol Survey Link</v>
      </c>
      <c r="H4217" t="s">
        <v>2484</v>
      </c>
      <c r="I4217">
        <v>-34.326099999999997</v>
      </c>
      <c r="J4217">
        <v>147.47</v>
      </c>
      <c r="K4217" t="str">
        <f>HYPERLINK("http://nvcl.geoscience.nsw.gov.au/NVCLDataServices/mosaic.html?datasetid=72579901-e7db-4b6e-8bcc-e7b76138aa0","DD93GB32_Core Image")</f>
        <v>DD93GB32_Core Image</v>
      </c>
    </row>
    <row r="4218" spans="1:11" x14ac:dyDescent="0.25">
      <c r="A4218" t="str">
        <f>HYPERLINK("http://www.corstruth.com.au/NSW/DD93GB37_cs.png","DD93GB37_A4")</f>
        <v>DD93GB37_A4</v>
      </c>
      <c r="B4218" t="str">
        <f>HYPERLINK("http://www.corstruth.com.au/NSW/PNG2/DD93GB37_cs.png","DD93GB37_0.25m Bins")</f>
        <v>DD93GB37_0.25m Bins</v>
      </c>
      <c r="C4218" t="str">
        <f>HYPERLINK("http://www.corstruth.com.au/NSW/CSV/DD93GB37.csv","DD93GB37_CSV File 1m Bins")</f>
        <v>DD93GB37_CSV File 1m Bins</v>
      </c>
      <c r="D4218" t="s">
        <v>2485</v>
      </c>
      <c r="E4218" t="s">
        <v>2198</v>
      </c>
      <c r="F4218" t="str">
        <f>HYPERLINK("http://dwh.geoscience.nsw.gov.au/CI/warehouse/raw/drillhole?project=MIN&amp;site_id=036010","Geol Survey Link")</f>
        <v>Geol Survey Link</v>
      </c>
      <c r="H4218" t="s">
        <v>2484</v>
      </c>
      <c r="I4218">
        <v>-34.323799999999999</v>
      </c>
      <c r="J4218">
        <v>147.46700000000001</v>
      </c>
      <c r="K4218" t="str">
        <f>HYPERLINK("http://nvcl.geoscience.nsw.gov.au/NVCLDataServices/mosaic.html?datasetid=cdbe7a05-2887-42bc-b756-65f38e18237","DD93GB37_Core Image")</f>
        <v>DD93GB37_Core Image</v>
      </c>
    </row>
    <row r="4219" spans="1:11" x14ac:dyDescent="0.25">
      <c r="A4219" t="str">
        <f>HYPERLINK("http://www.corstruth.com.au/NSW/DD93GB45_cs.png","DD93GB45_A4")</f>
        <v>DD93GB45_A4</v>
      </c>
      <c r="B4219" t="str">
        <f>HYPERLINK("http://www.corstruth.com.au/NSW/PNG2/DD93GB45_cs.png","DD93GB45_0.25m Bins")</f>
        <v>DD93GB45_0.25m Bins</v>
      </c>
      <c r="C4219" t="str">
        <f>HYPERLINK("http://www.corstruth.com.au/NSW/CSV/DD93GB45.csv","DD93GB45_CSV File 1m Bins")</f>
        <v>DD93GB45_CSV File 1m Bins</v>
      </c>
      <c r="D4219" t="s">
        <v>2486</v>
      </c>
      <c r="E4219" t="s">
        <v>2198</v>
      </c>
      <c r="F4219" t="str">
        <f>HYPERLINK("http://dwh.geoscience.nsw.gov.au/CI/warehouse/raw/drillhole?project=MIN&amp;site_id=036018","Geol Survey Link")</f>
        <v>Geol Survey Link</v>
      </c>
      <c r="H4219" t="s">
        <v>2484</v>
      </c>
      <c r="I4219">
        <v>-34.324800000000003</v>
      </c>
      <c r="J4219">
        <v>147.46899999999999</v>
      </c>
      <c r="K4219" t="str">
        <f>HYPERLINK("http://nvcl.geoscience.nsw.gov.au/NVCLDataServices/mosaic.html?datasetid=2de257d3-144b-4ccd-b573-861fbde09b5","DD93GB45_Core Image")</f>
        <v>DD93GB45_Core Image</v>
      </c>
    </row>
    <row r="4220" spans="1:11" x14ac:dyDescent="0.25">
      <c r="A4220" t="str">
        <f>HYPERLINK("http://www.corstruth.com.au/NSW/DD94GB64_cs.png","DD94GB64_A4")</f>
        <v>DD94GB64_A4</v>
      </c>
      <c r="B4220" t="str">
        <f>HYPERLINK("http://www.corstruth.com.au/NSW/PNG2/DD94GB64_cs.png","DD94GB64_0.25m Bins")</f>
        <v>DD94GB64_0.25m Bins</v>
      </c>
      <c r="C4220" t="str">
        <f>HYPERLINK("http://www.corstruth.com.au/NSW/CSV/DD94GB64.csv","DD94GB64_CSV File 1m Bins")</f>
        <v>DD94GB64_CSV File 1m Bins</v>
      </c>
      <c r="D4220" t="s">
        <v>2487</v>
      </c>
      <c r="E4220" t="s">
        <v>2198</v>
      </c>
      <c r="F4220" t="str">
        <f>HYPERLINK("http://dwh.geoscience.nsw.gov.au/CI/warehouse/raw/drillhole?project=MIN&amp;site_id=036037","Geol Survey Link")</f>
        <v>Geol Survey Link</v>
      </c>
      <c r="H4220" t="s">
        <v>2484</v>
      </c>
      <c r="I4220">
        <v>-34.324800000000003</v>
      </c>
      <c r="J4220">
        <v>147.46899999999999</v>
      </c>
      <c r="K4220" t="str">
        <f>HYPERLINK("http://nvcl.geoscience.nsw.gov.au/NVCLDataServices/mosaic.html?datasetid=3d6b4621-32d0-44f9-96e6-c7e6b2c92a0","DD94GB64_Core Image")</f>
        <v>DD94GB64_Core Image</v>
      </c>
    </row>
    <row r="4221" spans="1:11" x14ac:dyDescent="0.25">
      <c r="A4221" t="str">
        <f>HYPERLINK("http://www.corstruth.com.au/NSW/DD81MR1_cs.png","DD81MR1_A4")</f>
        <v>DD81MR1_A4</v>
      </c>
      <c r="B4221" t="str">
        <f>HYPERLINK("http://www.corstruth.com.au/NSW/PNG2/DD81MR1_cs.png","DD81MR1_0.25m Bins")</f>
        <v>DD81MR1_0.25m Bins</v>
      </c>
      <c r="C4221" t="str">
        <f>HYPERLINK("http://www.corstruth.com.au/NSW/CSV/DD81MR1.csv","DD81MR1_CSV File 1m Bins")</f>
        <v>DD81MR1_CSV File 1m Bins</v>
      </c>
      <c r="D4221" t="s">
        <v>2488</v>
      </c>
      <c r="E4221" t="s">
        <v>2198</v>
      </c>
      <c r="F4221" t="str">
        <f>HYPERLINK("http://dwh.geoscience.nsw.gov.au/CI/warehouse/raw/drillhole?project=MIN&amp;site_id=001467","Geol Survey Link")</f>
        <v>Geol Survey Link</v>
      </c>
      <c r="H4221" t="s">
        <v>2489</v>
      </c>
      <c r="I4221">
        <v>-31.611699999999999</v>
      </c>
      <c r="J4221">
        <v>141.31899999999999</v>
      </c>
      <c r="K4221" t="str">
        <f>HYPERLINK("http://nvcl.geoscience.nsw.gov.au/NVCLDataServices/mosaic.html?datasetid=38dcabf4-6dc2-4bbd-bcff-ed337e10b01","DD81MR1_Core Image")</f>
        <v>DD81MR1_Core Image</v>
      </c>
    </row>
    <row r="4222" spans="1:11" x14ac:dyDescent="0.25">
      <c r="A4222" t="str">
        <f>HYPERLINK("http://www.corstruth.com.au/NSW/DRDD002_cs.png","DRDD002_A4")</f>
        <v>DRDD002_A4</v>
      </c>
      <c r="B4222" t="str">
        <f>HYPERLINK("http://www.corstruth.com.au/NSW/PNG2/DRDD002_cs.png","DRDD002_0.25m Bins")</f>
        <v>DRDD002_0.25m Bins</v>
      </c>
      <c r="C4222" t="str">
        <f>HYPERLINK("http://www.corstruth.com.au/NSW/CSV/DRDD002.csv","DRDD002_CSV File 1m Bins")</f>
        <v>DRDD002_CSV File 1m Bins</v>
      </c>
      <c r="D4222" t="s">
        <v>2490</v>
      </c>
      <c r="E4222" t="s">
        <v>2198</v>
      </c>
      <c r="F4222" t="str">
        <f>HYPERLINK("http://dwh.geoscience.nsw.gov.au/CI/warehouse/raw/drillhole?project=MIN&amp;site_id=250465","Geol Survey Link")</f>
        <v>Geol Survey Link</v>
      </c>
      <c r="H4222" t="s">
        <v>2491</v>
      </c>
      <c r="I4222">
        <v>-33.682400000000001</v>
      </c>
      <c r="J4222">
        <v>149.1</v>
      </c>
      <c r="K4222" t="str">
        <f>HYPERLINK("http://nvcl.geoscience.nsw.gov.au/NVCLDataServices/mosaic.html?datasetid=8d16d5e7-176d-47c6-a0ba-ee657e81958","DRDD002_Core Image")</f>
        <v>DRDD002_Core Image</v>
      </c>
    </row>
    <row r="4223" spans="1:11" x14ac:dyDescent="0.25">
      <c r="A4223" t="str">
        <f>HYPERLINK("http://www.corstruth.com.au/NSW/DRDD003_cs.png","DRDD003_A4")</f>
        <v>DRDD003_A4</v>
      </c>
      <c r="B4223" t="str">
        <f>HYPERLINK("http://www.corstruth.com.au/NSW/PNG2/DRDD003_cs.png","DRDD003_0.25m Bins")</f>
        <v>DRDD003_0.25m Bins</v>
      </c>
      <c r="C4223" t="str">
        <f>HYPERLINK("http://www.corstruth.com.au/NSW/CSV/DRDD003.csv","DRDD003_CSV File 1m Bins")</f>
        <v>DRDD003_CSV File 1m Bins</v>
      </c>
      <c r="D4223" t="s">
        <v>2492</v>
      </c>
      <c r="E4223" t="s">
        <v>2198</v>
      </c>
      <c r="F4223" t="str">
        <f>HYPERLINK("http://dwh.geoscience.nsw.gov.au/CI/warehouse/raw/drillhole?project=MIN&amp;site_id=250466","Geol Survey Link")</f>
        <v>Geol Survey Link</v>
      </c>
      <c r="H4223" t="s">
        <v>2491</v>
      </c>
      <c r="I4223">
        <v>-33.682600000000001</v>
      </c>
      <c r="J4223">
        <v>149.101</v>
      </c>
      <c r="K4223" t="str">
        <f>HYPERLINK("http://nvcl.geoscience.nsw.gov.au/NVCLDataServices/mosaic.html?datasetid=4a346ef0-21cd-46fb-8496-c24723930da","DRDD003_Core Image")</f>
        <v>DRDD003_Core Image</v>
      </c>
    </row>
    <row r="4224" spans="1:11" x14ac:dyDescent="0.25">
      <c r="A4224" t="str">
        <f>HYPERLINK("http://www.corstruth.com.au/NSW/DRDD011_cs.png","DRDD011_A4")</f>
        <v>DRDD011_A4</v>
      </c>
      <c r="B4224" t="str">
        <f>HYPERLINK("http://www.corstruth.com.au/NSW/PNG2/DRDD011_cs.png","DRDD011_0.25m Bins")</f>
        <v>DRDD011_0.25m Bins</v>
      </c>
      <c r="C4224" t="str">
        <f>HYPERLINK("http://www.corstruth.com.au/NSW/CSV/DRDD011.csv","DRDD011_CSV File 1m Bins")</f>
        <v>DRDD011_CSV File 1m Bins</v>
      </c>
      <c r="D4224" t="s">
        <v>2493</v>
      </c>
      <c r="E4224" t="s">
        <v>2198</v>
      </c>
      <c r="F4224" t="str">
        <f>HYPERLINK("http://dwh.geoscience.nsw.gov.au/CI/warehouse/raw/drillhole?project=MIN&amp;site_id=255727","Geol Survey Link")</f>
        <v>Geol Survey Link</v>
      </c>
      <c r="H4224" t="s">
        <v>2491</v>
      </c>
      <c r="I4224">
        <v>-33.681399999999996</v>
      </c>
      <c r="J4224">
        <v>149.101</v>
      </c>
      <c r="K4224" t="str">
        <f>HYPERLINK("http://nvcl.geoscience.nsw.gov.au/NVCLDataServices/mosaic.html?datasetid=4b9544eb-1030-48e2-9b44-b05530b98a8","DRDD011_Core Image")</f>
        <v>DRDD011_Core Image</v>
      </c>
    </row>
    <row r="4225" spans="1:11" x14ac:dyDescent="0.25">
      <c r="A4225" t="str">
        <f>HYPERLINK("http://www.corstruth.com.au/NSW/DRRCD006_cs.png","DRRCD006_A4")</f>
        <v>DRRCD006_A4</v>
      </c>
      <c r="B4225" t="str">
        <f>HYPERLINK("http://www.corstruth.com.au/NSW/PNG2/DRRCD006_cs.png","DRRCD006_0.25m Bins")</f>
        <v>DRRCD006_0.25m Bins</v>
      </c>
      <c r="C4225" t="str">
        <f>HYPERLINK("http://www.corstruth.com.au/NSW/CSV/DRRCD006.csv","DRRCD006_CSV File 1m Bins")</f>
        <v>DRRCD006_CSV File 1m Bins</v>
      </c>
      <c r="D4225" t="s">
        <v>2494</v>
      </c>
      <c r="E4225" t="s">
        <v>2198</v>
      </c>
      <c r="F4225" t="str">
        <f>HYPERLINK("http://dwh.geoscience.nsw.gov.au/CI/warehouse/raw/drillhole?project=MIN&amp;site_id=250485","Geol Survey Link")</f>
        <v>Geol Survey Link</v>
      </c>
      <c r="H4225" t="s">
        <v>2491</v>
      </c>
      <c r="I4225">
        <v>-33.683300000000003</v>
      </c>
      <c r="J4225">
        <v>149.102</v>
      </c>
      <c r="K4225" t="str">
        <f>HYPERLINK("http://nvcl.geoscience.nsw.gov.au/NVCLDataServices/mosaic.html?datasetid=cc44e65d-a4b4-41c9-b220-d1ec07bdb61","DRRCD006_Core Image")</f>
        <v>DRRCD006_Core Image</v>
      </c>
    </row>
    <row r="4226" spans="1:11" x14ac:dyDescent="0.25">
      <c r="A4226" t="str">
        <f>HYPERLINK("http://www.corstruth.com.au/NSW/D86_73_cs.png","D86_73_A4")</f>
        <v>D86_73_A4</v>
      </c>
      <c r="B4226" t="str">
        <f>HYPERLINK("http://www.corstruth.com.au/NSW/PNG2/D86_73_cs.png","D86_73_0.25m Bins")</f>
        <v>D86_73_0.25m Bins</v>
      </c>
      <c r="C4226" t="str">
        <f>HYPERLINK("http://www.corstruth.com.au/NSW/CSV/D86_73.csv","D86_73_CSV File 1m Bins")</f>
        <v>D86_73_CSV File 1m Bins</v>
      </c>
      <c r="D4226" t="s">
        <v>2495</v>
      </c>
      <c r="E4226" t="s">
        <v>2198</v>
      </c>
      <c r="F4226" t="str">
        <f>HYPERLINK("http://dwh.geoscience.nsw.gov.au/CI/warehouse/raw/drillhole?project=MIN&amp;site_id=009763","Geol Survey Link")</f>
        <v>Geol Survey Link</v>
      </c>
      <c r="H4226" t="s">
        <v>2496</v>
      </c>
      <c r="I4226">
        <v>-34.762599999999999</v>
      </c>
      <c r="J4226">
        <v>147.65199999999999</v>
      </c>
      <c r="K4226" t="str">
        <f>HYPERLINK("http://nvcl.geoscience.nsw.gov.au/NVCLDataServices/mosaic.html?datasetid=2b7a8681-73c3-4600-b743-e5b613ba2fa","D86_73_Core Image")</f>
        <v>D86_73_Core Image</v>
      </c>
    </row>
    <row r="4227" spans="1:11" x14ac:dyDescent="0.25">
      <c r="A4227" t="str">
        <f>HYPERLINK("http://www.corstruth.com.au/NSW/D86_79_cs.png","D86_79_A4")</f>
        <v>D86_79_A4</v>
      </c>
      <c r="B4227" t="str">
        <f>HYPERLINK("http://www.corstruth.com.au/NSW/PNG2/D86_79_cs.png","D86_79_0.25m Bins")</f>
        <v>D86_79_0.25m Bins</v>
      </c>
      <c r="C4227" t="str">
        <f>HYPERLINK("http://www.corstruth.com.au/NSW/CSV/D86_79.csv","D86_79_CSV File 1m Bins")</f>
        <v>D86_79_CSV File 1m Bins</v>
      </c>
      <c r="D4227" t="s">
        <v>2497</v>
      </c>
      <c r="E4227" t="s">
        <v>2198</v>
      </c>
      <c r="F4227" t="str">
        <f>HYPERLINK("http://dwh.geoscience.nsw.gov.au/CI/warehouse/raw/drillhole?project=MIN&amp;site_id=009769","Geol Survey Link")</f>
        <v>Geol Survey Link</v>
      </c>
      <c r="H4227" t="s">
        <v>2496</v>
      </c>
      <c r="I4227">
        <v>-34.761699999999998</v>
      </c>
      <c r="J4227">
        <v>147.65299999999999</v>
      </c>
      <c r="K4227" t="str">
        <f>HYPERLINK("http://nvcl.geoscience.nsw.gov.au/NVCLDataServices/mosaic.html?datasetid=f63cf381-3b4c-4263-b8ea-653a296fc48","D86_79_Core Image")</f>
        <v>D86_79_Core Image</v>
      </c>
    </row>
    <row r="4228" spans="1:11" x14ac:dyDescent="0.25">
      <c r="A4228" t="str">
        <f>HYPERLINK("http://www.corstruth.com.au/NSW/D86_81_cs.png","D86_81_A4")</f>
        <v>D86_81_A4</v>
      </c>
      <c r="B4228" t="str">
        <f>HYPERLINK("http://www.corstruth.com.au/NSW/PNG2/D86_81_cs.png","D86_81_0.25m Bins")</f>
        <v>D86_81_0.25m Bins</v>
      </c>
      <c r="C4228" t="str">
        <f>HYPERLINK("http://www.corstruth.com.au/NSW/CSV/D86_81.csv","D86_81_CSV File 1m Bins")</f>
        <v>D86_81_CSV File 1m Bins</v>
      </c>
      <c r="D4228" t="s">
        <v>2498</v>
      </c>
      <c r="E4228" t="s">
        <v>2198</v>
      </c>
      <c r="F4228" t="str">
        <f>HYPERLINK("http://dwh.geoscience.nsw.gov.au/CI/warehouse/raw/drillhole?project=MIN&amp;site_id=009771","Geol Survey Link")</f>
        <v>Geol Survey Link</v>
      </c>
      <c r="H4228" t="s">
        <v>2496</v>
      </c>
      <c r="I4228">
        <v>-34.761699999999998</v>
      </c>
      <c r="J4228">
        <v>147.65199999999999</v>
      </c>
      <c r="K4228" t="str">
        <f>HYPERLINK("http://nvcl.geoscience.nsw.gov.au/NVCLDataServices/mosaic.html?datasetid=7cd69400-061d-4f03-97e8-b6cfc8f34e7","D86_81_Core Image")</f>
        <v>D86_81_Core Image</v>
      </c>
    </row>
    <row r="4229" spans="1:11" x14ac:dyDescent="0.25">
      <c r="A4229" t="str">
        <f>HYPERLINK("http://www.corstruth.com.au/NSW/D87_89_cs.png","D87_89_A4")</f>
        <v>D87_89_A4</v>
      </c>
      <c r="B4229" t="str">
        <f>HYPERLINK("http://www.corstruth.com.au/NSW/PNG2/D87_89_cs.png","D87_89_0.25m Bins")</f>
        <v>D87_89_0.25m Bins</v>
      </c>
      <c r="C4229" t="str">
        <f>HYPERLINK("http://www.corstruth.com.au/NSW/CSV/D87_89.csv","D87_89_CSV File 1m Bins")</f>
        <v>D87_89_CSV File 1m Bins</v>
      </c>
      <c r="D4229" t="s">
        <v>2499</v>
      </c>
      <c r="E4229" t="s">
        <v>2198</v>
      </c>
      <c r="F4229" t="str">
        <f>HYPERLINK("http://dwh.geoscience.nsw.gov.au/CI/warehouse/raw/drillhole?project=MIN&amp;site_id=009779","Geol Survey Link")</f>
        <v>Geol Survey Link</v>
      </c>
      <c r="H4229" t="s">
        <v>2500</v>
      </c>
      <c r="I4229">
        <v>-34.761600000000001</v>
      </c>
      <c r="J4229">
        <v>147.65299999999999</v>
      </c>
      <c r="K4229" t="str">
        <f>HYPERLINK("http://nvcl.geoscience.nsw.gov.au/NVCLDataServices/mosaic.html?datasetid=c83cacc4-2665-40ca-9c8c-902c65b28a6","D87_89_Core Image")</f>
        <v>D87_89_Core Image</v>
      </c>
    </row>
    <row r="4230" spans="1:11" x14ac:dyDescent="0.25">
      <c r="A4230" t="str">
        <f>HYPERLINK("http://www.corstruth.com.au/NSW/NDD005_cs.png","NDD005_A4")</f>
        <v>NDD005_A4</v>
      </c>
      <c r="B4230" t="str">
        <f>HYPERLINK("http://www.corstruth.com.au/NSW/PNG2/NDD005_cs.png","NDD005_0.25m Bins")</f>
        <v>NDD005_0.25m Bins</v>
      </c>
      <c r="C4230" t="str">
        <f>HYPERLINK("http://www.corstruth.com.au/NSW/CSV/NDD005.csv","NDD005_CSV File 1m Bins")</f>
        <v>NDD005_CSV File 1m Bins</v>
      </c>
      <c r="D4230" t="s">
        <v>2501</v>
      </c>
      <c r="E4230" t="s">
        <v>2198</v>
      </c>
      <c r="F4230" t="str">
        <f>HYPERLINK("http://dwh.geoscience.nsw.gov.au/CI/warehouse/raw/drillhole?project=MIN&amp;site_id=229711","Geol Survey Link")</f>
        <v>Geol Survey Link</v>
      </c>
      <c r="H4230" t="s">
        <v>2500</v>
      </c>
      <c r="I4230">
        <v>-34.755499999999998</v>
      </c>
      <c r="J4230">
        <v>147.649</v>
      </c>
      <c r="K4230" t="str">
        <f>HYPERLINK("http://nvcl.geoscience.nsw.gov.au/NVCLDataServices/mosaic.html?datasetid=c8a8fdef-e7f6-4b2b-8c2b-8344fe3d5cc","NDD005_Core Image")</f>
        <v>NDD005_Core Image</v>
      </c>
    </row>
    <row r="4231" spans="1:11" x14ac:dyDescent="0.25">
      <c r="A4231" t="str">
        <f>HYPERLINK("http://www.corstruth.com.au/NSW/DF2_cs.png","DF2_A4")</f>
        <v>DF2_A4</v>
      </c>
      <c r="D4231" t="s">
        <v>2502</v>
      </c>
      <c r="E4231" t="s">
        <v>2198</v>
      </c>
      <c r="F4231" t="str">
        <f>HYPERLINK("http://dwh.geoscience.nsw.gov.au/CI/warehouse/raw/drillhole?project=MIN&amp;site_id=001776","Geol Survey Link")</f>
        <v>Geol Survey Link</v>
      </c>
      <c r="H4231" t="s">
        <v>2503</v>
      </c>
      <c r="I4231">
        <v>-31.584599999999998</v>
      </c>
      <c r="J4231">
        <v>141.083</v>
      </c>
      <c r="K4231" t="str">
        <f>HYPERLINK("http://nvcl.geoscience.nsw.gov.au/NVCLDataServices/mosaic.html?datasetid=09f58e9f-9a5e-4b93-8eca-e7d275c75aa","DF2_Core Image")</f>
        <v>DF2_Core Image</v>
      </c>
    </row>
    <row r="4232" spans="1:11" x14ac:dyDescent="0.25">
      <c r="A4232" t="str">
        <f>HYPERLINK("http://www.corstruth.com.au/NSW/DF8_cs.png","DF8_A4")</f>
        <v>DF8_A4</v>
      </c>
      <c r="D4232" t="s">
        <v>2504</v>
      </c>
      <c r="E4232" t="s">
        <v>2198</v>
      </c>
      <c r="F4232" t="str">
        <f>HYPERLINK("http://dwh.geoscience.nsw.gov.au/CI/warehouse/raw/drillhole?project=MIN&amp;site_id=001782","Geol Survey Link")</f>
        <v>Geol Survey Link</v>
      </c>
      <c r="H4232" t="s">
        <v>2503</v>
      </c>
      <c r="I4232">
        <v>-31.564900000000002</v>
      </c>
      <c r="J4232">
        <v>141.10400000000001</v>
      </c>
      <c r="K4232" t="str">
        <f>HYPERLINK("http://nvcl.geoscience.nsw.gov.au/NVCLDataServices/mosaic.html?datasetid=8233c7ae-28e7-49bc-a02c-e34f2278ce1","DF8_Core Image")</f>
        <v>DF8_Core Image</v>
      </c>
    </row>
    <row r="4233" spans="1:11" x14ac:dyDescent="0.25">
      <c r="A4233" t="str">
        <f>HYPERLINK("http://www.corstruth.com.au/NSW/DR11_cs.png","DR11_A4")</f>
        <v>DR11_A4</v>
      </c>
      <c r="D4233" t="s">
        <v>2505</v>
      </c>
      <c r="E4233" t="s">
        <v>2198</v>
      </c>
      <c r="F4233" t="str">
        <f>HYPERLINK("http://dwh.geoscience.nsw.gov.au/CI/warehouse/raw/drillhole?project=MIN&amp;site_id=033910","Geol Survey Link")</f>
        <v>Geol Survey Link</v>
      </c>
      <c r="H4233" t="s">
        <v>2506</v>
      </c>
      <c r="I4233">
        <v>-30.348600000000001</v>
      </c>
      <c r="J4233">
        <v>146.31800000000001</v>
      </c>
      <c r="K4233" t="str">
        <f>HYPERLINK("http://nvcl.geoscience.nsw.gov.au/NVCLDataServices/mosaic.html?datasetid=fc9c65c2-db35-4aca-ad25-12918b09c7e","DR11_Core Image")</f>
        <v>DR11_Core Image</v>
      </c>
    </row>
    <row r="4234" spans="1:11" x14ac:dyDescent="0.25">
      <c r="A4234" t="str">
        <f>HYPERLINK("http://www.corstruth.com.au/NSW/DR12A_cs.png","DR12A_A4")</f>
        <v>DR12A_A4</v>
      </c>
      <c r="D4234" t="s">
        <v>2507</v>
      </c>
      <c r="E4234" t="s">
        <v>2198</v>
      </c>
      <c r="F4234" t="str">
        <f>HYPERLINK("http://dwh.geoscience.nsw.gov.au/CI/warehouse/raw/drillhole?project=MIN&amp;site_id=033911","Geol Survey Link")</f>
        <v>Geol Survey Link</v>
      </c>
      <c r="H4234" t="s">
        <v>2506</v>
      </c>
      <c r="I4234">
        <v>-30.352900000000002</v>
      </c>
      <c r="J4234">
        <v>146.322</v>
      </c>
      <c r="K4234" t="str">
        <f>HYPERLINK("http://nvcl.geoscience.nsw.gov.au/NVCLDataServices/mosaic.html?datasetid=47b71414-cac0-4cd9-8a6b-e19c7963fd2","DR12A_Core Image")</f>
        <v>DR12A_Core Image</v>
      </c>
    </row>
    <row r="4235" spans="1:11" x14ac:dyDescent="0.25">
      <c r="A4235" t="str">
        <f>HYPERLINK("http://www.corstruth.com.au/NSW/DR20_cs.png","DR20_A4")</f>
        <v>DR20_A4</v>
      </c>
      <c r="D4235" t="s">
        <v>2508</v>
      </c>
      <c r="E4235" t="s">
        <v>2198</v>
      </c>
      <c r="F4235" t="str">
        <f>HYPERLINK("http://dwh.geoscience.nsw.gov.au/CI/warehouse/raw/drillhole?project=MIN&amp;site_id=033921","Geol Survey Link")</f>
        <v>Geol Survey Link</v>
      </c>
      <c r="H4235" t="s">
        <v>2509</v>
      </c>
      <c r="I4235">
        <v>-30.355</v>
      </c>
      <c r="J4235">
        <v>146.31399999999999</v>
      </c>
      <c r="K4235" t="str">
        <f>HYPERLINK("http://nvcl.geoscience.nsw.gov.au/NVCLDataServices/mosaic.html?datasetid=892f3dd6-5b33-43fd-b8e3-149d8512140","DR20_Core Image")</f>
        <v>DR20_Core Image</v>
      </c>
    </row>
    <row r="4236" spans="1:11" x14ac:dyDescent="0.25">
      <c r="A4236" t="str">
        <f>HYPERLINK("http://www.corstruth.com.au/NSW/DR25_cs.png","DR25_A4")</f>
        <v>DR25_A4</v>
      </c>
      <c r="D4236" t="s">
        <v>2510</v>
      </c>
      <c r="E4236" t="s">
        <v>2198</v>
      </c>
      <c r="F4236" t="str">
        <f>HYPERLINK("http://dwh.geoscience.nsw.gov.au/CI/warehouse/raw/drillhole?project=MIN&amp;site_id=033926","Geol Survey Link")</f>
        <v>Geol Survey Link</v>
      </c>
      <c r="H4236" t="s">
        <v>2509</v>
      </c>
      <c r="I4236">
        <v>-30.357099999999999</v>
      </c>
      <c r="J4236">
        <v>146.31100000000001</v>
      </c>
      <c r="K4236" t="str">
        <f>HYPERLINK("http://nvcl.geoscience.nsw.gov.au/NVCLDataServices/mosaic.html?datasetid=f6b75fc2-6b0b-4e21-942b-dea686b420a","DR25_Core Image")</f>
        <v>DR25_Core Image</v>
      </c>
    </row>
    <row r="4237" spans="1:11" x14ac:dyDescent="0.25">
      <c r="A4237" t="str">
        <f>HYPERLINK("http://www.corstruth.com.au/NSW/DR001_cs.png","DR001_A4")</f>
        <v>DR001_A4</v>
      </c>
      <c r="B4237" t="str">
        <f>HYPERLINK("http://www.corstruth.com.au/NSW/PNG2/DR001_cs.png","DR001_0.25m Bins")</f>
        <v>DR001_0.25m Bins</v>
      </c>
      <c r="C4237" t="str">
        <f>HYPERLINK("http://www.corstruth.com.au/NSW/CSV/DR001.csv","DR001_CSV File 1m Bins")</f>
        <v>DR001_CSV File 1m Bins</v>
      </c>
      <c r="D4237" t="s">
        <v>2511</v>
      </c>
      <c r="E4237" t="s">
        <v>2198</v>
      </c>
      <c r="F4237" t="str">
        <f>HYPERLINK("http://dwh.geoscience.nsw.gov.au/CI/warehouse/raw/drillhole?project=MIN&amp;site_id=019692","Geol Survey Link")</f>
        <v>Geol Survey Link</v>
      </c>
      <c r="H4237" t="s">
        <v>2512</v>
      </c>
      <c r="I4237">
        <v>-33.462000000000003</v>
      </c>
      <c r="J4237">
        <v>147.369</v>
      </c>
      <c r="K4237" t="str">
        <f>HYPERLINK("http://nvcl.geoscience.nsw.gov.au/NVCLDataServices/mosaic.html?datasetid=2cddfd2d-2a29-4489-bff7-30c593f679b","DR001_Core Image")</f>
        <v>DR001_Core Image</v>
      </c>
    </row>
    <row r="4238" spans="1:11" x14ac:dyDescent="0.25">
      <c r="A4238" t="str">
        <f>HYPERLINK("http://www.corstruth.com.au/NSW/DR037_cs.png","DR037_A4")</f>
        <v>DR037_A4</v>
      </c>
      <c r="B4238" t="str">
        <f>HYPERLINK("http://www.corstruth.com.au/NSW/PNG2/DR037_cs.png","DR037_0.25m Bins")</f>
        <v>DR037_0.25m Bins</v>
      </c>
      <c r="C4238" t="str">
        <f>HYPERLINK("http://www.corstruth.com.au/NSW/CSV/DR037.csv","DR037_CSV File 1m Bins")</f>
        <v>DR037_CSV File 1m Bins</v>
      </c>
      <c r="D4238" t="s">
        <v>2513</v>
      </c>
      <c r="E4238" t="s">
        <v>2198</v>
      </c>
      <c r="F4238" t="str">
        <f>HYPERLINK("http://dwh.geoscience.nsw.gov.au/CI/warehouse/raw/drillhole?project=MIN&amp;site_id=019728","Geol Survey Link")</f>
        <v>Geol Survey Link</v>
      </c>
      <c r="H4238" t="s">
        <v>2514</v>
      </c>
      <c r="I4238">
        <v>-33.471200000000003</v>
      </c>
      <c r="J4238">
        <v>147.374</v>
      </c>
      <c r="K4238" t="str">
        <f>HYPERLINK("http://nvcl.geoscience.nsw.gov.au/NVCLDataServices/mosaic.html?datasetid=30bc4b75-944c-48de-8e62-304638e1a9d","DR037_Core Image")</f>
        <v>DR037_Core Image</v>
      </c>
    </row>
    <row r="4239" spans="1:11" x14ac:dyDescent="0.25">
      <c r="A4239" t="str">
        <f>HYPERLINK("http://www.corstruth.com.au/NSW/DR046_cs.png","DR046_A4")</f>
        <v>DR046_A4</v>
      </c>
      <c r="B4239" t="str">
        <f>HYPERLINK("http://www.corstruth.com.au/NSW/PNG2/DR046_cs.png","DR046_0.25m Bins")</f>
        <v>DR046_0.25m Bins</v>
      </c>
      <c r="C4239" t="str">
        <f>HYPERLINK("http://www.corstruth.com.au/NSW/CSV/DR046.csv","DR046_CSV File 1m Bins")</f>
        <v>DR046_CSV File 1m Bins</v>
      </c>
      <c r="D4239" t="s">
        <v>2515</v>
      </c>
      <c r="E4239" t="s">
        <v>2198</v>
      </c>
      <c r="F4239" t="str">
        <f>HYPERLINK("http://dwh.geoscience.nsw.gov.au/CI/warehouse/raw/drillhole?project=MIN&amp;site_id=019738","Geol Survey Link")</f>
        <v>Geol Survey Link</v>
      </c>
      <c r="H4239" t="s">
        <v>2516</v>
      </c>
      <c r="I4239">
        <v>-33.470500000000001</v>
      </c>
      <c r="J4239">
        <v>147.37100000000001</v>
      </c>
      <c r="K4239" t="str">
        <f>HYPERLINK("http://nvcl.geoscience.nsw.gov.au/NVCLDataServices/mosaic.html?datasetid=3d2be4cb-a7fc-4efa-8a79-e1f8a57b87c","DR046_Core Image")</f>
        <v>DR046_Core Image</v>
      </c>
    </row>
    <row r="4240" spans="1:11" x14ac:dyDescent="0.25">
      <c r="A4240" t="str">
        <f>HYPERLINK("http://www.corstruth.com.au/NSW/AWNB05_cs.png","AWNB05_A4")</f>
        <v>AWNB05_A4</v>
      </c>
      <c r="B4240" t="str">
        <f>HYPERLINK("http://www.corstruth.com.au/NSW/PNG2/AWNB05_cs.png","AWNB05_0.25m Bins")</f>
        <v>AWNB05_0.25m Bins</v>
      </c>
      <c r="C4240" t="str">
        <f>HYPERLINK("http://www.corstruth.com.au/NSW/CSV/AWNB05.csv","AWNB05_CSV File 1m Bins")</f>
        <v>AWNB05_CSV File 1m Bins</v>
      </c>
      <c r="D4240" t="s">
        <v>2517</v>
      </c>
      <c r="E4240" t="s">
        <v>2198</v>
      </c>
      <c r="F4240" t="str">
        <f>HYPERLINK("http://dwh.geoscience.nsw.gov.au/CI/warehouse/raw/drillhole?project=MIN&amp;site_id=234247","Geol Survey Link")</f>
        <v>Geol Survey Link</v>
      </c>
      <c r="H4240" t="s">
        <v>2518</v>
      </c>
      <c r="I4240">
        <v>-29.652699999999999</v>
      </c>
      <c r="J4240">
        <v>141.904</v>
      </c>
      <c r="K4240" t="str">
        <f>HYPERLINK("http://nvcl.geoscience.nsw.gov.au/NVCLDataServices/mosaic.html?datasetid=aeb0b056-a8df-4978-8bb0-dc7b679d533","AWNB05_Core Image")</f>
        <v>AWNB05_Core Image</v>
      </c>
    </row>
    <row r="4241" spans="1:11" x14ac:dyDescent="0.25">
      <c r="A4241" t="str">
        <f>HYPERLINK("http://www.corstruth.com.au/NSW/AWPN01A_cs.png","AWPN01A_A4")</f>
        <v>AWPN01A_A4</v>
      </c>
      <c r="B4241" t="str">
        <f>HYPERLINK("http://www.corstruth.com.au/NSW/PNG2/AWPN01A_cs.png","AWPN01A_0.25m Bins")</f>
        <v>AWPN01A_0.25m Bins</v>
      </c>
      <c r="C4241" t="str">
        <f>HYPERLINK("http://www.corstruth.com.au/NSW/CSV/AWPN01A.csv","AWPN01A_CSV File 1m Bins")</f>
        <v>AWPN01A_CSV File 1m Bins</v>
      </c>
      <c r="D4241" t="s">
        <v>2519</v>
      </c>
      <c r="E4241" t="s">
        <v>2198</v>
      </c>
      <c r="F4241" t="str">
        <f>HYPERLINK("http://dwh.geoscience.nsw.gov.au/CI/warehouse/raw/drillhole?project=MIN&amp;site_id=234249","Geol Survey Link")</f>
        <v>Geol Survey Link</v>
      </c>
      <c r="H4241" t="s">
        <v>2518</v>
      </c>
      <c r="I4241">
        <v>-29.543600000000001</v>
      </c>
      <c r="J4241">
        <v>141.84100000000001</v>
      </c>
      <c r="K4241" t="str">
        <f>HYPERLINK("http://nvcl.geoscience.nsw.gov.au/NVCLDataServices/mosaic.html?datasetid=d9a69d92-0969-48e8-91d5-982219e7190","AWPN01A_Core Image")</f>
        <v>AWPN01A_Core Image</v>
      </c>
    </row>
    <row r="4242" spans="1:11" x14ac:dyDescent="0.25">
      <c r="A4242" t="str">
        <f>HYPERLINK("http://www.corstruth.com.au/NSW/AWPN02A_cs.png","AWPN02A_A4")</f>
        <v>AWPN02A_A4</v>
      </c>
      <c r="B4242" t="str">
        <f>HYPERLINK("http://www.corstruth.com.au/NSW/PNG2/AWPN02A_cs.png","AWPN02A_0.25m Bins")</f>
        <v>AWPN02A_0.25m Bins</v>
      </c>
      <c r="C4242" t="str">
        <f>HYPERLINK("http://www.corstruth.com.au/NSW/CSV/AWPN02A.csv","AWPN02A_CSV File 1m Bins")</f>
        <v>AWPN02A_CSV File 1m Bins</v>
      </c>
      <c r="D4242" t="s">
        <v>2520</v>
      </c>
      <c r="E4242" t="s">
        <v>2198</v>
      </c>
      <c r="F4242" t="str">
        <f>HYPERLINK("http://dwh.geoscience.nsw.gov.au/CI/warehouse/raw/drillhole?project=MIN&amp;site_id=234250","Geol Survey Link")</f>
        <v>Geol Survey Link</v>
      </c>
      <c r="H4242" t="s">
        <v>2518</v>
      </c>
      <c r="I4242">
        <v>-29.543700000000001</v>
      </c>
      <c r="J4242">
        <v>141.84200000000001</v>
      </c>
      <c r="K4242" t="str">
        <f>HYPERLINK("http://nvcl.geoscience.nsw.gov.au/NVCLDataServices/mosaic.html?datasetid=69af29c7-96b8-4b9c-a86d-916938637fd","AWPN02A_Core Image")</f>
        <v>AWPN02A_Core Image</v>
      </c>
    </row>
    <row r="4243" spans="1:11" x14ac:dyDescent="0.25">
      <c r="A4243" t="str">
        <f>HYPERLINK("http://www.corstruth.com.au/NSW/EM-10_cs.png","EM-10_A4")</f>
        <v>EM-10_A4</v>
      </c>
      <c r="B4243" t="str">
        <f>HYPERLINK("http://www.corstruth.com.au/NSW/PNG2/EM-10_cs.png","EM-10_0.25m Bins")</f>
        <v>EM-10_0.25m Bins</v>
      </c>
      <c r="C4243" t="str">
        <f>HYPERLINK("http://www.corstruth.com.au/NSW/CSV/EM-10.csv","EM-10_CSV File 1m Bins")</f>
        <v>EM-10_CSV File 1m Bins</v>
      </c>
      <c r="D4243" t="s">
        <v>2521</v>
      </c>
      <c r="E4243" t="s">
        <v>2198</v>
      </c>
      <c r="F4243" t="str">
        <f>HYPERLINK("http://dwh.geoscience.nsw.gov.au/CI/warehouse/raw/drillhole?project=MIN&amp;site_id=034018","Geol Survey Link")</f>
        <v>Geol Survey Link</v>
      </c>
      <c r="H4243" t="s">
        <v>2522</v>
      </c>
      <c r="I4243">
        <v>-30.3033</v>
      </c>
      <c r="J4243">
        <v>146.392</v>
      </c>
      <c r="K4243" t="str">
        <f>HYPERLINK("http://nvcl.geoscience.nsw.gov.au/NVCLDataServices/mosaic.html?datasetid=7f355d30-fd4f-41ce-ba23-373f136b533","EM-10_Core Image")</f>
        <v>EM-10_Core Image</v>
      </c>
    </row>
    <row r="4244" spans="1:11" x14ac:dyDescent="0.25">
      <c r="A4244" t="str">
        <f>HYPERLINK("http://www.corstruth.com.au/NSW/EM-3_cs.png","EM-3_A4")</f>
        <v>EM-3_A4</v>
      </c>
      <c r="B4244" t="str">
        <f>HYPERLINK("http://www.corstruth.com.au/NSW/PNG2/EM-3_cs.png","EM-3_0.25m Bins")</f>
        <v>EM-3_0.25m Bins</v>
      </c>
      <c r="C4244" t="str">
        <f>HYPERLINK("http://www.corstruth.com.au/NSW/CSV/EM-3.csv","EM-3_CSV File 1m Bins")</f>
        <v>EM-3_CSV File 1m Bins</v>
      </c>
      <c r="D4244" t="s">
        <v>2523</v>
      </c>
      <c r="E4244" t="s">
        <v>2198</v>
      </c>
      <c r="F4244" t="str">
        <f>HYPERLINK("http://dwh.geoscience.nsw.gov.au/CI/warehouse/raw/drillhole?project=MIN&amp;site_id=034010","Geol Survey Link")</f>
        <v>Geol Survey Link</v>
      </c>
      <c r="H4244" t="s">
        <v>2522</v>
      </c>
      <c r="I4244">
        <v>-30.3034</v>
      </c>
      <c r="J4244">
        <v>146.38999999999999</v>
      </c>
      <c r="K4244" t="str">
        <f>HYPERLINK("http://nvcl.geoscience.nsw.gov.au/NVCLDataServices/mosaic.html?datasetid=06142772-6f44-46e1-a341-9717ef223e4","EM-3_Core Image")</f>
        <v>EM-3_Core Image</v>
      </c>
    </row>
    <row r="4245" spans="1:11" x14ac:dyDescent="0.25">
      <c r="A4245" t="str">
        <f>HYPERLINK("http://www.corstruth.com.au/NSW/DE250_cs.png","DE250_A4")</f>
        <v>DE250_A4</v>
      </c>
      <c r="B4245" t="str">
        <f>HYPERLINK("http://www.corstruth.com.au/NSW/PNG2/DE250_cs.png","DE250_0.25m Bins")</f>
        <v>DE250_0.25m Bins</v>
      </c>
      <c r="C4245" t="str">
        <f>HYPERLINK("http://www.corstruth.com.au/NSW/CSV/DE250.csv","DE250_CSV File 1m Bins")</f>
        <v>DE250_CSV File 1m Bins</v>
      </c>
      <c r="D4245" t="s">
        <v>2524</v>
      </c>
      <c r="E4245" t="s">
        <v>2198</v>
      </c>
      <c r="F4245" t="str">
        <f>HYPERLINK("http://dwh.geoscience.nsw.gov.au/CI/warehouse/raw/drillhole?project=MIN&amp;site_id=161844","Geol Survey Link")</f>
        <v>Geol Survey Link</v>
      </c>
      <c r="H4245" t="s">
        <v>2525</v>
      </c>
      <c r="I4245">
        <v>-31.1602</v>
      </c>
      <c r="J4245">
        <v>145.655</v>
      </c>
      <c r="K4245" t="str">
        <f>HYPERLINK("http://nvcl.geoscience.nsw.gov.au/NVCLDataServices/mosaic.html?datasetid=dae508cd-31b3-456e-9558-2a00114a905","DE250_Core Image")</f>
        <v>DE250_Core Image</v>
      </c>
    </row>
    <row r="4246" spans="1:11" x14ac:dyDescent="0.25">
      <c r="A4246" t="str">
        <f>HYPERLINK("http://www.corstruth.com.au/NSW/ENRC005_cs.png","ENRC005_A4")</f>
        <v>ENRC005_A4</v>
      </c>
      <c r="B4246" t="str">
        <f>HYPERLINK("http://www.corstruth.com.au/NSW/PNG2/ENRC005_cs.png","ENRC005_0.25m Bins")</f>
        <v>ENRC005_0.25m Bins</v>
      </c>
      <c r="C4246" t="str">
        <f>HYPERLINK("http://www.corstruth.com.au/NSW/CSV/ENRC005.csv","ENRC005_CSV File 1m Bins")</f>
        <v>ENRC005_CSV File 1m Bins</v>
      </c>
      <c r="D4246" t="s">
        <v>2526</v>
      </c>
      <c r="E4246" t="s">
        <v>2198</v>
      </c>
      <c r="F4246" t="str">
        <f>HYPERLINK("http://dwh.geoscience.nsw.gov.au/CI/warehouse/raw/drillhole?project=MIN&amp;site_id=071908","Geol Survey Link")</f>
        <v>Geol Survey Link</v>
      </c>
      <c r="H4246" t="s">
        <v>2527</v>
      </c>
      <c r="I4246">
        <v>-31.156300000000002</v>
      </c>
      <c r="J4246">
        <v>145.649</v>
      </c>
      <c r="K4246" t="str">
        <f>HYPERLINK("http://nvcl.geoscience.nsw.gov.au/NVCLDataServices/mosaic.html?datasetid=b9c083a4-e325-4888-9e51-f8cef4e6daa","ENRC005_Core Image")</f>
        <v>ENRC005_Core Image</v>
      </c>
    </row>
    <row r="4247" spans="1:11" x14ac:dyDescent="0.25">
      <c r="A4247" t="str">
        <f>HYPERLINK("http://www.corstruth.com.au/NSW/EUN-73-2_cs.png","EUN-73-2_A4")</f>
        <v>EUN-73-2_A4</v>
      </c>
      <c r="B4247" t="str">
        <f>HYPERLINK("http://www.corstruth.com.au/NSW/PNG2/EUN-73-2_cs.png","EUN-73-2_0.25m Bins")</f>
        <v>EUN-73-2_0.25m Bins</v>
      </c>
      <c r="C4247" t="str">
        <f>HYPERLINK("http://www.corstruth.com.au/NSW/CSV/EUN-73-2.csv","EUN-73-2_CSV File 1m Bins")</f>
        <v>EUN-73-2_CSV File 1m Bins</v>
      </c>
      <c r="D4247" t="s">
        <v>2528</v>
      </c>
      <c r="E4247" t="s">
        <v>2198</v>
      </c>
      <c r="F4247" t="str">
        <f>HYPERLINK("http://dwh.geoscience.nsw.gov.au/CI/warehouse/raw/drillhole?project=MIN&amp;site_id=004788","Geol Survey Link")</f>
        <v>Geol Survey Link</v>
      </c>
      <c r="H4247" t="s">
        <v>2529</v>
      </c>
      <c r="I4247">
        <v>-32.933100000000003</v>
      </c>
      <c r="J4247">
        <v>146.21600000000001</v>
      </c>
      <c r="K4247" t="str">
        <f>HYPERLINK("http://nvcl.geoscience.nsw.gov.au/NVCLDataServices/mosaic.html?datasetid=3d2b4404-268d-44fb-8d7b-e65c800be0d","EUN-73-2_Core Image")</f>
        <v>EUN-73-2_Core Image</v>
      </c>
    </row>
    <row r="4248" spans="1:11" x14ac:dyDescent="0.25">
      <c r="A4248" t="str">
        <f>HYPERLINK("http://www.corstruth.com.au/NSW/FHD001_cs.png","FHD001_A4")</f>
        <v>FHD001_A4</v>
      </c>
      <c r="B4248" t="str">
        <f>HYPERLINK("http://www.corstruth.com.au/NSW/PNG2/FHD001_cs.png","FHD001_0.25m Bins")</f>
        <v>FHD001_0.25m Bins</v>
      </c>
      <c r="C4248" t="str">
        <f>HYPERLINK("http://www.corstruth.com.au/NSW/CSV/FHD001.csv","FHD001_CSV File 1m Bins")</f>
        <v>FHD001_CSV File 1m Bins</v>
      </c>
      <c r="D4248" t="s">
        <v>2530</v>
      </c>
      <c r="E4248" t="s">
        <v>2198</v>
      </c>
      <c r="F4248" t="str">
        <f>HYPERLINK("http://dwh.geoscience.nsw.gov.au/CI/warehouse/raw/drillhole?project=MIN&amp;site_id=152616","Geol Survey Link")</f>
        <v>Geol Survey Link</v>
      </c>
      <c r="H4248" t="s">
        <v>2531</v>
      </c>
      <c r="I4248">
        <v>-33.438099999999999</v>
      </c>
      <c r="J4248">
        <v>147.40199999999999</v>
      </c>
      <c r="K4248" t="str">
        <f>HYPERLINK("http://nvcl.geoscience.nsw.gov.au/NVCLDataServices/mosaic.html?datasetid=a19dfc68-5238-4f29-b02c-6ced14602b3","FHD001_Core Image")</f>
        <v>FHD001_Core Image</v>
      </c>
    </row>
    <row r="4249" spans="1:11" x14ac:dyDescent="0.25">
      <c r="A4249" t="str">
        <f>HYPERLINK("http://www.corstruth.com.au/NSW/FHD003_cs.png","FHD003_A4")</f>
        <v>FHD003_A4</v>
      </c>
      <c r="B4249" t="str">
        <f>HYPERLINK("http://www.corstruth.com.au/NSW/PNG2/FHD003_cs.png","FHD003_0.25m Bins")</f>
        <v>FHD003_0.25m Bins</v>
      </c>
      <c r="C4249" t="str">
        <f>HYPERLINK("http://www.corstruth.com.au/NSW/CSV/FHD003.csv","FHD003_CSV File 1m Bins")</f>
        <v>FHD003_CSV File 1m Bins</v>
      </c>
      <c r="D4249" t="s">
        <v>2532</v>
      </c>
      <c r="E4249" t="s">
        <v>2198</v>
      </c>
      <c r="F4249" t="str">
        <f>HYPERLINK("http://dwh.geoscience.nsw.gov.au/CI/warehouse/raw/drillhole?project=MIN&amp;site_id=152618","Geol Survey Link")</f>
        <v>Geol Survey Link</v>
      </c>
      <c r="H4249" t="s">
        <v>2533</v>
      </c>
      <c r="I4249">
        <v>-33.475700000000003</v>
      </c>
      <c r="J4249">
        <v>147.40600000000001</v>
      </c>
      <c r="K4249" t="str">
        <f>HYPERLINK("http://nvcl.geoscience.nsw.gov.au/NVCLDataServices/mosaic.html?datasetid=b986ad93-4779-451e-a4d2-d306a745c72","FHD003_Core Image")</f>
        <v>FHD003_Core Image</v>
      </c>
    </row>
    <row r="4250" spans="1:11" x14ac:dyDescent="0.25">
      <c r="A4250" t="str">
        <f>HYPERLINK("http://www.corstruth.com.au/NSW/FHD004_cs.png","FHD004_A4")</f>
        <v>FHD004_A4</v>
      </c>
      <c r="B4250" t="str">
        <f>HYPERLINK("http://www.corstruth.com.au/NSW/PNG2/FHD004_cs.png","FHD004_0.25m Bins")</f>
        <v>FHD004_0.25m Bins</v>
      </c>
      <c r="C4250" t="str">
        <f>HYPERLINK("http://www.corstruth.com.au/NSW/CSV/FHD004.csv","FHD004_CSV File 1m Bins")</f>
        <v>FHD004_CSV File 1m Bins</v>
      </c>
      <c r="D4250" t="s">
        <v>2534</v>
      </c>
      <c r="E4250" t="s">
        <v>2198</v>
      </c>
      <c r="F4250" t="str">
        <f>HYPERLINK("http://dwh.geoscience.nsw.gov.au/CI/warehouse/raw/drillhole?project=MIN&amp;site_id=165307","Geol Survey Link")</f>
        <v>Geol Survey Link</v>
      </c>
      <c r="H4250" t="s">
        <v>2535</v>
      </c>
      <c r="I4250">
        <v>-33.459600000000002</v>
      </c>
      <c r="J4250">
        <v>147.36799999999999</v>
      </c>
      <c r="K4250" t="str">
        <f>HYPERLINK("http://nvcl.geoscience.nsw.gov.au/NVCLDataServices/mosaic.html?datasetid=6f8c37e1-1c91-4db1-a24d-09067d35d5f","FHD004_Core Image")</f>
        <v>FHD004_Core Image</v>
      </c>
    </row>
    <row r="4251" spans="1:11" x14ac:dyDescent="0.25">
      <c r="A4251" t="str">
        <f>HYPERLINK("http://www.corstruth.com.au/NSW/FHD005_cs.png","FHD005_A4")</f>
        <v>FHD005_A4</v>
      </c>
      <c r="B4251" t="str">
        <f>HYPERLINK("http://www.corstruth.com.au/NSW/PNG2/FHD005_cs.png","FHD005_0.25m Bins")</f>
        <v>FHD005_0.25m Bins</v>
      </c>
      <c r="C4251" t="str">
        <f>HYPERLINK("http://www.corstruth.com.au/NSW/CSV/FHD005.csv","FHD005_CSV File 1m Bins")</f>
        <v>FHD005_CSV File 1m Bins</v>
      </c>
      <c r="D4251" t="s">
        <v>2536</v>
      </c>
      <c r="E4251" t="s">
        <v>2198</v>
      </c>
      <c r="F4251" t="str">
        <f>HYPERLINK("http://dwh.geoscience.nsw.gov.au/CI/warehouse/raw/drillhole?project=MIN&amp;site_id=165308","Geol Survey Link")</f>
        <v>Geol Survey Link</v>
      </c>
      <c r="H4251" t="s">
        <v>2537</v>
      </c>
      <c r="I4251">
        <v>-33.465200000000003</v>
      </c>
      <c r="J4251">
        <v>147.37200000000001</v>
      </c>
      <c r="K4251" t="str">
        <f>HYPERLINK("http://nvcl.geoscience.nsw.gov.au/NVCLDataServices/mosaic.html?datasetid=719e7985-a775-4caa-806a-f44551cd62d","FHD005_Core Image")</f>
        <v>FHD005_Core Image</v>
      </c>
    </row>
    <row r="4252" spans="1:11" x14ac:dyDescent="0.25">
      <c r="A4252" t="str">
        <f>HYPERLINK("http://www.corstruth.com.au/NSW/FHD006_cs.png","FHD006_A4")</f>
        <v>FHD006_A4</v>
      </c>
      <c r="B4252" t="str">
        <f>HYPERLINK("http://www.corstruth.com.au/NSW/PNG2/FHD006_cs.png","FHD006_0.25m Bins")</f>
        <v>FHD006_0.25m Bins</v>
      </c>
      <c r="C4252" t="str">
        <f>HYPERLINK("http://www.corstruth.com.au/NSW/CSV/FHD006.csv","FHD006_CSV File 1m Bins")</f>
        <v>FHD006_CSV File 1m Bins</v>
      </c>
      <c r="D4252" t="s">
        <v>2538</v>
      </c>
      <c r="E4252" t="s">
        <v>2198</v>
      </c>
      <c r="F4252" t="str">
        <f>HYPERLINK("http://dwh.geoscience.nsw.gov.au/CI/warehouse/raw/drillhole?project=MIN&amp;site_id=165309","Geol Survey Link")</f>
        <v>Geol Survey Link</v>
      </c>
      <c r="H4252" t="s">
        <v>2539</v>
      </c>
      <c r="I4252">
        <v>-33.454700000000003</v>
      </c>
      <c r="J4252">
        <v>147.35900000000001</v>
      </c>
      <c r="K4252" t="str">
        <f>HYPERLINK("http://nvcl.geoscience.nsw.gov.au/NVCLDataServices/mosaic.html?datasetid=a97611a7-3827-4775-bf86-6c19dbfe483","FHD006_Core Image")</f>
        <v>FHD006_Core Image</v>
      </c>
    </row>
    <row r="4253" spans="1:11" x14ac:dyDescent="0.25">
      <c r="A4253" t="str">
        <f>HYPERLINK("http://www.corstruth.com.au/NSW/FED001_RC_cs.png","FED001_RC_A4")</f>
        <v>FED001_RC_A4</v>
      </c>
      <c r="B4253" t="str">
        <f>HYPERLINK("http://www.corstruth.com.au/NSW/PNG2/FED001_RC_cs.png","FED001_RC_0.25m Bins")</f>
        <v>FED001_RC_0.25m Bins</v>
      </c>
      <c r="C4253" t="str">
        <f>HYPERLINK("http://www.corstruth.com.au/NSW/CSV/FED001_RC.csv","FED001_RC_CSV File 1m Bins")</f>
        <v>FED001_RC_CSV File 1m Bins</v>
      </c>
      <c r="D4253" t="s">
        <v>2540</v>
      </c>
      <c r="E4253" t="s">
        <v>2198</v>
      </c>
      <c r="F4253" t="str">
        <f>HYPERLINK("http://dwh.geoscience.nsw.gov.au/CI/warehouse/raw/drillhole?project=MIN&amp;site_id=072355","Geol Survey Link")</f>
        <v>Geol Survey Link</v>
      </c>
      <c r="H4253" t="s">
        <v>2541</v>
      </c>
      <c r="I4253">
        <v>-34.189100000000003</v>
      </c>
      <c r="J4253">
        <v>148.83500000000001</v>
      </c>
      <c r="K4253" t="str">
        <f>HYPERLINK("http://nvcl.geoscience.nsw.gov.au/NVCLDataServices/mosaic.html?datasetid=e3bcd1b6-027c-43b8-ab95-1d59d46754f","FED001_RC_Core Image")</f>
        <v>FED001_RC_Core Image</v>
      </c>
    </row>
    <row r="4254" spans="1:11" x14ac:dyDescent="0.25">
      <c r="A4254" t="str">
        <f>HYPERLINK("http://www.corstruth.com.au/NSW/FED002_RC_cs.png","FED002_RC_A4")</f>
        <v>FED002_RC_A4</v>
      </c>
      <c r="B4254" t="str">
        <f>HYPERLINK("http://www.corstruth.com.au/NSW/PNG2/FED002_RC_cs.png","FED002_RC_0.25m Bins")</f>
        <v>FED002_RC_0.25m Bins</v>
      </c>
      <c r="C4254" t="str">
        <f>HYPERLINK("http://www.corstruth.com.au/NSW/CSV/FED002_RC.csv","FED002_RC_CSV File 1m Bins")</f>
        <v>FED002_RC_CSV File 1m Bins</v>
      </c>
      <c r="D4254" t="s">
        <v>2542</v>
      </c>
      <c r="E4254" t="s">
        <v>2198</v>
      </c>
      <c r="F4254" t="str">
        <f>HYPERLINK("http://dwh.geoscience.nsw.gov.au/CI/warehouse/raw/drillhole?project=MIN&amp;site_id=072356","Geol Survey Link")</f>
        <v>Geol Survey Link</v>
      </c>
      <c r="H4254" t="s">
        <v>2543</v>
      </c>
      <c r="I4254">
        <v>-34.189100000000003</v>
      </c>
      <c r="J4254">
        <v>148.83500000000001</v>
      </c>
      <c r="K4254" t="str">
        <f>HYPERLINK("http://nvcl.geoscience.nsw.gov.au/NVCLDataServices/mosaic.html?datasetid=254efe8e-702e-4714-80d4-47d64d94326","FED002_RC_Core Image")</f>
        <v>FED002_RC_Core Image</v>
      </c>
    </row>
    <row r="4255" spans="1:11" x14ac:dyDescent="0.25">
      <c r="A4255" t="str">
        <f>HYPERLINK("http://www.corstruth.com.au/NSW/FED003_RC_cs.png","FED003_RC_A4")</f>
        <v>FED003_RC_A4</v>
      </c>
      <c r="B4255" t="str">
        <f>HYPERLINK("http://www.corstruth.com.au/NSW/PNG2/FED003_RC_cs.png","FED003_RC_0.25m Bins")</f>
        <v>FED003_RC_0.25m Bins</v>
      </c>
      <c r="C4255" t="str">
        <f>HYPERLINK("http://www.corstruth.com.au/NSW/CSV/FED003_RC.csv","FED003_RC_CSV File 1m Bins")</f>
        <v>FED003_RC_CSV File 1m Bins</v>
      </c>
      <c r="D4255" t="s">
        <v>2544</v>
      </c>
      <c r="E4255" t="s">
        <v>2198</v>
      </c>
      <c r="F4255" t="str">
        <f>HYPERLINK("http://dwh.geoscience.nsw.gov.au/CI/warehouse/raw/drillhole?project=MIN&amp;site_id=072357","Geol Survey Link")</f>
        <v>Geol Survey Link</v>
      </c>
      <c r="H4255" t="s">
        <v>2545</v>
      </c>
      <c r="I4255">
        <v>-34.1892</v>
      </c>
      <c r="J4255">
        <v>148.83500000000001</v>
      </c>
      <c r="K4255" t="str">
        <f>HYPERLINK("http://nvcl.geoscience.nsw.gov.au/NVCLDataServices/mosaic.html?datasetid=007fe02e-25fd-465c-9e6a-7533990065d","FED003_RC_Core Image")</f>
        <v>FED003_RC_Core Image</v>
      </c>
    </row>
    <row r="4256" spans="1:11" x14ac:dyDescent="0.25">
      <c r="A4256" t="str">
        <f>HYPERLINK("http://www.corstruth.com.au/NSW/FED004_RC_cs.png","FED004_RC_A4")</f>
        <v>FED004_RC_A4</v>
      </c>
      <c r="B4256" t="str">
        <f>HYPERLINK("http://www.corstruth.com.au/NSW/PNG2/FED004_RC_cs.png","FED004_RC_0.25m Bins")</f>
        <v>FED004_RC_0.25m Bins</v>
      </c>
      <c r="C4256" t="str">
        <f>HYPERLINK("http://www.corstruth.com.au/NSW/CSV/FED004_RC.csv","FED004_RC_CSV File 1m Bins")</f>
        <v>FED004_RC_CSV File 1m Bins</v>
      </c>
      <c r="D4256" t="s">
        <v>2546</v>
      </c>
      <c r="E4256" t="s">
        <v>2198</v>
      </c>
      <c r="F4256" t="str">
        <f>HYPERLINK("http://dwh.geoscience.nsw.gov.au/CI/warehouse/raw/drillhole?project=MIN&amp;site_id=072358","Geol Survey Link")</f>
        <v>Geol Survey Link</v>
      </c>
      <c r="H4256" t="s">
        <v>2547</v>
      </c>
      <c r="I4256">
        <v>-34.188400000000001</v>
      </c>
      <c r="J4256">
        <v>148.83500000000001</v>
      </c>
      <c r="K4256" t="str">
        <f>HYPERLINK("http://nvcl.geoscience.nsw.gov.au/NVCLDataServices/mosaic.html?datasetid=6f5c278a-e054-4288-83b1-52ef47c2ffc","FED004_RC_Core Image")</f>
        <v>FED004_RC_Core Image</v>
      </c>
    </row>
    <row r="4257" spans="1:11" x14ac:dyDescent="0.25">
      <c r="A4257" t="str">
        <f>HYPERLINK("http://www.corstruth.com.au/NSW/DDHTFLD3_cs.png","DDHTFLD3_A4")</f>
        <v>DDHTFLD3_A4</v>
      </c>
      <c r="B4257" t="str">
        <f>HYPERLINK("http://www.corstruth.com.au/NSW/PNG2/DDHTFLD3_cs.png","DDHTFLD3_0.25m Bins")</f>
        <v>DDHTFLD3_0.25m Bins</v>
      </c>
      <c r="C4257" t="str">
        <f>HYPERLINK("http://www.corstruth.com.au/NSW/CSV/DDHTFLD3.csv","DDHTFLD3_CSV File 1m Bins")</f>
        <v>DDHTFLD3_CSV File 1m Bins</v>
      </c>
      <c r="D4257" t="s">
        <v>2548</v>
      </c>
      <c r="E4257" t="s">
        <v>2198</v>
      </c>
      <c r="F4257" t="str">
        <f>HYPERLINK("http://dwh.geoscience.nsw.gov.au/CI/warehouse/raw/drillhole?project=MIN&amp;site_id=040443","Geol Survey Link")</f>
        <v>Geol Survey Link</v>
      </c>
      <c r="H4257" t="s">
        <v>2549</v>
      </c>
      <c r="I4257">
        <v>-32.641100000000002</v>
      </c>
      <c r="J4257">
        <v>145.75200000000001</v>
      </c>
      <c r="K4257" t="str">
        <f>HYPERLINK("http://nvcl.geoscience.nsw.gov.au/NVCLDataServices/mosaic.html?datasetid=8e0ef03b-7c26-4588-93dd-2de70096c0b","DDHTFLD3_Core Image")</f>
        <v>DDHTFLD3_Core Image</v>
      </c>
    </row>
    <row r="4258" spans="1:11" x14ac:dyDescent="0.25">
      <c r="A4258" t="str">
        <f>HYPERLINK("http://www.corstruth.com.au/NSW/DDHNFLD1_cs.png","DDHNFLD1_A4")</f>
        <v>DDHNFLD1_A4</v>
      </c>
      <c r="B4258" t="str">
        <f>HYPERLINK("http://www.corstruth.com.au/NSW/PNG2/DDHNFLD1_cs.png","DDHNFLD1_0.25m Bins")</f>
        <v>DDHNFLD1_0.25m Bins</v>
      </c>
      <c r="C4258" t="str">
        <f>HYPERLINK("http://www.corstruth.com.au/NSW/CSV/DDHNFLD1.csv","DDHNFLD1_CSV File 1m Bins")</f>
        <v>DDHNFLD1_CSV File 1m Bins</v>
      </c>
      <c r="D4258" t="s">
        <v>2550</v>
      </c>
      <c r="E4258" t="s">
        <v>2198</v>
      </c>
      <c r="F4258" t="str">
        <f>HYPERLINK("http://dwh.geoscience.nsw.gov.au/CI/warehouse/raw/drillhole?project=MIN&amp;site_id=040441","Geol Survey Link")</f>
        <v>Geol Survey Link</v>
      </c>
      <c r="H4258" t="s">
        <v>2551</v>
      </c>
      <c r="I4258">
        <v>-32.649700000000003</v>
      </c>
      <c r="J4258">
        <v>145.745</v>
      </c>
      <c r="K4258" t="str">
        <f>HYPERLINK("http://nvcl.geoscience.nsw.gov.au/NVCLDataServices/mosaic.html?datasetid=d4bf315e-3675-4fd2-b6bb-ad313c22b26","DDHNFLD1_Core Image")</f>
        <v>DDHNFLD1_Core Image</v>
      </c>
    </row>
    <row r="4259" spans="1:11" x14ac:dyDescent="0.25">
      <c r="A4259" t="str">
        <f>HYPERLINK("http://www.corstruth.com.au/NSW/DDHTFLD2_cs.png","DDHTFLD2_A4")</f>
        <v>DDHTFLD2_A4</v>
      </c>
      <c r="B4259" t="str">
        <f>HYPERLINK("http://www.corstruth.com.au/NSW/PNG2/DDHTFLD2_cs.png","DDHTFLD2_0.25m Bins")</f>
        <v>DDHTFLD2_0.25m Bins</v>
      </c>
      <c r="C4259" t="str">
        <f>HYPERLINK("http://www.corstruth.com.au/NSW/CSV/DDHTFLD2.csv","DDHTFLD2_CSV File 1m Bins")</f>
        <v>DDHTFLD2_CSV File 1m Bins</v>
      </c>
      <c r="D4259" t="s">
        <v>2552</v>
      </c>
      <c r="E4259" t="s">
        <v>2198</v>
      </c>
      <c r="F4259" t="str">
        <f>HYPERLINK("http://dwh.geoscience.nsw.gov.au/CI/warehouse/raw/drillhole?project=MIN&amp;site_id=040442","Geol Survey Link")</f>
        <v>Geol Survey Link</v>
      </c>
      <c r="H4259" t="s">
        <v>2553</v>
      </c>
      <c r="I4259">
        <v>-32.648099999999999</v>
      </c>
      <c r="J4259">
        <v>145.74700000000001</v>
      </c>
      <c r="K4259" t="str">
        <f>HYPERLINK("http://nvcl.geoscience.nsw.gov.au/NVCLDataServices/mosaic.html?datasetid=3499bdaa-2552-42c1-b6d3-5c17258d5c0","DDHTFLD2_Core Image")</f>
        <v>DDHTFLD2_Core Image</v>
      </c>
    </row>
    <row r="4260" spans="1:11" x14ac:dyDescent="0.25">
      <c r="A4260" t="str">
        <f>HYPERLINK("http://www.corstruth.com.au/NSW/DDHTFLD4_cs.png","DDHTFLD4_A4")</f>
        <v>DDHTFLD4_A4</v>
      </c>
      <c r="B4260" t="str">
        <f>HYPERLINK("http://www.corstruth.com.au/NSW/PNG2/DDHTFLD4_cs.png","DDHTFLD4_0.25m Bins")</f>
        <v>DDHTFLD4_0.25m Bins</v>
      </c>
      <c r="C4260" t="str">
        <f>HYPERLINK("http://www.corstruth.com.au/NSW/CSV/DDHTFLD4.csv","DDHTFLD4_CSV File 1m Bins")</f>
        <v>DDHTFLD4_CSV File 1m Bins</v>
      </c>
      <c r="D4260" t="s">
        <v>2554</v>
      </c>
      <c r="E4260" t="s">
        <v>2198</v>
      </c>
      <c r="F4260" t="str">
        <f>HYPERLINK("http://dwh.geoscience.nsw.gov.au/CI/warehouse/raw/drillhole?project=MIN&amp;site_id=040444","Geol Survey Link")</f>
        <v>Geol Survey Link</v>
      </c>
      <c r="H4260" t="s">
        <v>2555</v>
      </c>
      <c r="I4260">
        <v>-32.647799999999997</v>
      </c>
      <c r="J4260">
        <v>145.745</v>
      </c>
      <c r="K4260" t="str">
        <f>HYPERLINK("http://nvcl.geoscience.nsw.gov.au/NVCLDataServices/mosaic.html?datasetid=22025528-58ef-44d8-bf51-6590a7b8529","DDHTFLD4_Core Image")</f>
        <v>DDHTFLD4_Core Image</v>
      </c>
    </row>
    <row r="4261" spans="1:11" x14ac:dyDescent="0.25">
      <c r="A4261" t="str">
        <f>HYPERLINK("http://www.corstruth.com.au/NSW/FINN120006_cs.png","FINN120006_A4")</f>
        <v>FINN120006_A4</v>
      </c>
      <c r="B4261" t="str">
        <f>HYPERLINK("http://www.corstruth.com.au/NSW/PNG2/FINN120006_cs.png","FINN120006_0.25m Bins")</f>
        <v>FINN120006_0.25m Bins</v>
      </c>
      <c r="C4261" t="str">
        <f>HYPERLINK("http://www.corstruth.com.au/NSW/CSV/FINN120006.csv","FINN120006_CSV File 1m Bins")</f>
        <v>FINN120006_CSV File 1m Bins</v>
      </c>
      <c r="D4261" t="s">
        <v>2556</v>
      </c>
      <c r="E4261" t="s">
        <v>2198</v>
      </c>
      <c r="F4261" t="str">
        <f>HYPERLINK("http://dwh.geoscience.nsw.gov.au/CI/warehouse/raw/drillhole?project=MIN&amp;site_id=074106","Geol Survey Link")</f>
        <v>Geol Survey Link</v>
      </c>
      <c r="H4261" t="s">
        <v>2557</v>
      </c>
      <c r="I4261">
        <v>-32.3521</v>
      </c>
      <c r="J4261">
        <v>148.91499999999999</v>
      </c>
    </row>
    <row r="4262" spans="1:11" x14ac:dyDescent="0.25">
      <c r="A4262" t="str">
        <f>HYPERLINK("http://www.corstruth.com.au/NSW/NEWELD0018_cs.png","NEWELD0018_A4")</f>
        <v>NEWELD0018_A4</v>
      </c>
      <c r="B4262" t="str">
        <f>HYPERLINK("http://www.corstruth.com.au/NSW/PNG2/NEWELD0018_cs.png","NEWELD0018_0.25m Bins")</f>
        <v>NEWELD0018_0.25m Bins</v>
      </c>
      <c r="C4262" t="str">
        <f>HYPERLINK("http://www.corstruth.com.au/NSW/CSV/NEWELD0018.csv","NEWELD0018_CSV File 1m Bins")</f>
        <v>NEWELD0018_CSV File 1m Bins</v>
      </c>
      <c r="D4262" t="s">
        <v>2558</v>
      </c>
      <c r="E4262" t="s">
        <v>2198</v>
      </c>
      <c r="F4262" t="str">
        <f>HYPERLINK("http://dwh.geoscience.nsw.gov.au/CI/warehouse/raw/drillhole?project=MIN&amp;site_id=093329","Geol Survey Link")</f>
        <v>Geol Survey Link</v>
      </c>
      <c r="H4262" t="s">
        <v>2559</v>
      </c>
      <c r="I4262">
        <v>-32.358600000000003</v>
      </c>
      <c r="J4262">
        <v>148.91900000000001</v>
      </c>
      <c r="K4262" t="str">
        <f>HYPERLINK("http://nvcl.geoscience.nsw.gov.au/NVCLDataServices/mosaic.html?datasetid=0957e969-d4bf-4833-9a62-afc3f7c4b83","NEWELD0018_Core Image")</f>
        <v>NEWELD0018_Core Image</v>
      </c>
    </row>
    <row r="4263" spans="1:11" x14ac:dyDescent="0.25">
      <c r="A4263" t="str">
        <f>HYPERLINK("http://www.corstruth.com.au/NSW/NEWELD0019_cs.png","NEWELD0019_A4")</f>
        <v>NEWELD0019_A4</v>
      </c>
      <c r="B4263" t="str">
        <f>HYPERLINK("http://www.corstruth.com.au/NSW/PNG2/NEWELD0019_cs.png","NEWELD0019_0.25m Bins")</f>
        <v>NEWELD0019_0.25m Bins</v>
      </c>
      <c r="C4263" t="str">
        <f>HYPERLINK("http://www.corstruth.com.au/NSW/CSV/NEWELD0019.csv","NEWELD0019_CSV File 1m Bins")</f>
        <v>NEWELD0019_CSV File 1m Bins</v>
      </c>
      <c r="D4263" t="s">
        <v>2560</v>
      </c>
      <c r="E4263" t="s">
        <v>2198</v>
      </c>
      <c r="F4263" t="str">
        <f>HYPERLINK("http://dwh.geoscience.nsw.gov.au/CI/warehouse/raw/drillhole?project=MIN&amp;site_id=093330","Geol Survey Link")</f>
        <v>Geol Survey Link</v>
      </c>
      <c r="H4263" t="s">
        <v>2561</v>
      </c>
      <c r="I4263">
        <v>-32.353200000000001</v>
      </c>
      <c r="J4263">
        <v>148.917</v>
      </c>
      <c r="K4263" t="str">
        <f>HYPERLINK("http://nvcl.geoscience.nsw.gov.au/NVCLDataServices/mosaic.html?datasetid=625459ec-e83c-4f1b-9835-2c3a93f9c14","NEWELD0019_Core Image")</f>
        <v>NEWELD0019_Core Image</v>
      </c>
    </row>
    <row r="4264" spans="1:11" x14ac:dyDescent="0.25">
      <c r="A4264" t="str">
        <f>HYPERLINK("http://www.corstruth.com.au/NSW/1-2-10D_cs.png","1-2-10D_A4")</f>
        <v>1-2-10D_A4</v>
      </c>
      <c r="B4264" t="str">
        <f>HYPERLINK("http://www.corstruth.com.au/NSW/PNG2/1-2-10D_cs.png","1-2-10D_0.25m Bins")</f>
        <v>1-2-10D_0.25m Bins</v>
      </c>
      <c r="C4264" t="str">
        <f>HYPERLINK("http://www.corstruth.com.au/NSW/CSV/1-2-10D.csv","1-2-10D_CSV File 1m Bins")</f>
        <v>1-2-10D_CSV File 1m Bins</v>
      </c>
      <c r="D4264" t="s">
        <v>2562</v>
      </c>
      <c r="E4264" t="s">
        <v>2198</v>
      </c>
      <c r="F4264" t="str">
        <f>HYPERLINK("http://dwh.geoscience.nsw.gov.au/CI/warehouse/raw/drillhole?project=MIN&amp;site_id=003537","Geol Survey Link")</f>
        <v>Geol Survey Link</v>
      </c>
      <c r="H4264" t="s">
        <v>2563</v>
      </c>
      <c r="I4264">
        <v>-34.430399999999999</v>
      </c>
      <c r="J4264">
        <v>148.14699999999999</v>
      </c>
      <c r="K4264" t="str">
        <f>HYPERLINK("http://nvcl.geoscience.nsw.gov.au/NVCLDataServices/mosaic.html?datasetid=7ba7f16b-3206-4ddd-9ada-0f836c4b63e","1-2-10D_Core Image")</f>
        <v>1-2-10D_Core Image</v>
      </c>
    </row>
    <row r="4265" spans="1:11" x14ac:dyDescent="0.25">
      <c r="A4265" t="str">
        <f>HYPERLINK("http://www.corstruth.com.au/NSW/1-2-15D_cs.png","1-2-15D_A4")</f>
        <v>1-2-15D_A4</v>
      </c>
      <c r="B4265" t="str">
        <f>HYPERLINK("http://www.corstruth.com.au/NSW/PNG2/1-2-15D_cs.png","1-2-15D_0.25m Bins")</f>
        <v>1-2-15D_0.25m Bins</v>
      </c>
      <c r="C4265" t="str">
        <f>HYPERLINK("http://www.corstruth.com.au/NSW/CSV/1-2-15D.csv","1-2-15D_CSV File 1m Bins")</f>
        <v>1-2-15D_CSV File 1m Bins</v>
      </c>
      <c r="D4265" t="s">
        <v>2564</v>
      </c>
      <c r="E4265" t="s">
        <v>2198</v>
      </c>
      <c r="F4265" t="str">
        <f>HYPERLINK("http://dwh.geoscience.nsw.gov.au/CI/warehouse/raw/drillhole?project=MIN&amp;site_id=003542","Geol Survey Link")</f>
        <v>Geol Survey Link</v>
      </c>
      <c r="H4265" t="s">
        <v>2563</v>
      </c>
      <c r="I4265">
        <v>-34.490499999999997</v>
      </c>
      <c r="J4265">
        <v>148.15700000000001</v>
      </c>
      <c r="K4265" t="str">
        <f>HYPERLINK("http://nvcl.geoscience.nsw.gov.au/NVCLDataServices/mosaic.html?datasetid=7581119f-3559-4016-bd5f-e80304bc80c","1-2-15D_Core Image")</f>
        <v>1-2-15D_Core Image</v>
      </c>
    </row>
    <row r="4266" spans="1:11" x14ac:dyDescent="0.25">
      <c r="A4266" t="str">
        <f>HYPERLINK("http://www.corstruth.com.au/NSW/1-2-20D_cs.png","1-2-20D_A4")</f>
        <v>1-2-20D_A4</v>
      </c>
      <c r="B4266" t="str">
        <f>HYPERLINK("http://www.corstruth.com.au/NSW/PNG2/1-2-20D_cs.png","1-2-20D_0.25m Bins")</f>
        <v>1-2-20D_0.25m Bins</v>
      </c>
      <c r="C4266" t="str">
        <f>HYPERLINK("http://www.corstruth.com.au/NSW/CSV/1-2-20D.csv","1-2-20D_CSV File 1m Bins")</f>
        <v>1-2-20D_CSV File 1m Bins</v>
      </c>
      <c r="D4266" t="s">
        <v>2565</v>
      </c>
      <c r="E4266" t="s">
        <v>2198</v>
      </c>
      <c r="F4266" t="str">
        <f>HYPERLINK("http://dwh.geoscience.nsw.gov.au/CI/warehouse/raw/drillhole?project=MIN&amp;site_id=003546","Geol Survey Link")</f>
        <v>Geol Survey Link</v>
      </c>
      <c r="H4266" t="s">
        <v>2563</v>
      </c>
      <c r="I4266">
        <v>-34.488</v>
      </c>
      <c r="J4266">
        <v>148.15700000000001</v>
      </c>
      <c r="K4266" t="str">
        <f>HYPERLINK("http://nvcl.geoscience.nsw.gov.au/NVCLDataServices/mosaic.html?datasetid=827ce4f3-85e8-4703-b3d5-f177bf92b66","1-2-20D_Core Image")</f>
        <v>1-2-20D_Core Image</v>
      </c>
    </row>
    <row r="4267" spans="1:11" x14ac:dyDescent="0.25">
      <c r="A4267" t="str">
        <f>HYPERLINK("http://www.corstruth.com.au/NSW/1-2-3D_cs.png","1-2-3D_A4")</f>
        <v>1-2-3D_A4</v>
      </c>
      <c r="B4267" t="str">
        <f>HYPERLINK("http://www.corstruth.com.au/NSW/PNG2/1-2-3D_cs.png","1-2-3D_0.25m Bins")</f>
        <v>1-2-3D_0.25m Bins</v>
      </c>
      <c r="C4267" t="str">
        <f>HYPERLINK("http://www.corstruth.com.au/NSW/CSV/1-2-3D.csv","1-2-3D_CSV File 1m Bins")</f>
        <v>1-2-3D_CSV File 1m Bins</v>
      </c>
      <c r="D4267" t="s">
        <v>2566</v>
      </c>
      <c r="E4267" t="s">
        <v>2198</v>
      </c>
      <c r="F4267" t="str">
        <f>HYPERLINK("http://dwh.geoscience.nsw.gov.au/CI/warehouse/raw/drillhole?project=MIN&amp;site_id=003533","Geol Survey Link")</f>
        <v>Geol Survey Link</v>
      </c>
      <c r="H4267" t="s">
        <v>2563</v>
      </c>
      <c r="I4267">
        <v>-34.434800000000003</v>
      </c>
      <c r="J4267">
        <v>148.148</v>
      </c>
      <c r="K4267" t="str">
        <f>HYPERLINK("http://nvcl.geoscience.nsw.gov.au/NVCLDataServices/mosaic.html?datasetid=c47da050-f920-4aa7-a413-3d9e9480ebc","1-2-3D_Core Image")</f>
        <v>1-2-3D_Core Image</v>
      </c>
    </row>
    <row r="4268" spans="1:11" x14ac:dyDescent="0.25">
      <c r="A4268" t="str">
        <f>HYPERLINK("http://www.corstruth.com.au/NSW/DD84KW1_cs.png","DD84KW1_A4")</f>
        <v>DD84KW1_A4</v>
      </c>
      <c r="B4268" t="str">
        <f>HYPERLINK("http://www.corstruth.com.au/NSW/PNG2/DD84KW1_cs.png","DD84KW1_0.25m Bins")</f>
        <v>DD84KW1_0.25m Bins</v>
      </c>
      <c r="C4268" t="str">
        <f>HYPERLINK("http://www.corstruth.com.au/NSW/CSV/DD84KW1.csv","DD84KW1_CSV File 1m Bins")</f>
        <v>DD84KW1_CSV File 1m Bins</v>
      </c>
      <c r="D4268" t="s">
        <v>2567</v>
      </c>
      <c r="E4268" t="s">
        <v>2198</v>
      </c>
      <c r="F4268" t="str">
        <f>HYPERLINK("http://dwh.geoscience.nsw.gov.au/CI/warehouse/raw/drillhole?project=MIN&amp;site_id=040006","Geol Survey Link")</f>
        <v>Geol Survey Link</v>
      </c>
      <c r="H4268" t="s">
        <v>2568</v>
      </c>
      <c r="I4268">
        <v>-32.112499999999997</v>
      </c>
      <c r="J4268">
        <v>146.328</v>
      </c>
    </row>
    <row r="4269" spans="1:11" x14ac:dyDescent="0.25">
      <c r="A4269" t="str">
        <f>HYPERLINK("http://www.corstruth.com.au/NSW/DD87KW3A_cs.png","DD87KW3A_A4")</f>
        <v>DD87KW3A_A4</v>
      </c>
      <c r="B4269" t="str">
        <f>HYPERLINK("http://www.corstruth.com.au/NSW/PNG2/DD87KW3A_cs.png","DD87KW3A_0.25m Bins")</f>
        <v>DD87KW3A_0.25m Bins</v>
      </c>
      <c r="C4269" t="str">
        <f>HYPERLINK("http://www.corstruth.com.au/NSW/CSV/DD87KW3A.csv","DD87KW3A_CSV File 1m Bins")</f>
        <v>DD87KW3A_CSV File 1m Bins</v>
      </c>
      <c r="D4269" t="s">
        <v>2569</v>
      </c>
      <c r="E4269" t="s">
        <v>2198</v>
      </c>
      <c r="F4269" t="str">
        <f>HYPERLINK("http://dwh.geoscience.nsw.gov.au/CI/warehouse/raw/drillhole?project=MIN&amp;site_id=040009","Geol Survey Link")</f>
        <v>Geol Survey Link</v>
      </c>
      <c r="H4269" t="s">
        <v>2568</v>
      </c>
      <c r="I4269">
        <v>-32.108899999999998</v>
      </c>
      <c r="J4269">
        <v>146.32900000000001</v>
      </c>
    </row>
    <row r="4270" spans="1:11" x14ac:dyDescent="0.25">
      <c r="A4270" t="str">
        <f>HYPERLINK("http://www.corstruth.com.au/NSW/DD93FT1_cs.png","DD93FT1_A4")</f>
        <v>DD93FT1_A4</v>
      </c>
      <c r="B4270" t="str">
        <f>HYPERLINK("http://www.corstruth.com.au/NSW/PNG2/DD93FT1_cs.png","DD93FT1_0.25m Bins")</f>
        <v>DD93FT1_0.25m Bins</v>
      </c>
      <c r="C4270" t="str">
        <f>HYPERLINK("http://www.corstruth.com.au/NSW/CSV/DD93FT1.csv","DD93FT1_CSV File 1m Bins")</f>
        <v>DD93FT1_CSV File 1m Bins</v>
      </c>
      <c r="D4270" t="s">
        <v>2570</v>
      </c>
      <c r="E4270" t="s">
        <v>2198</v>
      </c>
      <c r="F4270" t="str">
        <f>HYPERLINK("http://dwh.geoscience.nsw.gov.au/CI/warehouse/raw/drillhole?project=MIN&amp;site_id=012395","Geol Survey Link")</f>
        <v>Geol Survey Link</v>
      </c>
      <c r="H4270" t="s">
        <v>2571</v>
      </c>
      <c r="I4270">
        <v>-30.871400000000001</v>
      </c>
      <c r="J4270">
        <v>145.56200000000001</v>
      </c>
      <c r="K4270" t="str">
        <f>HYPERLINK("http://nvcl.geoscience.nsw.gov.au/NVCLDataServices/mosaic.html?datasetid=615f9d2f-5bd9-416b-9abe-32420d8ecde","DD93FT1_Core Image")</f>
        <v>DD93FT1_Core Image</v>
      </c>
    </row>
    <row r="4271" spans="1:11" x14ac:dyDescent="0.25">
      <c r="A4271" t="str">
        <f>HYPERLINK("http://www.corstruth.com.au/NSW/G74NW1_cs.png","G74NW1_A4")</f>
        <v>G74NW1_A4</v>
      </c>
      <c r="B4271" t="str">
        <f>HYPERLINK("http://www.corstruth.com.au/NSW/PNG2/G74NW1_cs.png","G74NW1_0.25m Bins")</f>
        <v>G74NW1_0.25m Bins</v>
      </c>
      <c r="C4271" t="str">
        <f>HYPERLINK("http://www.corstruth.com.au/NSW/CSV/G74NW1.csv","G74NW1_CSV File 1m Bins")</f>
        <v>G74NW1_CSV File 1m Bins</v>
      </c>
      <c r="D4271" t="s">
        <v>2572</v>
      </c>
      <c r="E4271" t="s">
        <v>2198</v>
      </c>
      <c r="F4271" t="str">
        <f>HYPERLINK("http://dwh.geoscience.nsw.gov.au/CI/warehouse/raw/drillhole?project=MIN&amp;site_id=037772","Geol Survey Link")</f>
        <v>Geol Survey Link</v>
      </c>
      <c r="H4271" t="s">
        <v>2573</v>
      </c>
      <c r="I4271">
        <v>-32.176900000000003</v>
      </c>
      <c r="J4271">
        <v>149.4</v>
      </c>
      <c r="K4271" t="str">
        <f>HYPERLINK("http://nvcl.geoscience.nsw.gov.au/NVCLDataServices/mosaic.html?datasetid=9cdf02f8-4ed7-4de6-97a4-f4308f17efc","G74NW1_Core Image")</f>
        <v>G74NW1_Core Image</v>
      </c>
    </row>
    <row r="4272" spans="1:11" x14ac:dyDescent="0.25">
      <c r="A4272" t="str">
        <f>HYPERLINK("http://www.corstruth.com.au/NSW/G74NW2B_cs.png","G74NW2B_A4")</f>
        <v>G74NW2B_A4</v>
      </c>
      <c r="B4272" t="str">
        <f>HYPERLINK("http://www.corstruth.com.au/NSW/PNG2/G74NW2B_cs.png","G74NW2B_0.25m Bins")</f>
        <v>G74NW2B_0.25m Bins</v>
      </c>
      <c r="C4272" t="str">
        <f>HYPERLINK("http://www.corstruth.com.au/NSW/CSV/G74NW2B.csv","G74NW2B_CSV File 1m Bins")</f>
        <v>G74NW2B_CSV File 1m Bins</v>
      </c>
      <c r="D4272" t="s">
        <v>2574</v>
      </c>
      <c r="E4272" t="s">
        <v>2198</v>
      </c>
      <c r="F4272" t="str">
        <f>HYPERLINK("http://dwh.geoscience.nsw.gov.au/CI/warehouse/raw/drillhole?project=MIN&amp;site_id=037775","Geol Survey Link")</f>
        <v>Geol Survey Link</v>
      </c>
      <c r="H4272" t="s">
        <v>2573</v>
      </c>
      <c r="I4272">
        <v>-32.177100000000003</v>
      </c>
      <c r="J4272">
        <v>149.39500000000001</v>
      </c>
      <c r="K4272" t="str">
        <f>HYPERLINK("http://nvcl.geoscience.nsw.gov.au/NVCLDataServices/mosaic.html?datasetid=49b73118-4c81-4e94-9c36-616ecce4fe7","G74NW2B_Core Image")</f>
        <v>G74NW2B_Core Image</v>
      </c>
    </row>
    <row r="4273" spans="1:11" x14ac:dyDescent="0.25">
      <c r="A4273" t="str">
        <f>HYPERLINK("http://www.corstruth.com.au/NSW/DD81GC4_cs.png","DD81GC4_A4")</f>
        <v>DD81GC4_A4</v>
      </c>
      <c r="B4273" t="str">
        <f>HYPERLINK("http://www.corstruth.com.au/NSW/PNG2/DD81GC4_cs.png","DD81GC4_0.25m Bins")</f>
        <v>DD81GC4_0.25m Bins</v>
      </c>
      <c r="C4273" t="str">
        <f>HYPERLINK("http://www.corstruth.com.au/NSW/CSV/DD81GC4.csv","DD81GC4_CSV File 1m Bins")</f>
        <v>DD81GC4_CSV File 1m Bins</v>
      </c>
      <c r="D4273" t="s">
        <v>2575</v>
      </c>
      <c r="E4273" t="s">
        <v>2198</v>
      </c>
      <c r="F4273" t="str">
        <f>HYPERLINK("http://dwh.geoscience.nsw.gov.au/CI/warehouse/raw/drillhole?project=MIN&amp;site_id=001539","Geol Survey Link")</f>
        <v>Geol Survey Link</v>
      </c>
      <c r="H4273" t="s">
        <v>2576</v>
      </c>
      <c r="I4273">
        <v>-31.624099999999999</v>
      </c>
      <c r="J4273">
        <v>141.673</v>
      </c>
      <c r="K4273" t="str">
        <f>HYPERLINK("http://nvcl.geoscience.nsw.gov.au/NVCLDataServices/mosaic.html?datasetid=a0f82fdb-d954-43df-9fa7-590f5a97ae9","DD81GC4_Core Image")</f>
        <v>DD81GC4_Core Image</v>
      </c>
    </row>
    <row r="4274" spans="1:11" x14ac:dyDescent="0.25">
      <c r="A4274" t="str">
        <f>HYPERLINK("http://www.corstruth.com.au/NSW/DDH-G10_cs.png","DDH-G10_A4")</f>
        <v>DDH-G10_A4</v>
      </c>
      <c r="B4274" t="str">
        <f>HYPERLINK("http://www.corstruth.com.au/NSW/PNG2/DDH-G10_cs.png","DDH-G10_0.25m Bins")</f>
        <v>DDH-G10_0.25m Bins</v>
      </c>
      <c r="C4274" t="str">
        <f>HYPERLINK("http://www.corstruth.com.au/NSW/CSV/DDH-G10.csv","DDH-G10_CSV File 1m Bins")</f>
        <v>DDH-G10_CSV File 1m Bins</v>
      </c>
      <c r="D4274" t="s">
        <v>2577</v>
      </c>
      <c r="E4274" t="s">
        <v>2198</v>
      </c>
      <c r="F4274" t="str">
        <f>HYPERLINK("http://dwh.geoscience.nsw.gov.au/CI/warehouse/raw/drillhole?project=MIN&amp;site_id=025083","Geol Survey Link")</f>
        <v>Geol Survey Link</v>
      </c>
      <c r="H4274" t="s">
        <v>2578</v>
      </c>
      <c r="I4274">
        <v>-32.666600000000003</v>
      </c>
      <c r="J4274">
        <v>149.05199999999999</v>
      </c>
      <c r="K4274" t="str">
        <f>HYPERLINK("http://nvcl.geoscience.nsw.gov.au/NVCLDataServices/mosaic.html?datasetid=8032019a-70ff-4ea5-822e-a247a956485","DDH-G10_Core Image")</f>
        <v>DDH-G10_Core Image</v>
      </c>
    </row>
    <row r="4275" spans="1:11" x14ac:dyDescent="0.25">
      <c r="A4275" t="str">
        <f>HYPERLINK("http://www.corstruth.com.au/NSW/DDH-G25_cs.png","DDH-G25_A4")</f>
        <v>DDH-G25_A4</v>
      </c>
      <c r="B4275" t="str">
        <f>HYPERLINK("http://www.corstruth.com.au/NSW/PNG2/DDH-G25_cs.png","DDH-G25_0.25m Bins")</f>
        <v>DDH-G25_0.25m Bins</v>
      </c>
      <c r="C4275" t="str">
        <f>HYPERLINK("http://www.corstruth.com.au/NSW/CSV/DDH-G25.csv","DDH-G25_CSV File 1m Bins")</f>
        <v>DDH-G25_CSV File 1m Bins</v>
      </c>
      <c r="D4275" t="s">
        <v>2579</v>
      </c>
      <c r="E4275" t="s">
        <v>2198</v>
      </c>
      <c r="F4275" t="str">
        <f>HYPERLINK("http://dwh.geoscience.nsw.gov.au/CI/warehouse/raw/drillhole?project=MIN&amp;site_id=025099","Geol Survey Link")</f>
        <v>Geol Survey Link</v>
      </c>
      <c r="H4275" t="s">
        <v>2580</v>
      </c>
      <c r="I4275">
        <v>-32.663600000000002</v>
      </c>
      <c r="J4275">
        <v>149.05199999999999</v>
      </c>
      <c r="K4275" t="str">
        <f>HYPERLINK("http://nvcl.geoscience.nsw.gov.au/NVCLDataServices/mosaic.html?datasetid=fd3e3e27-9472-4dd9-879f-66c4bd21f26","DDH-G25_Core Image")</f>
        <v>DDH-G25_Core Image</v>
      </c>
    </row>
    <row r="4276" spans="1:11" x14ac:dyDescent="0.25">
      <c r="A4276" t="str">
        <f>HYPERLINK("http://www.corstruth.com.au/NSW/DDH-G26_cs.png","DDH-G26_A4")</f>
        <v>DDH-G26_A4</v>
      </c>
      <c r="B4276" t="str">
        <f>HYPERLINK("http://www.corstruth.com.au/NSW/PNG2/DDH-G26_cs.png","DDH-G26_0.25m Bins")</f>
        <v>DDH-G26_0.25m Bins</v>
      </c>
      <c r="C4276" t="str">
        <f>HYPERLINK("http://www.corstruth.com.au/NSW/CSV/DDH-G26.csv","DDH-G26_CSV File 1m Bins")</f>
        <v>DDH-G26_CSV File 1m Bins</v>
      </c>
      <c r="D4276" t="s">
        <v>2581</v>
      </c>
      <c r="E4276" t="s">
        <v>2198</v>
      </c>
      <c r="F4276" t="str">
        <f>HYPERLINK("http://dwh.geoscience.nsw.gov.au/CI/warehouse/raw/drillhole?project=MIN&amp;site_id=025100","Geol Survey Link")</f>
        <v>Geol Survey Link</v>
      </c>
      <c r="H4276" t="s">
        <v>2582</v>
      </c>
      <c r="I4276">
        <v>-32.663899999999998</v>
      </c>
      <c r="J4276">
        <v>149.05199999999999</v>
      </c>
      <c r="K4276" t="str">
        <f>HYPERLINK("http://nvcl.geoscience.nsw.gov.au/NVCLDataServices/mosaic.html?datasetid=d53c26f9-cf2b-4764-87da-a5e5b07cd7d","DDH-G26_Core Image")</f>
        <v>DDH-G26_Core Image</v>
      </c>
    </row>
    <row r="4277" spans="1:11" x14ac:dyDescent="0.25">
      <c r="A4277" t="str">
        <f>HYPERLINK("http://www.corstruth.com.au/NSW/DDH-G30_cs.png","DDH-G30_A4")</f>
        <v>DDH-G30_A4</v>
      </c>
      <c r="B4277" t="str">
        <f>HYPERLINK("http://www.corstruth.com.au/NSW/PNG2/DDH-G30_cs.png","DDH-G30_0.25m Bins")</f>
        <v>DDH-G30_0.25m Bins</v>
      </c>
      <c r="C4277" t="str">
        <f>HYPERLINK("http://www.corstruth.com.au/NSW/CSV/DDH-G30.csv","DDH-G30_CSV File 1m Bins")</f>
        <v>DDH-G30_CSV File 1m Bins</v>
      </c>
      <c r="D4277" t="s">
        <v>2583</v>
      </c>
      <c r="E4277" t="s">
        <v>2198</v>
      </c>
      <c r="F4277" t="str">
        <f>HYPERLINK("http://dwh.geoscience.nsw.gov.au/CI/warehouse/raw/drillhole?project=MIN&amp;site_id=025104","Geol Survey Link")</f>
        <v>Geol Survey Link</v>
      </c>
      <c r="H4277" t="s">
        <v>2584</v>
      </c>
      <c r="I4277">
        <v>-32.662999999999997</v>
      </c>
      <c r="J4277">
        <v>149.053</v>
      </c>
      <c r="K4277" t="str">
        <f>HYPERLINK("http://nvcl.geoscience.nsw.gov.au/NVCLDataServices/mosaic.html?datasetid=1a82baa4-abb7-4404-831a-753e8f9d69e","DDH-G30_Core Image")</f>
        <v>DDH-G30_Core Image</v>
      </c>
    </row>
    <row r="4278" spans="1:11" x14ac:dyDescent="0.25">
      <c r="A4278" t="str">
        <f>HYPERLINK("http://www.corstruth.com.au/NSW/DD87GA1_cs.png","DD87GA1_A4")</f>
        <v>DD87GA1_A4</v>
      </c>
      <c r="B4278" t="str">
        <f>HYPERLINK("http://www.corstruth.com.au/NSW/PNG2/DD87GA1_cs.png","DD87GA1_0.25m Bins")</f>
        <v>DD87GA1_0.25m Bins</v>
      </c>
      <c r="C4278" t="str">
        <f>HYPERLINK("http://www.corstruth.com.au/NSW/CSV/DD87GA1.csv","DD87GA1_CSV File 1m Bins")</f>
        <v>DD87GA1_CSV File 1m Bins</v>
      </c>
      <c r="D4278" t="s">
        <v>2585</v>
      </c>
      <c r="E4278" t="s">
        <v>2198</v>
      </c>
      <c r="F4278" t="str">
        <f>HYPERLINK("http://dwh.geoscience.nsw.gov.au/CI/warehouse/raw/drillhole?project=Min&amp;site_id=030647","Geol Survey Link")</f>
        <v>Geol Survey Link</v>
      </c>
      <c r="H4278" t="s">
        <v>2586</v>
      </c>
      <c r="I4278">
        <v>-31.229800000000001</v>
      </c>
      <c r="J4278">
        <v>145.739</v>
      </c>
    </row>
    <row r="4279" spans="1:11" x14ac:dyDescent="0.25">
      <c r="A4279" t="str">
        <f>HYPERLINK("http://www.corstruth.com.au/NSW/DR002_cs.png","DR002_A4")</f>
        <v>DR002_A4</v>
      </c>
      <c r="B4279" t="str">
        <f>HYPERLINK("http://www.corstruth.com.au/NSW/PNG2/DR002_cs.png","DR002_0.25m Bins")</f>
        <v>DR002_0.25m Bins</v>
      </c>
      <c r="C4279" t="str">
        <f>HYPERLINK("http://www.corstruth.com.au/NSW/CSV/DR002.csv","DR002_CSV File 1m Bins")</f>
        <v>DR002_CSV File 1m Bins</v>
      </c>
      <c r="D4279" t="s">
        <v>2587</v>
      </c>
      <c r="E4279" t="s">
        <v>2198</v>
      </c>
      <c r="F4279" t="str">
        <f>HYPERLINK("http://dwh.geoscience.nsw.gov.au/CI/warehouse/raw/drillhole?project=MIN&amp;site_id=019693","Geol Survey Link")</f>
        <v>Geol Survey Link</v>
      </c>
      <c r="H4279" t="s">
        <v>2588</v>
      </c>
      <c r="I4279">
        <v>-33.441099999999999</v>
      </c>
      <c r="J4279">
        <v>147.386</v>
      </c>
      <c r="K4279" t="str">
        <f>HYPERLINK("http://nvcl.geoscience.nsw.gov.au/NVCLDataServices/mosaic.html?datasetid=2b5282d8-d844-4dae-8018-13d040efa3a","DR002_Core Image")</f>
        <v>DR002_Core Image</v>
      </c>
    </row>
    <row r="4280" spans="1:11" x14ac:dyDescent="0.25">
      <c r="A4280" t="str">
        <f>HYPERLINK("http://www.corstruth.com.au/NSW/DR035_cs.png","DR035_A4")</f>
        <v>DR035_A4</v>
      </c>
      <c r="B4280" t="str">
        <f>HYPERLINK("http://www.corstruth.com.au/NSW/PNG2/DR035_cs.png","DR035_0.25m Bins")</f>
        <v>DR035_0.25m Bins</v>
      </c>
      <c r="C4280" t="str">
        <f>HYPERLINK("http://www.corstruth.com.au/NSW/CSV/DR035.csv","DR035_CSV File 1m Bins")</f>
        <v>DR035_CSV File 1m Bins</v>
      </c>
      <c r="D4280" t="s">
        <v>2589</v>
      </c>
      <c r="E4280" t="s">
        <v>2198</v>
      </c>
      <c r="F4280" t="str">
        <f>HYPERLINK("http://dwh.geoscience.nsw.gov.au/CI/warehouse/raw/drillhole?project=MIN&amp;site_id=019726","Geol Survey Link")</f>
        <v>Geol Survey Link</v>
      </c>
      <c r="H4280" t="s">
        <v>2590</v>
      </c>
      <c r="I4280">
        <v>-33.438899999999997</v>
      </c>
      <c r="J4280">
        <v>147.38200000000001</v>
      </c>
      <c r="K4280" t="str">
        <f>HYPERLINK("http://nvcl.geoscience.nsw.gov.au/NVCLDataServices/mosaic.html?datasetid=d7fd210b-2794-4725-9ba6-f12e0892e4f","DR035_Core Image")</f>
        <v>DR035_Core Image</v>
      </c>
    </row>
    <row r="4281" spans="1:11" x14ac:dyDescent="0.25">
      <c r="A4281" t="str">
        <f>HYPERLINK("http://www.corstruth.com.au/NSW/DR036_cs.png","DR036_A4")</f>
        <v>DR036_A4</v>
      </c>
      <c r="B4281" t="str">
        <f>HYPERLINK("http://www.corstruth.com.au/NSW/PNG2/DR036_cs.png","DR036_0.25m Bins")</f>
        <v>DR036_0.25m Bins</v>
      </c>
      <c r="C4281" t="str">
        <f>HYPERLINK("http://www.corstruth.com.au/NSW/CSV/DR036.csv","DR036_CSV File 1m Bins")</f>
        <v>DR036_CSV File 1m Bins</v>
      </c>
      <c r="D4281" t="s">
        <v>2591</v>
      </c>
      <c r="E4281" t="s">
        <v>2198</v>
      </c>
      <c r="F4281" t="str">
        <f>HYPERLINK("http://dwh.geoscience.nsw.gov.au/CI/warehouse/raw/drillhole?project=MIN&amp;site_id=019727","Geol Survey Link")</f>
        <v>Geol Survey Link</v>
      </c>
      <c r="H4281" t="s">
        <v>2592</v>
      </c>
      <c r="I4281">
        <v>-33.442700000000002</v>
      </c>
      <c r="J4281">
        <v>147.38300000000001</v>
      </c>
      <c r="K4281" t="str">
        <f>HYPERLINK("http://nvcl.geoscience.nsw.gov.au/NVCLDataServices/mosaic.html?datasetid=86c2229e-ddaa-41ed-9c21-1736ebbf25a","DR036_Core Image")</f>
        <v>DR036_Core Image</v>
      </c>
    </row>
    <row r="4282" spans="1:11" x14ac:dyDescent="0.25">
      <c r="A4282" t="str">
        <f>HYPERLINK("http://www.corstruth.com.au/NSW/GAMD001_cs.png","GAMD001_A4")</f>
        <v>GAMD001_A4</v>
      </c>
      <c r="B4282" t="str">
        <f>HYPERLINK("http://www.corstruth.com.au/NSW/PNG2/GAMD001_cs.png","GAMD001_0.25m Bins")</f>
        <v>GAMD001_0.25m Bins</v>
      </c>
      <c r="C4282" t="str">
        <f>HYPERLINK("http://www.corstruth.com.au/NSW/CSV/GAMD001.csv","GAMD001_CSV File 1m Bins")</f>
        <v>GAMD001_CSV File 1m Bins</v>
      </c>
      <c r="D4282" t="s">
        <v>2593</v>
      </c>
      <c r="E4282" t="s">
        <v>2198</v>
      </c>
      <c r="F4282" t="str">
        <f>HYPERLINK("http://dwh.geoscience.nsw.gov.au/CI/warehouse/raw/drillhole?project=MIN&amp;site_id=137146","Geol Survey Link")</f>
        <v>Geol Survey Link</v>
      </c>
      <c r="H4282" t="s">
        <v>2594</v>
      </c>
      <c r="I4282">
        <v>-32.717500000000001</v>
      </c>
      <c r="J4282">
        <v>147.971</v>
      </c>
      <c r="K4282" t="str">
        <f>HYPERLINK("http://nvcl.geoscience.nsw.gov.au/NVCLDataServices/mosaic.html?datasetid=14c66c50-2b26-47f3-83f5-4411c896905","GAMD001_Core Image")</f>
        <v>GAMD001_Core Image</v>
      </c>
    </row>
    <row r="4283" spans="1:11" x14ac:dyDescent="0.25">
      <c r="A4283" t="str">
        <f>HYPERLINK("http://www.corstruth.com.au/NSW/TD002_cs.png","TD002_A4")</f>
        <v>TD002_A4</v>
      </c>
      <c r="B4283" t="str">
        <f>HYPERLINK("http://www.corstruth.com.au/NSW/PNG2/TD002_cs.png","TD002_0.25m Bins")</f>
        <v>TD002_0.25m Bins</v>
      </c>
      <c r="C4283" t="str">
        <f>HYPERLINK("http://www.corstruth.com.au/NSW/CSV/TD002.csv","TD002_CSV File 1m Bins")</f>
        <v>TD002_CSV File 1m Bins</v>
      </c>
      <c r="D4283" t="s">
        <v>2595</v>
      </c>
      <c r="E4283" t="s">
        <v>2198</v>
      </c>
      <c r="F4283" t="str">
        <f>HYPERLINK("http://dwh.geoscience.nsw.gov.au/CI/warehouse/raw/drillhole?project=MIN&amp;site_id=034369","Geol Survey Link")</f>
        <v>Geol Survey Link</v>
      </c>
      <c r="H4283" t="s">
        <v>2596</v>
      </c>
      <c r="I4283">
        <v>-34.326000000000001</v>
      </c>
      <c r="J4283">
        <v>147.459</v>
      </c>
      <c r="K4283" t="str">
        <f>HYPERLINK("http://nvcl.geoscience.nsw.gov.au/NVCLDataServices/mosaic.html?datasetid=54b5f783-3805-4e55-a3aa-0a9e45755b7","TD002_Core Image")</f>
        <v>TD002_Core Image</v>
      </c>
    </row>
    <row r="4284" spans="1:11" x14ac:dyDescent="0.25">
      <c r="A4284" t="str">
        <f>HYPERLINK("http://www.corstruth.com.au/NSW/TD003_cs.png","TD003_A4")</f>
        <v>TD003_A4</v>
      </c>
      <c r="B4284" t="str">
        <f>HYPERLINK("http://www.corstruth.com.au/NSW/PNG2/TD003_cs.png","TD003_0.25m Bins")</f>
        <v>TD003_0.25m Bins</v>
      </c>
      <c r="C4284" t="str">
        <f>HYPERLINK("http://www.corstruth.com.au/NSW/CSV/TD003.csv","TD003_CSV File 1m Bins")</f>
        <v>TD003_CSV File 1m Bins</v>
      </c>
      <c r="D4284" t="s">
        <v>2597</v>
      </c>
      <c r="E4284" t="s">
        <v>2198</v>
      </c>
      <c r="F4284" t="str">
        <f>HYPERLINK("http://dwh.geoscience.nsw.gov.au/CI/warehouse/raw/drillhole?project=MIN&amp;site_id=034370","Geol Survey Link")</f>
        <v>Geol Survey Link</v>
      </c>
      <c r="H4284" t="s">
        <v>2596</v>
      </c>
      <c r="I4284">
        <v>-34.321199999999997</v>
      </c>
      <c r="J4284">
        <v>147.458</v>
      </c>
      <c r="K4284" t="str">
        <f>HYPERLINK("http://nvcl.geoscience.nsw.gov.au/NVCLDataServices/mosaic.html?datasetid=ddef108e-afc9-4395-bbe8-29a5f24621e","TD003_Core Image")</f>
        <v>TD003_Core Image</v>
      </c>
    </row>
    <row r="4285" spans="1:11" x14ac:dyDescent="0.25">
      <c r="A4285" t="str">
        <f>HYPERLINK("http://www.corstruth.com.au/NSW/TD017_cs.png","TD017_A4")</f>
        <v>TD017_A4</v>
      </c>
      <c r="B4285" t="str">
        <f>HYPERLINK("http://www.corstruth.com.au/NSW/PNG2/TD017_cs.png","TD017_0.25m Bins")</f>
        <v>TD017_0.25m Bins</v>
      </c>
      <c r="C4285" t="str">
        <f>HYPERLINK("http://www.corstruth.com.au/NSW/CSV/TD017.csv","TD017_CSV File 1m Bins")</f>
        <v>TD017_CSV File 1m Bins</v>
      </c>
      <c r="D4285" t="s">
        <v>2598</v>
      </c>
      <c r="E4285" t="s">
        <v>2198</v>
      </c>
      <c r="F4285" t="str">
        <f>HYPERLINK("http://dwh.geoscience.nsw.gov.au/CI/warehouse/raw/drillhole?project=MIN&amp;site_id=034384","Geol Survey Link")</f>
        <v>Geol Survey Link</v>
      </c>
      <c r="H4285" t="s">
        <v>2596</v>
      </c>
      <c r="I4285">
        <v>-34.328899999999997</v>
      </c>
      <c r="J4285">
        <v>147.46</v>
      </c>
      <c r="K4285" t="str">
        <f>HYPERLINK("http://nvcl.geoscience.nsw.gov.au/NVCLDataServices/mosaic.html?datasetid=3eba7918-18e2-479e-ac33-40e92a32608","TD017_Core Image")</f>
        <v>TD017_Core Image</v>
      </c>
    </row>
    <row r="4286" spans="1:11" x14ac:dyDescent="0.25">
      <c r="A4286" t="str">
        <f>HYPERLINK("http://www.corstruth.com.au/NSW/TD021_cs.png","TD021_A4")</f>
        <v>TD021_A4</v>
      </c>
      <c r="B4286" t="str">
        <f>HYPERLINK("http://www.corstruth.com.au/NSW/PNG2/TD021_cs.png","TD021_0.25m Bins")</f>
        <v>TD021_0.25m Bins</v>
      </c>
      <c r="C4286" t="str">
        <f>HYPERLINK("http://www.corstruth.com.au/NSW/CSV/TD021.csv","TD021_CSV File 1m Bins")</f>
        <v>TD021_CSV File 1m Bins</v>
      </c>
      <c r="D4286" t="s">
        <v>2599</v>
      </c>
      <c r="E4286" t="s">
        <v>2198</v>
      </c>
      <c r="F4286" t="str">
        <f>HYPERLINK("http://dwh.geoscience.nsw.gov.au/CI/warehouse/raw/drillhole?project=MIN&amp;site_id=034388","Geol Survey Link")</f>
        <v>Geol Survey Link</v>
      </c>
      <c r="H4286" t="s">
        <v>2596</v>
      </c>
      <c r="I4286">
        <v>-34.3249</v>
      </c>
      <c r="J4286">
        <v>147.459</v>
      </c>
      <c r="K4286" t="str">
        <f>HYPERLINK("http://nvcl.geoscience.nsw.gov.au/NVCLDataServices/mosaic.html?datasetid=e109708d-e96e-4c85-af81-fd6b2aea3b4","TD021_Core Image")</f>
        <v>TD021_Core Image</v>
      </c>
    </row>
    <row r="4287" spans="1:11" x14ac:dyDescent="0.25">
      <c r="A4287" t="str">
        <f>HYPERLINK("http://www.corstruth.com.au/NSW/GENSW80-1_cs.png","GENSW80-1_A4")</f>
        <v>GENSW80-1_A4</v>
      </c>
      <c r="B4287" t="str">
        <f>HYPERLINK("http://www.corstruth.com.au/NSW/PNG2/GENSW80-1_cs.png","GENSW80-1_0.25m Bins")</f>
        <v>GENSW80-1_0.25m Bins</v>
      </c>
      <c r="C4287" t="str">
        <f>HYPERLINK("http://www.corstruth.com.au/NSW/CSV/GENSW80-1.csv","GENSW80-1_CSV File 1m Bins")</f>
        <v>GENSW80-1_CSV File 1m Bins</v>
      </c>
      <c r="D4287" t="s">
        <v>2600</v>
      </c>
      <c r="E4287" t="s">
        <v>2198</v>
      </c>
      <c r="F4287" t="str">
        <f>HYPERLINK("http://dwh.geoscience.nsw.gov.au/CI/warehouse/raw/drillhole?project=MIN&amp;site_id=027252","Geol Survey Link")</f>
        <v>Geol Survey Link</v>
      </c>
      <c r="H4287" t="s">
        <v>2601</v>
      </c>
      <c r="I4287">
        <v>-29.6233</v>
      </c>
      <c r="J4287">
        <v>151.863</v>
      </c>
      <c r="K4287" t="str">
        <f>HYPERLINK("http://nvcl.geoscience.nsw.gov.au/NVCLDataServices/mosaic.html?datasetid=5d02bd33-8787-444c-9029-12e7cc0c3c1","GENSW80-1_Core Image")</f>
        <v>GENSW80-1_Core Image</v>
      </c>
    </row>
    <row r="4288" spans="1:11" x14ac:dyDescent="0.25">
      <c r="A4288" t="str">
        <f>HYPERLINK("http://www.corstruth.com.au/NSW/GENSW81-3_cs.png","GENSW81-3_A4")</f>
        <v>GENSW81-3_A4</v>
      </c>
      <c r="B4288" t="str">
        <f>HYPERLINK("http://www.corstruth.com.au/NSW/PNG2/GENSW81-3_cs.png","GENSW81-3_0.25m Bins")</f>
        <v>GENSW81-3_0.25m Bins</v>
      </c>
      <c r="C4288" t="str">
        <f>HYPERLINK("http://www.corstruth.com.au/NSW/CSV/GENSW81-3.csv","GENSW81-3_CSV File 1m Bins")</f>
        <v>GENSW81-3_CSV File 1m Bins</v>
      </c>
      <c r="D4288" t="s">
        <v>2602</v>
      </c>
      <c r="E4288" t="s">
        <v>2198</v>
      </c>
      <c r="F4288" t="str">
        <f>HYPERLINK("http://dwh.geoscience.nsw.gov.au/CI/warehouse/raw/drillhole?project=MIN&amp;site_id=027254","Geol Survey Link")</f>
        <v>Geol Survey Link</v>
      </c>
      <c r="H4288" t="s">
        <v>2601</v>
      </c>
      <c r="I4288">
        <v>-29.623000000000001</v>
      </c>
      <c r="J4288">
        <v>151.864</v>
      </c>
      <c r="K4288" t="str">
        <f>HYPERLINK("http://nvcl.geoscience.nsw.gov.au/NVCLDataServices/mosaic.html?datasetid=1512dced-6a7a-49c3-bd3f-75665318475","GENSW81-3_Core Image")</f>
        <v>GENSW81-3_Core Image</v>
      </c>
    </row>
    <row r="4289" spans="1:11" x14ac:dyDescent="0.25">
      <c r="A4289" t="str">
        <f>HYPERLINK("http://www.corstruth.com.au/NSW/GENSW81-4_cs.png","GENSW81-4_A4")</f>
        <v>GENSW81-4_A4</v>
      </c>
      <c r="B4289" t="str">
        <f>HYPERLINK("http://www.corstruth.com.au/NSW/PNG2/GENSW81-4_cs.png","GENSW81-4_0.25m Bins")</f>
        <v>GENSW81-4_0.25m Bins</v>
      </c>
      <c r="C4289" t="str">
        <f>HYPERLINK("http://www.corstruth.com.au/NSW/CSV/GENSW81-4.csv","GENSW81-4_CSV File 1m Bins")</f>
        <v>GENSW81-4_CSV File 1m Bins</v>
      </c>
      <c r="D4289" t="s">
        <v>2603</v>
      </c>
      <c r="E4289" t="s">
        <v>2198</v>
      </c>
      <c r="F4289" t="str">
        <f>HYPERLINK("http://dwh.geoscience.nsw.gov.au/CI/warehouse/raw/drillhole?project=MIN&amp;site_id=027255","Geol Survey Link")</f>
        <v>Geol Survey Link</v>
      </c>
      <c r="H4289" t="s">
        <v>2601</v>
      </c>
      <c r="I4289">
        <v>-29.6234</v>
      </c>
      <c r="J4289">
        <v>151.86199999999999</v>
      </c>
      <c r="K4289" t="str">
        <f>HYPERLINK("http://nvcl.geoscience.nsw.gov.au/NVCLDataServices/mosaic.html?datasetid=74b86f1a-b138-4bc5-aee1-a918aade740","GENSW81-4_Core Image")</f>
        <v>GENSW81-4_Core Image</v>
      </c>
    </row>
    <row r="4290" spans="1:11" x14ac:dyDescent="0.25">
      <c r="A4290" t="str">
        <f>HYPERLINK("http://www.corstruth.com.au/NSW/GENSW81-5_cs.png","GENSW81-5_A4")</f>
        <v>GENSW81-5_A4</v>
      </c>
      <c r="B4290" t="str">
        <f>HYPERLINK("http://www.corstruth.com.au/NSW/PNG2/GENSW81-5_cs.png","GENSW81-5_0.25m Bins")</f>
        <v>GENSW81-5_0.25m Bins</v>
      </c>
      <c r="C4290" t="str">
        <f>HYPERLINK("http://www.corstruth.com.au/NSW/CSV/GENSW81-5.csv","GENSW81-5_CSV File 1m Bins")</f>
        <v>GENSW81-5_CSV File 1m Bins</v>
      </c>
      <c r="D4290" t="s">
        <v>2604</v>
      </c>
      <c r="E4290" t="s">
        <v>2198</v>
      </c>
      <c r="F4290" t="str">
        <f>HYPERLINK("http://dwh.geoscience.nsw.gov.au/CI/warehouse/raw/drillhole?project=MIN&amp;site_id=027256","Geol Survey Link")</f>
        <v>Geol Survey Link</v>
      </c>
      <c r="H4290" t="s">
        <v>2601</v>
      </c>
      <c r="I4290">
        <v>-29.622699999999998</v>
      </c>
      <c r="J4290">
        <v>151.86199999999999</v>
      </c>
      <c r="K4290" t="str">
        <f>HYPERLINK("http://nvcl.geoscience.nsw.gov.au/NVCLDataServices/mosaic.html?datasetid=280cf5e7-bcd2-4b97-84b0-5a74ff861b9","GENSW81-5_Core Image")</f>
        <v>GENSW81-5_Core Image</v>
      </c>
    </row>
    <row r="4291" spans="1:11" x14ac:dyDescent="0.25">
      <c r="A4291" t="str">
        <f>HYPERLINK("http://www.corstruth.com.au/NSW/GENSW81-6_cs.png","GENSW81-6_A4")</f>
        <v>GENSW81-6_A4</v>
      </c>
      <c r="B4291" t="str">
        <f>HYPERLINK("http://www.corstruth.com.au/NSW/PNG2/GENSW81-6_cs.png","GENSW81-6_0.25m Bins")</f>
        <v>GENSW81-6_0.25m Bins</v>
      </c>
      <c r="C4291" t="str">
        <f>HYPERLINK("http://www.corstruth.com.au/NSW/CSV/GENSW81-6.csv","GENSW81-6_CSV File 1m Bins")</f>
        <v>GENSW81-6_CSV File 1m Bins</v>
      </c>
      <c r="D4291" t="s">
        <v>2605</v>
      </c>
      <c r="E4291" t="s">
        <v>2198</v>
      </c>
      <c r="F4291" t="str">
        <f>HYPERLINK("http://dwh.geoscience.nsw.gov.au/CI/warehouse/raw/drillhole?project=MIN&amp;site_id=027257","Geol Survey Link")</f>
        <v>Geol Survey Link</v>
      </c>
      <c r="H4291" t="s">
        <v>2601</v>
      </c>
      <c r="I4291">
        <v>-29.6219</v>
      </c>
      <c r="J4291">
        <v>151.863</v>
      </c>
      <c r="K4291" t="str">
        <f>HYPERLINK("http://nvcl.geoscience.nsw.gov.au/NVCLDataServices/mosaic.html?datasetid=15ae0815-06f5-4a6a-bbad-15690be2e9b","GENSW81-6_Core Image")</f>
        <v>GENSW81-6_Core Image</v>
      </c>
    </row>
    <row r="4292" spans="1:11" x14ac:dyDescent="0.25">
      <c r="A4292" t="str">
        <f>HYPERLINK("http://www.corstruth.com.au/NSW/GENSW81-7_cs.png","GENSW81-7_A4")</f>
        <v>GENSW81-7_A4</v>
      </c>
      <c r="B4292" t="str">
        <f>HYPERLINK("http://www.corstruth.com.au/NSW/PNG2/GENSW81-7_cs.png","GENSW81-7_0.25m Bins")</f>
        <v>GENSW81-7_0.25m Bins</v>
      </c>
      <c r="C4292" t="str">
        <f>HYPERLINK("http://www.corstruth.com.au/NSW/CSV/GENSW81-7.csv","GENSW81-7_CSV File 1m Bins")</f>
        <v>GENSW81-7_CSV File 1m Bins</v>
      </c>
      <c r="D4292" t="s">
        <v>2606</v>
      </c>
      <c r="E4292" t="s">
        <v>2198</v>
      </c>
      <c r="F4292" t="str">
        <f>HYPERLINK("http://dwh.geoscience.nsw.gov.au/CI/warehouse/raw/drillhole?project=MIN&amp;site_id=027258","Geol Survey Link")</f>
        <v>Geol Survey Link</v>
      </c>
      <c r="H4292" t="s">
        <v>2601</v>
      </c>
      <c r="I4292">
        <v>-29.619800000000001</v>
      </c>
      <c r="J4292">
        <v>151.86099999999999</v>
      </c>
      <c r="K4292" t="str">
        <f>HYPERLINK("http://nvcl.geoscience.nsw.gov.au/NVCLDataServices/mosaic.html?datasetid=14b2428a-251b-4e0c-8e98-70934e3099e","GENSW81-7_Core Image")</f>
        <v>GENSW81-7_Core Image</v>
      </c>
    </row>
    <row r="4293" spans="1:11" x14ac:dyDescent="0.25">
      <c r="A4293" t="str">
        <f>HYPERLINK("http://www.corstruth.com.au/NSW/GENSW81-8_cs.png","GENSW81-8_A4")</f>
        <v>GENSW81-8_A4</v>
      </c>
      <c r="B4293" t="str">
        <f>HYPERLINK("http://www.corstruth.com.au/NSW/PNG2/GENSW81-8_cs.png","GENSW81-8_0.25m Bins")</f>
        <v>GENSW81-8_0.25m Bins</v>
      </c>
      <c r="C4293" t="str">
        <f>HYPERLINK("http://www.corstruth.com.au/NSW/CSV/GENSW81-8.csv","GENSW81-8_CSV File 1m Bins")</f>
        <v>GENSW81-8_CSV File 1m Bins</v>
      </c>
      <c r="D4293" t="s">
        <v>2607</v>
      </c>
      <c r="E4293" t="s">
        <v>2198</v>
      </c>
      <c r="F4293" t="str">
        <f>HYPERLINK("http://dwh.geoscience.nsw.gov.au/CI/warehouse/raw/drillhole?project=MIN&amp;site_id=027259","Geol Survey Link")</f>
        <v>Geol Survey Link</v>
      </c>
      <c r="H4293" t="s">
        <v>2601</v>
      </c>
      <c r="I4293">
        <v>-29.622599999999998</v>
      </c>
      <c r="J4293">
        <v>151.864</v>
      </c>
      <c r="K4293" t="str">
        <f>HYPERLINK("http://nvcl.geoscience.nsw.gov.au/NVCLDataServices/mosaic.html?datasetid=d9a5de78-23b2-4e4f-b6b7-2cd4bef07c5","GENSW81-8_Core Image")</f>
        <v>GENSW81-8_Core Image</v>
      </c>
    </row>
    <row r="4294" spans="1:11" x14ac:dyDescent="0.25">
      <c r="A4294" t="str">
        <f>HYPERLINK("http://www.corstruth.com.au/NSW/GD1_cs.png","GD1_A4")</f>
        <v>GD1_A4</v>
      </c>
      <c r="B4294" t="str">
        <f>HYPERLINK("http://www.corstruth.com.au/NSW/PNG2/GD1_cs.png","GD1_0.25m Bins")</f>
        <v>GD1_0.25m Bins</v>
      </c>
      <c r="C4294" t="str">
        <f>HYPERLINK("http://www.corstruth.com.au/NSW/CSV/GD1.csv","GD1_CSV File 1m Bins")</f>
        <v>GD1_CSV File 1m Bins</v>
      </c>
      <c r="D4294" t="s">
        <v>2608</v>
      </c>
      <c r="E4294" t="s">
        <v>2198</v>
      </c>
      <c r="F4294" t="str">
        <f>HYPERLINK("http://dwh.geoscience.nsw.gov.au/CI/warehouse/raw/drillhole?project=MIN&amp;site_id=027900","Geol Survey Link")</f>
        <v>Geol Survey Link</v>
      </c>
      <c r="H4294" t="s">
        <v>2609</v>
      </c>
      <c r="I4294">
        <v>-29.754200000000001</v>
      </c>
      <c r="J4294">
        <v>151.721</v>
      </c>
      <c r="K4294" t="str">
        <f>HYPERLINK("http://nvcl.geoscience.nsw.gov.au/NVCLDataServices/mosaic.html?datasetid=4bccd629-0f80-46b3-aa71-7f2947fbaed","GD1_Core Image")</f>
        <v>GD1_Core Image</v>
      </c>
    </row>
    <row r="4295" spans="1:11" x14ac:dyDescent="0.25">
      <c r="A4295" t="str">
        <f>HYPERLINK("http://www.corstruth.com.au/NSW/GD2_cs.png","GD2_A4")</f>
        <v>GD2_A4</v>
      </c>
      <c r="B4295" t="str">
        <f>HYPERLINK("http://www.corstruth.com.au/NSW/PNG2/GD2_cs.png","GD2_0.25m Bins")</f>
        <v>GD2_0.25m Bins</v>
      </c>
      <c r="C4295" t="str">
        <f>HYPERLINK("http://www.corstruth.com.au/NSW/CSV/GD2.csv","GD2_CSV File 1m Bins")</f>
        <v>GD2_CSV File 1m Bins</v>
      </c>
      <c r="D4295" t="s">
        <v>2610</v>
      </c>
      <c r="E4295" t="s">
        <v>2198</v>
      </c>
      <c r="F4295" t="str">
        <f>HYPERLINK("http://dwh.geoscience.nsw.gov.au/CI/warehouse/raw/drillhole?project=MIN&amp;site_id=027901","Geol Survey Link")</f>
        <v>Geol Survey Link</v>
      </c>
      <c r="H4295" t="s">
        <v>2609</v>
      </c>
      <c r="I4295">
        <v>-29.751999999999999</v>
      </c>
      <c r="J4295">
        <v>151.72399999999999</v>
      </c>
      <c r="K4295" t="str">
        <f>HYPERLINK("http://nvcl.geoscience.nsw.gov.au/NVCLDataServices/mosaic.html?datasetid=dc26e2ac-69f4-42e1-80ab-cb9e6020c06","GD2_Core Image")</f>
        <v>GD2_Core Image</v>
      </c>
    </row>
    <row r="4296" spans="1:11" x14ac:dyDescent="0.25">
      <c r="A4296" t="str">
        <f>HYPERLINK("http://www.corstruth.com.au/NSW/GD3_cs.png","GD3_A4")</f>
        <v>GD3_A4</v>
      </c>
      <c r="B4296" t="str">
        <f>HYPERLINK("http://www.corstruth.com.au/NSW/PNG2/GD3_cs.png","GD3_0.25m Bins")</f>
        <v>GD3_0.25m Bins</v>
      </c>
      <c r="C4296" t="str">
        <f>HYPERLINK("http://www.corstruth.com.au/NSW/CSV/GD3.csv","GD3_CSV File 1m Bins")</f>
        <v>GD3_CSV File 1m Bins</v>
      </c>
      <c r="D4296" t="s">
        <v>2611</v>
      </c>
      <c r="E4296" t="s">
        <v>2198</v>
      </c>
      <c r="F4296" t="str">
        <f>HYPERLINK("http://dwh.geoscience.nsw.gov.au/CI/warehouse/raw/drillhole?project=MIN&amp;site_id=027902","Geol Survey Link")</f>
        <v>Geol Survey Link</v>
      </c>
      <c r="H4296" t="s">
        <v>2609</v>
      </c>
      <c r="I4296">
        <v>-29.7498</v>
      </c>
      <c r="J4296">
        <v>151.726</v>
      </c>
      <c r="K4296" t="str">
        <f>HYPERLINK("http://nvcl.geoscience.nsw.gov.au/NVCLDataServices/mosaic.html?datasetid=1690fa4f-04ad-4035-9eee-779e1f8d7ff","GD3_Core Image")</f>
        <v>GD3_Core Image</v>
      </c>
    </row>
    <row r="4297" spans="1:11" x14ac:dyDescent="0.25">
      <c r="A4297" t="str">
        <f>HYPERLINK("http://www.corstruth.com.au/NSW/GLENMORE1_cs.png","GLENMORE1_A4")</f>
        <v>GLENMORE1_A4</v>
      </c>
      <c r="B4297" t="str">
        <f>HYPERLINK("http://www.corstruth.com.au/NSW/PNG2/GLENMORE1_cs.png","GLENMORE1_0.25m Bins")</f>
        <v>GLENMORE1_0.25m Bins</v>
      </c>
      <c r="C4297" t="str">
        <f>HYPERLINK("http://www.corstruth.com.au/NSW/CSV/GLENMORE1.csv","GLENMORE1_CSV File 1m Bins")</f>
        <v>GLENMORE1_CSV File 1m Bins</v>
      </c>
      <c r="D4297" t="s">
        <v>2612</v>
      </c>
      <c r="E4297" t="s">
        <v>2198</v>
      </c>
      <c r="F4297" t="str">
        <f>HYPERLINK("http://dwh.geoscience.nsw.gov.au/CI/warehouse/raw/drillhole?project=MIN&amp;site_id=000539","Geol Survey Link")</f>
        <v>Geol Survey Link</v>
      </c>
      <c r="H4297" t="s">
        <v>2613</v>
      </c>
      <c r="I4297">
        <v>-31.078800000000001</v>
      </c>
      <c r="J4297">
        <v>141.09100000000001</v>
      </c>
      <c r="K4297" t="str">
        <f>HYPERLINK("http://nvcl.geoscience.nsw.gov.au/NVCLDataServices/mosaic.html?datasetid=310eb0ad-60d5-44db-b91e-e4f7cb9e60a","GLENMORE1_Core Image")</f>
        <v>GLENMORE1_Core Image</v>
      </c>
    </row>
    <row r="4298" spans="1:11" x14ac:dyDescent="0.25">
      <c r="A4298" t="str">
        <f>HYPERLINK("http://www.corstruth.com.au/NSW/ADD-1_cs.png","ADD-1_A4")</f>
        <v>ADD-1_A4</v>
      </c>
      <c r="B4298" t="str">
        <f>HYPERLINK("http://www.corstruth.com.au/NSW/PNG2/ADD-1_cs.png","ADD-1_0.25m Bins")</f>
        <v>ADD-1_0.25m Bins</v>
      </c>
      <c r="C4298" t="str">
        <f>HYPERLINK("http://www.corstruth.com.au/NSW/CSV/ADD-1.csv","ADD-1_CSV File 1m Bins")</f>
        <v>ADD-1_CSV File 1m Bins</v>
      </c>
      <c r="D4298" t="s">
        <v>2614</v>
      </c>
      <c r="E4298" t="s">
        <v>2198</v>
      </c>
      <c r="F4298" t="str">
        <f>HYPERLINK("http://dwh.geoscience.nsw.gov.au/CI/warehouse/raw/drillhole?project=MIN&amp;site_id=044056","Geol Survey Link")</f>
        <v>Geol Survey Link</v>
      </c>
      <c r="H4298" t="s">
        <v>2615</v>
      </c>
      <c r="I4298">
        <v>-31.286999999999999</v>
      </c>
      <c r="J4298">
        <v>142.696</v>
      </c>
      <c r="K4298" t="str">
        <f>HYPERLINK("http://nvcl.geoscience.nsw.gov.au/NVCLDataServices/mosaic.html?datasetid=d938ca2f-f7e3-4e32-9944-fc44939cc19","ADD-1_Core Image")</f>
        <v>ADD-1_Core Image</v>
      </c>
    </row>
    <row r="4299" spans="1:11" x14ac:dyDescent="0.25">
      <c r="A4299" t="str">
        <f>HYPERLINK("http://www.corstruth.com.au/NSW/DD90GR07_cs.png","DD90GR07_A4")</f>
        <v>DD90GR07_A4</v>
      </c>
      <c r="B4299" t="str">
        <f>HYPERLINK("http://www.corstruth.com.au/NSW/PNG2/DD90GR07_cs.png","DD90GR07_0.25m Bins")</f>
        <v>DD90GR07_0.25m Bins</v>
      </c>
      <c r="C4299" t="str">
        <f>HYPERLINK("http://www.corstruth.com.au/NSW/CSV/DD90GR07.csv","DD90GR07_CSV File 1m Bins")</f>
        <v>DD90GR07_CSV File 1m Bins</v>
      </c>
      <c r="D4299" t="s">
        <v>2616</v>
      </c>
      <c r="E4299" t="s">
        <v>2198</v>
      </c>
      <c r="F4299" t="str">
        <f>HYPERLINK("http://dwh.geoscience.nsw.gov.au/CI/warehouse/raw/drillhole?project=MIN&amp;site_id=000180","Geol Survey Link")</f>
        <v>Geol Survey Link</v>
      </c>
      <c r="H4299" t="s">
        <v>2615</v>
      </c>
      <c r="I4299">
        <v>-31.302499999999998</v>
      </c>
      <c r="J4299">
        <v>142.714</v>
      </c>
      <c r="K4299" t="str">
        <f>HYPERLINK("http://nvcl.geoscience.nsw.gov.au/NVCLDataServices/mosaic.html?datasetid=64b552c7-a592-472e-b9bb-642d83e3600","DD90GR07_Core Image")</f>
        <v>DD90GR07_Core Image</v>
      </c>
    </row>
    <row r="4300" spans="1:11" x14ac:dyDescent="0.25">
      <c r="A4300" t="str">
        <f>HYPERLINK("http://www.corstruth.com.au/NSW/LV4_cs.png","LV4_A4")</f>
        <v>LV4_A4</v>
      </c>
      <c r="B4300" t="str">
        <f>HYPERLINK("http://www.corstruth.com.au/NSW/PNG2/LV4_cs.png","LV4_0.25m Bins")</f>
        <v>LV4_0.25m Bins</v>
      </c>
      <c r="C4300" t="str">
        <f>HYPERLINK("http://www.corstruth.com.au/NSW/CSV/LV4.csv","LV4_CSV File 1m Bins")</f>
        <v>LV4_CSV File 1m Bins</v>
      </c>
      <c r="D4300" t="s">
        <v>2617</v>
      </c>
      <c r="E4300" t="s">
        <v>2198</v>
      </c>
      <c r="F4300" t="str">
        <f>HYPERLINK("http://dwh.geoscience.nsw.gov.au/CI/warehouse/raw/drillhole?project=MIN&amp;site_id=037860","Geol Survey Link")</f>
        <v>Geol Survey Link</v>
      </c>
      <c r="H4300" t="s">
        <v>2618</v>
      </c>
      <c r="I4300">
        <v>-32.0214</v>
      </c>
      <c r="J4300">
        <v>149.53399999999999</v>
      </c>
      <c r="K4300" t="str">
        <f>HYPERLINK("http://nvcl.geoscience.nsw.gov.au/NVCLDataServices/mosaic.html?datasetid=9c236913-4c8c-4e22-a1b0-cb2825a402a","LV4_Core Image")</f>
        <v>LV4_Core Image</v>
      </c>
    </row>
    <row r="4301" spans="1:11" x14ac:dyDescent="0.25">
      <c r="A4301" t="str">
        <f>HYPERLINK("http://www.corstruth.com.au/NSW/DDHBDB-7_cs.png","DDHBDB-7_A4")</f>
        <v>DDHBDB-7_A4</v>
      </c>
      <c r="B4301" t="str">
        <f>HYPERLINK("http://www.corstruth.com.au/NSW/PNG2/DDHBDB-7_cs.png","DDHBDB-7_0.25m Bins")</f>
        <v>DDHBDB-7_0.25m Bins</v>
      </c>
      <c r="C4301" t="str">
        <f>HYPERLINK("http://www.corstruth.com.au/NSW/CSV/DDHBDB-7.csv","DDHBDB-7_CSV File 1m Bins")</f>
        <v>DDHBDB-7_CSV File 1m Bins</v>
      </c>
      <c r="D4301" t="s">
        <v>2619</v>
      </c>
      <c r="E4301" t="s">
        <v>2198</v>
      </c>
      <c r="F4301" t="str">
        <f>HYPERLINK("http://dwh.geoscience.nsw.gov.au/CI/warehouse/raw/drillhole?project=MIN&amp;site_id=006747","Geol Survey Link")</f>
        <v>Geol Survey Link</v>
      </c>
      <c r="H4301" t="s">
        <v>2620</v>
      </c>
      <c r="I4301">
        <v>-32.070799999999998</v>
      </c>
      <c r="J4301">
        <v>147.273</v>
      </c>
      <c r="K4301" t="str">
        <f>HYPERLINK("http://nvcl.geoscience.nsw.gov.au/NVCLDataServices/mosaic.html?datasetid=ac6cd0ef-914f-460b-a7de-ec482c1a7fd","DDHBDB-7_Core Image")</f>
        <v>DDHBDB-7_Core Image</v>
      </c>
    </row>
    <row r="4302" spans="1:11" x14ac:dyDescent="0.25">
      <c r="A4302" t="str">
        <f>HYPERLINK("http://www.corstruth.com.au/NSW/DDH-1_cs.png","DDH-1_A4")</f>
        <v>DDH-1_A4</v>
      </c>
      <c r="B4302" t="str">
        <f>HYPERLINK("http://www.corstruth.com.au/NSW/PNG2/DDH-1_cs.png","DDH-1_0.25m Bins")</f>
        <v>DDH-1_0.25m Bins</v>
      </c>
      <c r="C4302" t="str">
        <f>HYPERLINK("http://www.corstruth.com.au/NSW/CSV/DDH-1.csv","DDH-1_CSV File 1m Bins")</f>
        <v>DDH-1_CSV File 1m Bins</v>
      </c>
      <c r="D4302" t="s">
        <v>2621</v>
      </c>
      <c r="E4302" t="s">
        <v>2198</v>
      </c>
      <c r="F4302" t="str">
        <f>HYPERLINK("http://dwh.geoscience.nsw.gov.au/CI/warehouse/raw/drillhole?project=MIN&amp;site_id=016082","Geol Survey Link")</f>
        <v>Geol Survey Link</v>
      </c>
      <c r="H4302" t="s">
        <v>2622</v>
      </c>
      <c r="I4302">
        <v>-32.441200000000002</v>
      </c>
      <c r="J4302">
        <v>149.542</v>
      </c>
      <c r="K4302" t="str">
        <f>HYPERLINK("http://nvcl.geoscience.nsw.gov.au/NVCLDataServices/mosaic.html?datasetid=bfee174f-efd4-48aa-9584-e08beed280f","DDH-1_Core Image")</f>
        <v>DDH-1_Core Image</v>
      </c>
    </row>
    <row r="4303" spans="1:11" x14ac:dyDescent="0.25">
      <c r="A4303" t="str">
        <f>HYPERLINK("http://www.corstruth.com.au/NSW/GD123_cs.png","GD123_A4")</f>
        <v>GD123_A4</v>
      </c>
      <c r="B4303" t="str">
        <f>HYPERLINK("http://www.corstruth.com.au/NSW/PNG2/GD123_cs.png","GD123_0.25m Bins")</f>
        <v>GD123_0.25m Bins</v>
      </c>
      <c r="C4303" t="str">
        <f>HYPERLINK("http://www.corstruth.com.au/NSW/CSV/GD123.csv","GD123_CSV File 1m Bins")</f>
        <v>GD123_CSV File 1m Bins</v>
      </c>
      <c r="D4303" t="s">
        <v>2623</v>
      </c>
      <c r="E4303" t="s">
        <v>2198</v>
      </c>
      <c r="F4303" t="str">
        <f>HYPERLINK("http://dwh.geoscience.nsw.gov.au/CI/warehouse/raw/drillhole?project=MIN&amp;site_id=038899","Geol Survey Link")</f>
        <v>Geol Survey Link</v>
      </c>
      <c r="H4303" t="s">
        <v>2624</v>
      </c>
      <c r="I4303">
        <v>-32.575800000000001</v>
      </c>
      <c r="J4303">
        <v>146.988</v>
      </c>
      <c r="K4303" t="str">
        <f>HYPERLINK("http://nvcl.geoscience.nsw.gov.au/NVCLDataServices/mosaic.html?datasetid=b3672753-97ca-47f0-80e4-b89d1ac95bc","GD123_Core Image")</f>
        <v>GD123_Core Image</v>
      </c>
    </row>
    <row r="4304" spans="1:11" x14ac:dyDescent="0.25">
      <c r="A4304" t="str">
        <f>HYPERLINK("http://www.corstruth.com.au/NSW/GD139_cs.png","GD139_A4")</f>
        <v>GD139_A4</v>
      </c>
      <c r="B4304" t="str">
        <f>HYPERLINK("http://www.corstruth.com.au/NSW/PNG2/GD139_cs.png","GD139_0.25m Bins")</f>
        <v>GD139_0.25m Bins</v>
      </c>
      <c r="C4304" t="str">
        <f>HYPERLINK("http://www.corstruth.com.au/NSW/CSV/GD139.csv","GD139_CSV File 1m Bins")</f>
        <v>GD139_CSV File 1m Bins</v>
      </c>
      <c r="D4304" t="s">
        <v>2625</v>
      </c>
      <c r="E4304" t="s">
        <v>2198</v>
      </c>
      <c r="F4304" t="str">
        <f>HYPERLINK("http://dwh.geoscience.nsw.gov.au/CI/warehouse/raw/drillhole?project=MIN&amp;site_id=038915","Geol Survey Link")</f>
        <v>Geol Survey Link</v>
      </c>
      <c r="H4304" t="s">
        <v>2626</v>
      </c>
      <c r="I4304">
        <v>-32.575600000000001</v>
      </c>
      <c r="J4304">
        <v>146.989</v>
      </c>
      <c r="K4304" t="str">
        <f>HYPERLINK("http://nvcl.geoscience.nsw.gov.au/NVCLDataServices/mosaic.html?datasetid=bd50bc08-0528-4fef-98f3-305e6a885d7","GD139_Core Image")</f>
        <v>GD139_Core Image</v>
      </c>
    </row>
    <row r="4305" spans="1:11" x14ac:dyDescent="0.25">
      <c r="A4305" t="str">
        <f>HYPERLINK("http://www.corstruth.com.au/NSW/GD141_cs.png","GD141_A4")</f>
        <v>GD141_A4</v>
      </c>
      <c r="B4305" t="str">
        <f>HYPERLINK("http://www.corstruth.com.au/NSW/PNG2/GD141_cs.png","GD141_0.25m Bins")</f>
        <v>GD141_0.25m Bins</v>
      </c>
      <c r="C4305" t="str">
        <f>HYPERLINK("http://www.corstruth.com.au/NSW/CSV/GD141.csv","GD141_CSV File 1m Bins")</f>
        <v>GD141_CSV File 1m Bins</v>
      </c>
      <c r="D4305" t="s">
        <v>2627</v>
      </c>
      <c r="E4305" t="s">
        <v>2198</v>
      </c>
      <c r="F4305" t="str">
        <f>HYPERLINK("http://dwh.geoscience.nsw.gov.au/CI/warehouse/raw/drillhole?project=MIN&amp;site_id=038917","Geol Survey Link")</f>
        <v>Geol Survey Link</v>
      </c>
      <c r="H4305" t="s">
        <v>2628</v>
      </c>
      <c r="I4305">
        <v>-32.575099999999999</v>
      </c>
      <c r="J4305">
        <v>146.988</v>
      </c>
      <c r="K4305" t="str">
        <f>HYPERLINK("http://nvcl.geoscience.nsw.gov.au/NVCLDataServices/mosaic.html?datasetid=d37634b1-d0ae-4504-8f2e-2406e9e6000","GD141_Core Image")</f>
        <v>GD141_Core Image</v>
      </c>
    </row>
    <row r="4306" spans="1:11" x14ac:dyDescent="0.25">
      <c r="A4306" t="str">
        <f>HYPERLINK("http://www.corstruth.com.au/NSW/GD154_cs.png","GD154_A4")</f>
        <v>GD154_A4</v>
      </c>
      <c r="B4306" t="str">
        <f>HYPERLINK("http://www.corstruth.com.au/NSW/PNG2/GD154_cs.png","GD154_0.25m Bins")</f>
        <v>GD154_0.25m Bins</v>
      </c>
      <c r="C4306" t="str">
        <f>HYPERLINK("http://www.corstruth.com.au/NSW/CSV/GD154.csv","GD154_CSV File 1m Bins")</f>
        <v>GD154_CSV File 1m Bins</v>
      </c>
      <c r="D4306" t="s">
        <v>2629</v>
      </c>
      <c r="E4306" t="s">
        <v>2198</v>
      </c>
      <c r="F4306" t="str">
        <f>HYPERLINK("http://dwh.geoscience.nsw.gov.au/CI/warehouse/raw/drillhole?project=MIN&amp;site_id=038930","Geol Survey Link")</f>
        <v>Geol Survey Link</v>
      </c>
      <c r="H4306" t="s">
        <v>2630</v>
      </c>
      <c r="I4306">
        <v>-32.574100000000001</v>
      </c>
      <c r="J4306">
        <v>146.99</v>
      </c>
      <c r="K4306" t="str">
        <f>HYPERLINK("http://nvcl.geoscience.nsw.gov.au/NVCLDataServices/mosaic.html?datasetid=b3dae3c7-6961-4526-aa79-c6a570a03a9","GD154_Core Image")</f>
        <v>GD154_Core Image</v>
      </c>
    </row>
    <row r="4307" spans="1:11" x14ac:dyDescent="0.25">
      <c r="A4307" t="str">
        <f>HYPERLINK("http://www.corstruth.com.au/NSW/G-2_cs.png","G-2_A4")</f>
        <v>G-2_A4</v>
      </c>
      <c r="B4307" t="str">
        <f>HYPERLINK("http://www.corstruth.com.au/NSW/PNG2/G-2_cs.png","G-2_0.25m Bins")</f>
        <v>G-2_0.25m Bins</v>
      </c>
      <c r="C4307" t="str">
        <f>HYPERLINK("http://www.corstruth.com.au/NSW/CSV/G-2.csv","G-2_CSV File 1m Bins")</f>
        <v>G-2_CSV File 1m Bins</v>
      </c>
      <c r="D4307" t="s">
        <v>2631</v>
      </c>
      <c r="E4307" t="s">
        <v>2198</v>
      </c>
      <c r="F4307" t="str">
        <f>HYPERLINK("http://dwh.geoscience.nsw.gov.au/CI/warehouse/raw/drillhole?project=MIN&amp;site_id=005711","Geol Survey Link")</f>
        <v>Geol Survey Link</v>
      </c>
      <c r="H4307" t="s">
        <v>2632</v>
      </c>
      <c r="I4307">
        <v>-34.72</v>
      </c>
      <c r="J4307">
        <v>147.04400000000001</v>
      </c>
      <c r="K4307" t="str">
        <f>HYPERLINK("http://nvcl.geoscience.nsw.gov.au/NVCLDataServices/mosaic.html?datasetid=fdf36d45-b8ae-4e62-ad14-fc503d6d071","G-2_Core Image")</f>
        <v>G-2_Core Image</v>
      </c>
    </row>
    <row r="4308" spans="1:11" x14ac:dyDescent="0.25">
      <c r="A4308" t="str">
        <f>HYPERLINK("http://www.corstruth.com.au/NSW/HD02_cs.png","HD02_A4")</f>
        <v>HD02_A4</v>
      </c>
      <c r="B4308" t="str">
        <f>HYPERLINK("http://www.corstruth.com.au/NSW/PNG2/HD02_cs.png","HD02_0.25m Bins")</f>
        <v>HD02_0.25m Bins</v>
      </c>
      <c r="C4308" t="str">
        <f>HYPERLINK("http://www.corstruth.com.au/NSW/CSV/HD02.csv","HD02_CSV File 1m Bins")</f>
        <v>HD02_CSV File 1m Bins</v>
      </c>
      <c r="D4308" t="s">
        <v>2633</v>
      </c>
      <c r="E4308" t="s">
        <v>2198</v>
      </c>
      <c r="F4308" t="str">
        <f>HYPERLINK("http://dwh.geoscience.nsw.gov.au/CI/warehouse/raw/drillhole?project=MIN&amp;site_id=044044","Geol Survey Link")</f>
        <v>Geol Survey Link</v>
      </c>
      <c r="H4308" t="s">
        <v>2634</v>
      </c>
      <c r="I4308">
        <v>-29.327400000000001</v>
      </c>
      <c r="J4308">
        <v>151.68100000000001</v>
      </c>
      <c r="K4308" t="str">
        <f>HYPERLINK("http://nvcl.geoscience.nsw.gov.au/NVCLDataServices/mosaic.html?datasetid=19c17133-0d8b-4808-8d18-7e77da0beed","HD02_Core Image")</f>
        <v>HD02_Core Image</v>
      </c>
    </row>
    <row r="4309" spans="1:11" x14ac:dyDescent="0.25">
      <c r="A4309" t="str">
        <f>HYPERLINK("http://www.corstruth.com.au/NSW/HD03_cs.png","HD03_A4")</f>
        <v>HD03_A4</v>
      </c>
      <c r="B4309" t="str">
        <f>HYPERLINK("http://www.corstruth.com.au/NSW/PNG2/HD03_cs.png","HD03_0.25m Bins")</f>
        <v>HD03_0.25m Bins</v>
      </c>
      <c r="C4309" t="str">
        <f>HYPERLINK("http://www.corstruth.com.au/NSW/CSV/HD03.csv","HD03_CSV File 1m Bins")</f>
        <v>HD03_CSV File 1m Bins</v>
      </c>
      <c r="D4309" t="s">
        <v>2635</v>
      </c>
      <c r="E4309" t="s">
        <v>2198</v>
      </c>
      <c r="F4309" t="str">
        <f>HYPERLINK("http://dwh.geoscience.nsw.gov.au/CI/warehouse/raw/drillhole?project=MIN&amp;site_id=044045","Geol Survey Link")</f>
        <v>Geol Survey Link</v>
      </c>
      <c r="H4309" t="s">
        <v>2634</v>
      </c>
      <c r="I4309">
        <v>-29.327200000000001</v>
      </c>
      <c r="J4309">
        <v>151.68199999999999</v>
      </c>
      <c r="K4309" t="str">
        <f>HYPERLINK("http://nvcl.geoscience.nsw.gov.au/NVCLDataServices/mosaic.html?datasetid=244ff77f-479c-4104-8b3e-5793c431875","HD03_Core Image")</f>
        <v>HD03_Core Image</v>
      </c>
    </row>
    <row r="4310" spans="1:11" x14ac:dyDescent="0.25">
      <c r="A4310" t="str">
        <f>HYPERLINK("http://www.corstruth.com.au/NSW/HRD003_cs.png","HRD003_A4")</f>
        <v>HRD003_A4</v>
      </c>
      <c r="B4310" t="str">
        <f>HYPERLINK("http://www.corstruth.com.au/NSW/PNG2/HRD003_cs.png","HRD003_0.25m Bins")</f>
        <v>HRD003_0.25m Bins</v>
      </c>
      <c r="C4310" t="str">
        <f>HYPERLINK("http://www.corstruth.com.au/NSW/CSV/HRD003.csv","HRD003_CSV File 1m Bins")</f>
        <v>HRD003_CSV File 1m Bins</v>
      </c>
      <c r="D4310" t="s">
        <v>2636</v>
      </c>
      <c r="E4310" t="s">
        <v>2198</v>
      </c>
      <c r="F4310" t="str">
        <f>HYPERLINK("http://dwh.geoscience.nsw.gov.au/CI/warehouse/raw/drillhole?project=MIN&amp;site_id=077294","Geol Survey Link")</f>
        <v>Geol Survey Link</v>
      </c>
      <c r="H4310" t="s">
        <v>2637</v>
      </c>
      <c r="I4310">
        <v>-32.109400000000001</v>
      </c>
      <c r="J4310">
        <v>146.32300000000001</v>
      </c>
      <c r="K4310" t="str">
        <f>HYPERLINK("http://nvcl.geoscience.nsw.gov.au/NVCLDataServices/mosaic.html?datasetid=9b088819-1972-4138-9c89-78adc92e17f","HRD003_Core Image")</f>
        <v>HRD003_Core Image</v>
      </c>
    </row>
    <row r="4311" spans="1:11" x14ac:dyDescent="0.25">
      <c r="A4311" t="str">
        <f>HYPERLINK("http://www.corstruth.com.au/NSW/HRD019_cs.png","HRD019_A4")</f>
        <v>HRD019_A4</v>
      </c>
      <c r="B4311" t="str">
        <f>HYPERLINK("http://www.corstruth.com.au/NSW/PNG2/HRD019_cs.png","HRD019_0.25m Bins")</f>
        <v>HRD019_0.25m Bins</v>
      </c>
      <c r="C4311" t="str">
        <f>HYPERLINK("http://www.corstruth.com.au/NSW/CSV/HRD019.csv","HRD019_CSV File 1m Bins")</f>
        <v>HRD019_CSV File 1m Bins</v>
      </c>
      <c r="D4311" t="s">
        <v>2638</v>
      </c>
      <c r="E4311" t="s">
        <v>2198</v>
      </c>
      <c r="F4311" t="str">
        <f>HYPERLINK("http://dwh.geoscience.nsw.gov.au/CI/warehouse/raw/drillhole?project=MIN&amp;site_id=077316","Geol Survey Link")</f>
        <v>Geol Survey Link</v>
      </c>
      <c r="H4311" t="s">
        <v>2637</v>
      </c>
      <c r="I4311">
        <v>-32.111899999999999</v>
      </c>
      <c r="J4311">
        <v>146.32400000000001</v>
      </c>
      <c r="K4311" t="str">
        <f>HYPERLINK("http://nvcl.geoscience.nsw.gov.au/NVCLDataServices/mosaic.html?datasetid=4e947aff-33ed-420f-ac3a-33adac87c00","HRD019_Core Image")</f>
        <v>HRD019_Core Image</v>
      </c>
    </row>
    <row r="4312" spans="1:11" x14ac:dyDescent="0.25">
      <c r="A4312" t="str">
        <f>HYPERLINK("http://www.corstruth.com.au/NSW/HRUD165_cs.png","HRUD165_A4")</f>
        <v>HRUD165_A4</v>
      </c>
      <c r="B4312" t="str">
        <f>HYPERLINK("http://www.corstruth.com.au/NSW/PNG2/HRUD165_cs.png","HRUD165_0.25m Bins")</f>
        <v>HRUD165_0.25m Bins</v>
      </c>
      <c r="C4312" t="str">
        <f>HYPERLINK("http://www.corstruth.com.au/NSW/CSV/HRUD165.csv","HRUD165_CSV File 1m Bins")</f>
        <v>HRUD165_CSV File 1m Bins</v>
      </c>
      <c r="D4312" t="s">
        <v>2639</v>
      </c>
      <c r="E4312" t="s">
        <v>2198</v>
      </c>
      <c r="F4312" t="str">
        <f>HYPERLINK("http://dwh.geoscience.nsw.gov.au/CI/warehouse/raw/drillhole?project=MIN&amp;site_id=165366","Geol Survey Link")</f>
        <v>Geol Survey Link</v>
      </c>
      <c r="H4312" t="s">
        <v>2637</v>
      </c>
      <c r="I4312">
        <v>-32.110100000000003</v>
      </c>
      <c r="J4312">
        <v>146.32499999999999</v>
      </c>
      <c r="K4312" t="str">
        <f>HYPERLINK("http://nvcl.geoscience.nsw.gov.au/NVCLDataServices/mosaic.html?datasetid=7a39e738-bc84-4c4e-90a7-e9cecc842a8","HRUD165_Core Image")</f>
        <v>HRUD165_Core Image</v>
      </c>
    </row>
    <row r="4313" spans="1:11" x14ac:dyDescent="0.25">
      <c r="A4313" t="str">
        <f>HYPERLINK("http://www.corstruth.com.au/NSW/HRUD195_cs.png","HRUD195_A4")</f>
        <v>HRUD195_A4</v>
      </c>
      <c r="B4313" t="str">
        <f>HYPERLINK("http://www.corstruth.com.au/NSW/PNG2/HRUD195_cs.png","HRUD195_0.25m Bins")</f>
        <v>HRUD195_0.25m Bins</v>
      </c>
      <c r="C4313" t="str">
        <f>HYPERLINK("http://www.corstruth.com.au/NSW/CSV/HRUD195.csv","HRUD195_CSV File 1m Bins")</f>
        <v>HRUD195_CSV File 1m Bins</v>
      </c>
      <c r="D4313" t="s">
        <v>2640</v>
      </c>
      <c r="E4313" t="s">
        <v>2198</v>
      </c>
      <c r="F4313" t="str">
        <f>HYPERLINK("http://dwh.geoscience.nsw.gov.au/CI/warehouse/raw/drillhole?project=MIN&amp;site_id=172377","Geol Survey Link")</f>
        <v>Geol Survey Link</v>
      </c>
      <c r="H4313" t="s">
        <v>2637</v>
      </c>
      <c r="I4313">
        <v>-32.109000000000002</v>
      </c>
      <c r="J4313">
        <v>146.32599999999999</v>
      </c>
      <c r="K4313" t="str">
        <f>HYPERLINK("http://nvcl.geoscience.nsw.gov.au/NVCLDataServices/mosaic.html?datasetid=073306ba-612e-477a-8c80-1be6b31f137","HRUD195_Core Image")</f>
        <v>HRUD195_Core Image</v>
      </c>
    </row>
    <row r="4314" spans="1:11" x14ac:dyDescent="0.25">
      <c r="A4314" t="str">
        <f>HYPERLINK("http://www.corstruth.com.au/NSW/DDHW165_cs.png","DDHW165_A4")</f>
        <v>DDHW165_A4</v>
      </c>
      <c r="D4314" t="s">
        <v>2641</v>
      </c>
      <c r="E4314" t="s">
        <v>2198</v>
      </c>
      <c r="F4314" t="str">
        <f>HYPERLINK("http://dwh.geoscience.nsw.gov.au/CI/warehouse/raw/drillhole?project=MIN&amp;site_id=042422","Geol Survey Link")</f>
        <v>Geol Survey Link</v>
      </c>
      <c r="H4314" t="s">
        <v>2642</v>
      </c>
      <c r="I4314">
        <v>-35.063099999999999</v>
      </c>
      <c r="J4314">
        <v>149.57599999999999</v>
      </c>
      <c r="K4314" t="str">
        <f>HYPERLINK("http://nvcl.geoscience.nsw.gov.au/NVCLDataServices/mosaic.html?datasetid=d82b7d3e-045d-4143-99e3-e8b32b5c996","DDHW165_Core Image")</f>
        <v>DDHW165_Core Image</v>
      </c>
    </row>
    <row r="4315" spans="1:11" x14ac:dyDescent="0.25">
      <c r="A4315" t="str">
        <f>HYPERLINK("http://www.corstruth.com.au/NSW/H-11_cs.png","H-11_A4")</f>
        <v>H-11_A4</v>
      </c>
      <c r="B4315" t="str">
        <f>HYPERLINK("http://www.corstruth.com.au/NSW/PNG2/H-11_cs.png","H-11_0.25m Bins")</f>
        <v>H-11_0.25m Bins</v>
      </c>
      <c r="C4315" t="str">
        <f>HYPERLINK("http://www.corstruth.com.au/NSW/CSV/H-11.csv","H-11_CSV File 1m Bins")</f>
        <v>H-11_CSV File 1m Bins</v>
      </c>
      <c r="D4315" t="s">
        <v>2643</v>
      </c>
      <c r="E4315" t="s">
        <v>2198</v>
      </c>
      <c r="F4315" t="str">
        <f>HYPERLINK("http://dwh.geoscience.nsw.gov.au/CI/warehouse/raw/drillhole?project=MIN&amp;site_id=009118","Geol Survey Link")</f>
        <v>Geol Survey Link</v>
      </c>
      <c r="H4315" t="s">
        <v>2644</v>
      </c>
      <c r="I4315">
        <v>-35.590400000000002</v>
      </c>
      <c r="J4315">
        <v>146.91499999999999</v>
      </c>
      <c r="K4315" t="str">
        <f>HYPERLINK("http://nvcl.geoscience.nsw.gov.au/NVCLDataServices/mosaic.html?datasetid=bc96e6e5-8233-4e36-9fce-1b8de771c09","H-11_Core Image")</f>
        <v>H-11_Core Image</v>
      </c>
    </row>
    <row r="4316" spans="1:11" x14ac:dyDescent="0.25">
      <c r="A4316" t="str">
        <f>HYPERLINK("http://www.corstruth.com.au/NSW/H-25_cs.png","H-25_A4")</f>
        <v>H-25_A4</v>
      </c>
      <c r="B4316" t="str">
        <f>HYPERLINK("http://www.corstruth.com.au/NSW/PNG2/H-25_cs.png","H-25_0.25m Bins")</f>
        <v>H-25_0.25m Bins</v>
      </c>
      <c r="C4316" t="str">
        <f>HYPERLINK("http://www.corstruth.com.au/NSW/CSV/H-25.csv","H-25_CSV File 1m Bins")</f>
        <v>H-25_CSV File 1m Bins</v>
      </c>
      <c r="D4316" t="s">
        <v>2645</v>
      </c>
      <c r="E4316" t="s">
        <v>2198</v>
      </c>
      <c r="F4316" t="str">
        <f>HYPERLINK("http://dwh.geoscience.nsw.gov.au/CI/warehouse/raw/drillhole?project=MIN&amp;site_id=009132","Geol Survey Link")</f>
        <v>Geol Survey Link</v>
      </c>
      <c r="H4316" t="s">
        <v>2644</v>
      </c>
      <c r="I4316">
        <v>-35.5886</v>
      </c>
      <c r="J4316">
        <v>146.91200000000001</v>
      </c>
      <c r="K4316" t="str">
        <f>HYPERLINK("http://nvcl.geoscience.nsw.gov.au/NVCLDataServices/mosaic.html?datasetid=672b6c15-3380-4c34-b24d-8acefb2bd80","H-25_Core Image")</f>
        <v>H-25_Core Image</v>
      </c>
    </row>
    <row r="4317" spans="1:11" x14ac:dyDescent="0.25">
      <c r="A4317" t="str">
        <f>HYPERLINK("http://www.corstruth.com.au/NSW/4101D6_cs.png","4101D6_A4")</f>
        <v>4101D6_A4</v>
      </c>
      <c r="B4317" t="str">
        <f>HYPERLINK("http://www.corstruth.com.au/NSW/PNG2/4101D6_cs.png","4101D6_0.25m Bins")</f>
        <v>4101D6_0.25m Bins</v>
      </c>
      <c r="C4317" t="str">
        <f>HYPERLINK("http://www.corstruth.com.au/NSW/CSV/4101D6.csv","4101D6_CSV File 1m Bins")</f>
        <v>4101D6_CSV File 1m Bins</v>
      </c>
      <c r="D4317" t="s">
        <v>2646</v>
      </c>
      <c r="E4317" t="s">
        <v>2198</v>
      </c>
      <c r="F4317" t="str">
        <f>HYPERLINK("http://dwh.geoscience.nsw.gov.au/CI/warehouse/raw/drillhole?project=MIN&amp;site_id=018418","Geol Survey Link")</f>
        <v>Geol Survey Link</v>
      </c>
      <c r="H4317" t="s">
        <v>2647</v>
      </c>
      <c r="I4317">
        <v>-35.155000000000001</v>
      </c>
      <c r="J4317">
        <v>147.93700000000001</v>
      </c>
      <c r="K4317" t="str">
        <f>HYPERLINK("http://nvcl.geoscience.nsw.gov.au/NVCLDataServices/mosaic.html?datasetid=7129cc8f-1fd8-43df-a702-95060196021","4101D6_Core Image")</f>
        <v>4101D6_Core Image</v>
      </c>
    </row>
    <row r="4318" spans="1:11" x14ac:dyDescent="0.25">
      <c r="A4318" t="str">
        <f>HYPERLINK("http://www.corstruth.com.au/NSW/YAD2_cs.png","YAD2_A4")</f>
        <v>YAD2_A4</v>
      </c>
      <c r="B4318" t="str">
        <f>HYPERLINK("http://www.corstruth.com.au/NSW/PNG2/YAD2_cs.png","YAD2_0.25m Bins")</f>
        <v>YAD2_0.25m Bins</v>
      </c>
      <c r="C4318" t="str">
        <f>HYPERLINK("http://www.corstruth.com.au/NSW/CSV/YAD2.csv","YAD2_CSV File 1m Bins")</f>
        <v>YAD2_CSV File 1m Bins</v>
      </c>
      <c r="D4318" t="s">
        <v>2648</v>
      </c>
      <c r="E4318" t="s">
        <v>2198</v>
      </c>
      <c r="F4318" t="str">
        <f>HYPERLINK("http://dwh.geoscience.nsw.gov.au/CI/warehouse/raw/drillhole?project=MIN&amp;site_id=028742","Geol Survey Link")</f>
        <v>Geol Survey Link</v>
      </c>
      <c r="H4318" t="s">
        <v>2649</v>
      </c>
      <c r="I4318">
        <v>-34.932000000000002</v>
      </c>
      <c r="J4318">
        <v>150.37700000000001</v>
      </c>
      <c r="K4318" t="str">
        <f>HYPERLINK("http://nvcl.geoscience.nsw.gov.au/NVCLDataServices/mosaic.html?datasetid=1d740d07-6b9a-4d2d-836f-72003cf9c16","YAD2_Core Image")</f>
        <v>YAD2_Core Image</v>
      </c>
    </row>
    <row r="4319" spans="1:11" x14ac:dyDescent="0.25">
      <c r="A4319" t="str">
        <f>HYPERLINK("http://www.corstruth.com.au/NSW/HDD001_cs.png","HDD001_A4")</f>
        <v>HDD001_A4</v>
      </c>
      <c r="B4319" t="str">
        <f>HYPERLINK("http://www.corstruth.com.au/NSW/PNG2/HDD001_cs.png","HDD001_0.25m Bins")</f>
        <v>HDD001_0.25m Bins</v>
      </c>
      <c r="C4319" t="str">
        <f>HYPERLINK("http://www.corstruth.com.au/NSW/CSV/HDD001.csv","HDD001_CSV File 1m Bins")</f>
        <v>HDD001_CSV File 1m Bins</v>
      </c>
      <c r="D4319" t="s">
        <v>2650</v>
      </c>
      <c r="E4319" t="s">
        <v>2198</v>
      </c>
      <c r="F4319" t="str">
        <f>HYPERLINK("http://dwh.geoscience.nsw.gov.au/CI/warehouse/raw/drillhole?project=MIN&amp;site_id=013032","Geol Survey Link")</f>
        <v>Geol Survey Link</v>
      </c>
      <c r="H4319" t="s">
        <v>2651</v>
      </c>
      <c r="I4319">
        <v>-33.370399999999997</v>
      </c>
      <c r="J4319">
        <v>149.15299999999999</v>
      </c>
      <c r="K4319" t="str">
        <f>HYPERLINK("http://nvcl.geoscience.nsw.gov.au/NVCLDataServices/mosaic.html?datasetid=594ca694-c60f-449d-bc40-83ab81b1826","HDD001_Core Image")</f>
        <v>HDD001_Core Image</v>
      </c>
    </row>
    <row r="4320" spans="1:11" x14ac:dyDescent="0.25">
      <c r="A4320" t="str">
        <f>HYPERLINK("http://www.corstruth.com.au/NSW/HDD004_cs.png","HDD004_A4")</f>
        <v>HDD004_A4</v>
      </c>
      <c r="B4320" t="str">
        <f>HYPERLINK("http://www.corstruth.com.au/NSW/PNG2/HDD004_cs.png","HDD004_0.25m Bins")</f>
        <v>HDD004_0.25m Bins</v>
      </c>
      <c r="C4320" t="str">
        <f>HYPERLINK("http://www.corstruth.com.au/NSW/CSV/HDD004.csv","HDD004_CSV File 1m Bins")</f>
        <v>HDD004_CSV File 1m Bins</v>
      </c>
      <c r="D4320" t="s">
        <v>2652</v>
      </c>
      <c r="E4320" t="s">
        <v>2198</v>
      </c>
      <c r="F4320" t="str">
        <f>HYPERLINK("http://dwh.geoscience.nsw.gov.au/CI/warehouse/raw/drillhole?project=MIN&amp;site_id=013035","Geol Survey Link")</f>
        <v>Geol Survey Link</v>
      </c>
      <c r="H4320" t="s">
        <v>2651</v>
      </c>
      <c r="I4320">
        <v>-33.370399999999997</v>
      </c>
      <c r="J4320">
        <v>149.15299999999999</v>
      </c>
      <c r="K4320" t="str">
        <f>HYPERLINK("http://nvcl.geoscience.nsw.gov.au/NVCLDataServices/mosaic.html?datasetid=abe19b0a-b2d6-40a0-944e-75507b6836b","HDD004_Core Image")</f>
        <v>HDD004_Core Image</v>
      </c>
    </row>
    <row r="4321" spans="1:11" x14ac:dyDescent="0.25">
      <c r="A4321" t="str">
        <f>HYPERLINK("http://www.corstruth.com.au/NSW/HDD009_cs.png","HDD009_A4")</f>
        <v>HDD009_A4</v>
      </c>
      <c r="B4321" t="str">
        <f>HYPERLINK("http://www.corstruth.com.au/NSW/PNG2/HDD009_cs.png","HDD009_0.25m Bins")</f>
        <v>HDD009_0.25m Bins</v>
      </c>
      <c r="C4321" t="str">
        <f>HYPERLINK("http://www.corstruth.com.au/NSW/CSV/HDD009.csv","HDD009_CSV File 1m Bins")</f>
        <v>HDD009_CSV File 1m Bins</v>
      </c>
      <c r="D4321" t="s">
        <v>2653</v>
      </c>
      <c r="E4321" t="s">
        <v>2198</v>
      </c>
      <c r="F4321" t="str">
        <f>HYPERLINK("http://dwh.geoscience.nsw.gov.au/CI/warehouse/raw/drillhole?project=MIN&amp;site_id=013040","Geol Survey Link")</f>
        <v>Geol Survey Link</v>
      </c>
      <c r="H4321" t="s">
        <v>2651</v>
      </c>
      <c r="I4321">
        <v>-33.370399999999997</v>
      </c>
      <c r="J4321">
        <v>149.15299999999999</v>
      </c>
      <c r="K4321" t="str">
        <f>HYPERLINK("http://nvcl.geoscience.nsw.gov.au/NVCLDataServices/mosaic.html?datasetid=8dc76f6a-1405-4b9d-a981-7aaa18db1a3","HDD009_Core Image")</f>
        <v>HDD009_Core Image</v>
      </c>
    </row>
    <row r="4322" spans="1:11" x14ac:dyDescent="0.25">
      <c r="A4322" t="str">
        <f>HYPERLINK("http://www.corstruth.com.au/NSW/IDY8_cs.png","IDY8_A4")</f>
        <v>IDY8_A4</v>
      </c>
      <c r="B4322" t="str">
        <f>HYPERLINK("http://www.corstruth.com.au/NSW/PNG2/IDY8_cs.png","IDY8_0.25m Bins")</f>
        <v>IDY8_0.25m Bins</v>
      </c>
      <c r="C4322" t="str">
        <f>HYPERLINK("http://www.corstruth.com.au/NSW/CSV/IDY8.csv","IDY8_CSV File 1m Bins")</f>
        <v>IDY8_CSV File 1m Bins</v>
      </c>
      <c r="D4322" t="s">
        <v>2654</v>
      </c>
      <c r="E4322" t="s">
        <v>2198</v>
      </c>
      <c r="F4322" t="str">
        <f>HYPERLINK("http://dwh.geoscience.nsw.gov.au/CI/warehouse/raw/drillhole?project=MIN&amp;site_id=018500","Geol Survey Link")</f>
        <v>Geol Survey Link</v>
      </c>
      <c r="H4322" t="s">
        <v>2655</v>
      </c>
      <c r="I4322">
        <v>-35.087699999999998</v>
      </c>
      <c r="J4322">
        <v>148.18799999999999</v>
      </c>
      <c r="K4322" t="str">
        <f>HYPERLINK("http://nvcl.geoscience.nsw.gov.au/NVCLDataServices/mosaic.html?datasetid=7e42385e-4a61-4a79-9c6f-791bac498e3","IDY8_Core Image")</f>
        <v>IDY8_Core Image</v>
      </c>
    </row>
    <row r="4323" spans="1:11" x14ac:dyDescent="0.25">
      <c r="A4323" t="str">
        <f>HYPERLINK("http://www.corstruth.com.au/NSW/PC170_cs.png","PC170_A4")</f>
        <v>PC170_A4</v>
      </c>
      <c r="B4323" t="str">
        <f>HYPERLINK("http://www.corstruth.com.au/NSW/PNG2/PC170_cs.png","PC170_0.25m Bins")</f>
        <v>PC170_0.25m Bins</v>
      </c>
      <c r="C4323" t="str">
        <f>HYPERLINK("http://www.corstruth.com.au/NSW/CSV/PC170.csv","PC170_CSV File 1m Bins")</f>
        <v>PC170_CSV File 1m Bins</v>
      </c>
      <c r="D4323" t="s">
        <v>2656</v>
      </c>
      <c r="E4323" t="s">
        <v>2198</v>
      </c>
      <c r="F4323" t="str">
        <f>HYPERLINK("http://dwh.geoscience.nsw.gov.au/CI/warehouse/raw/drillhole?project=MIN&amp;site_id=003277","Geol Survey Link")</f>
        <v>Geol Survey Link</v>
      </c>
      <c r="H4323" t="s">
        <v>2657</v>
      </c>
      <c r="I4323">
        <v>-33.442799999999998</v>
      </c>
      <c r="J4323">
        <v>148.99700000000001</v>
      </c>
      <c r="K4323" t="str">
        <f>HYPERLINK("http://nvcl.geoscience.nsw.gov.au/NVCLDataServices/mosaic.html?datasetid=b47a9cd3-b7b1-45ef-a013-d6cc7adfb4e","PC170_Core Image")</f>
        <v>PC170_Core Image</v>
      </c>
    </row>
    <row r="4324" spans="1:11" x14ac:dyDescent="0.25">
      <c r="A4324" t="str">
        <f>HYPERLINK("http://www.corstruth.com.au/NSW/IRCD-01_cs.png","IRCD-01_A4")</f>
        <v>IRCD-01_A4</v>
      </c>
      <c r="B4324" t="str">
        <f>HYPERLINK("http://www.corstruth.com.au/NSW/PNG2/IRCD-01_cs.png","IRCD-01_0.25m Bins")</f>
        <v>IRCD-01_0.25m Bins</v>
      </c>
      <c r="C4324" t="str">
        <f>HYPERLINK("http://www.corstruth.com.au/NSW/CSV/IRCD-01.csv","IRCD-01_CSV File 1m Bins")</f>
        <v>IRCD-01_CSV File 1m Bins</v>
      </c>
      <c r="D4324" t="s">
        <v>2658</v>
      </c>
      <c r="E4324" t="s">
        <v>2198</v>
      </c>
      <c r="F4324" t="str">
        <f>HYPERLINK("http://dwh.geoscience.nsw.gov.au/CI/warehouse/raw/drillhole?project=MIN&amp;site_id=024491","Geol Survey Link")</f>
        <v>Geol Survey Link</v>
      </c>
      <c r="H4324" t="s">
        <v>2659</v>
      </c>
      <c r="I4324">
        <v>-33.7258</v>
      </c>
      <c r="J4324">
        <v>147.86600000000001</v>
      </c>
      <c r="K4324" t="str">
        <f>HYPERLINK("http://nvcl.geoscience.nsw.gov.au/NVCLDataServices/mosaic.html?datasetid=fa3c4410-e6c7-4121-8dee-a37d2fc0951","IRCD-01_Core Image")</f>
        <v>IRCD-01_Core Image</v>
      </c>
    </row>
    <row r="4325" spans="1:11" x14ac:dyDescent="0.25">
      <c r="A4325" t="str">
        <f>HYPERLINK("http://www.corstruth.com.au/NSW/IRCD-02_cs.png","IRCD-02_A4")</f>
        <v>IRCD-02_A4</v>
      </c>
      <c r="B4325" t="str">
        <f>HYPERLINK("http://www.corstruth.com.au/NSW/PNG2/IRCD-02_cs.png","IRCD-02_0.25m Bins")</f>
        <v>IRCD-02_0.25m Bins</v>
      </c>
      <c r="C4325" t="str">
        <f>HYPERLINK("http://www.corstruth.com.au/NSW/CSV/IRCD-02.csv","IRCD-02_CSV File 1m Bins")</f>
        <v>IRCD-02_CSV File 1m Bins</v>
      </c>
      <c r="D4325" t="s">
        <v>2660</v>
      </c>
      <c r="E4325" t="s">
        <v>2198</v>
      </c>
      <c r="F4325" t="str">
        <f>HYPERLINK("http://dwh.geoscience.nsw.gov.au/CI/warehouse/raw/drillhole?project=MIN&amp;site_id=024492","Geol Survey Link")</f>
        <v>Geol Survey Link</v>
      </c>
      <c r="H4325" t="s">
        <v>2661</v>
      </c>
      <c r="I4325">
        <v>-33.700000000000003</v>
      </c>
      <c r="J4325">
        <v>147.88300000000001</v>
      </c>
      <c r="K4325" t="str">
        <f>HYPERLINK("http://nvcl.geoscience.nsw.gov.au/NVCLDataServices/mosaic.html?datasetid=d4d072c6-a3b3-437b-baeb-fb3dab9af29","IRCD-02_Core Image")</f>
        <v>IRCD-02_Core Image</v>
      </c>
    </row>
    <row r="4326" spans="1:11" x14ac:dyDescent="0.25">
      <c r="A4326" t="str">
        <f>HYPERLINK("http://www.corstruth.com.au/NSW/PPHR1_cs.png","PPHR1_A4")</f>
        <v>PPHR1_A4</v>
      </c>
      <c r="B4326" t="str">
        <f>HYPERLINK("http://www.corstruth.com.au/NSW/PNG2/PPHR1_cs.png","PPHR1_0.25m Bins")</f>
        <v>PPHR1_0.25m Bins</v>
      </c>
      <c r="C4326" t="str">
        <f>HYPERLINK("http://www.corstruth.com.au/NSW/CSV/PPHR1.csv","PPHR1_CSV File 1m Bins")</f>
        <v>PPHR1_CSV File 1m Bins</v>
      </c>
      <c r="D4326" t="s">
        <v>2662</v>
      </c>
      <c r="E4326" t="s">
        <v>2198</v>
      </c>
      <c r="F4326" t="str">
        <f>HYPERLINK("http://dwh.geoscience.nsw.gov.au/CI/warehouse/raw/drillhole?project=COAL&amp;site_id=046005","Geol Survey Link")</f>
        <v>Geol Survey Link</v>
      </c>
      <c r="H4326" t="s">
        <v>2663</v>
      </c>
      <c r="I4326">
        <v>-32.422800000000002</v>
      </c>
      <c r="J4326">
        <v>150.78800000000001</v>
      </c>
      <c r="K4326" t="str">
        <f>HYPERLINK("http://nvcl.geoscience.nsw.gov.au/NVCLDataServices/mosaic.html?datasetid=2818ed67-1e33-4992-95d4-5b588116051","PPHR1_Core Image")</f>
        <v>PPHR1_Core Image</v>
      </c>
    </row>
    <row r="4327" spans="1:11" x14ac:dyDescent="0.25">
      <c r="A4327" t="str">
        <f>HYPERLINK("http://www.corstruth.com.au/NSW/TH296D504_cs.png","TH296D504_A4")</f>
        <v>TH296D504_A4</v>
      </c>
      <c r="B4327" t="str">
        <f>HYPERLINK("http://www.corstruth.com.au/NSW/PNG2/TH296D504_cs.png","TH296D504_0.25m Bins")</f>
        <v>TH296D504_0.25m Bins</v>
      </c>
      <c r="C4327" t="str">
        <f>HYPERLINK("http://www.corstruth.com.au/NSW/CSV/TH296D504.csv","TH296D504_CSV File 1m Bins")</f>
        <v>TH296D504_CSV File 1m Bins</v>
      </c>
      <c r="D4327" t="s">
        <v>2664</v>
      </c>
      <c r="E4327" t="s">
        <v>2198</v>
      </c>
      <c r="F4327" t="str">
        <f>HYPERLINK("http://dwh.geoscience.nsw.gov.au/CI/warehouse/raw/drillhole?project=MIN&amp;site_id=003921","Geol Survey Link")</f>
        <v>Geol Survey Link</v>
      </c>
      <c r="H4327" t="s">
        <v>2665</v>
      </c>
      <c r="I4327">
        <v>-32.244199999999999</v>
      </c>
      <c r="J4327">
        <v>147.428</v>
      </c>
      <c r="K4327" t="str">
        <f>HYPERLINK("http://nvcl.geoscience.nsw.gov.au/NVCLDataServices/mosaic.html?datasetid=4f0c57d0-bb9f-4395-bcb2-67bd9f5240f","TH296D504_Core Image")</f>
        <v>TH296D504_Core Image</v>
      </c>
    </row>
    <row r="4328" spans="1:11" x14ac:dyDescent="0.25">
      <c r="A4328" t="str">
        <f>HYPERLINK("http://www.corstruth.com.au/NSW/JD5_cs.png","JD5_A4")</f>
        <v>JD5_A4</v>
      </c>
      <c r="B4328" t="str">
        <f>HYPERLINK("http://www.corstruth.com.au/NSW/PNG2/JD5_cs.png","JD5_0.25m Bins")</f>
        <v>JD5_0.25m Bins</v>
      </c>
      <c r="C4328" t="str">
        <f>HYPERLINK("http://www.corstruth.com.au/NSW/CSV/JD5.csv","JD5_CSV File 1m Bins")</f>
        <v>JD5_CSV File 1m Bins</v>
      </c>
      <c r="D4328" t="s">
        <v>2666</v>
      </c>
      <c r="E4328" t="s">
        <v>2198</v>
      </c>
      <c r="F4328" t="str">
        <f>HYPERLINK("http://dwh.geoscience.nsw.gov.au/CI/warehouse/raw/drillhole?project=MIN&amp;site_id=030500","Geol Survey Link")</f>
        <v>Geol Survey Link</v>
      </c>
      <c r="H4328" t="s">
        <v>2667</v>
      </c>
      <c r="I4328">
        <v>-29.025200000000002</v>
      </c>
      <c r="J4328">
        <v>152.517</v>
      </c>
      <c r="K4328" t="str">
        <f>HYPERLINK("http://nvcl.geoscience.nsw.gov.au/NVCLDataServices/mosaic.html?datasetid=a7347b40-6f19-41c2-90dc-5add5b4cdb5","JD5_Core Image")</f>
        <v>JD5_Core Image</v>
      </c>
    </row>
    <row r="4329" spans="1:11" x14ac:dyDescent="0.25">
      <c r="A4329" t="str">
        <f>HYPERLINK("http://www.corstruth.com.au/NSW/JD6_cs.png","JD6_A4")</f>
        <v>JD6_A4</v>
      </c>
      <c r="B4329" t="str">
        <f>HYPERLINK("http://www.corstruth.com.au/NSW/PNG2/JD6_cs.png","JD6_0.25m Bins")</f>
        <v>JD6_0.25m Bins</v>
      </c>
      <c r="C4329" t="str">
        <f>HYPERLINK("http://www.corstruth.com.au/NSW/CSV/JD6.csv","JD6_CSV File 1m Bins")</f>
        <v>JD6_CSV File 1m Bins</v>
      </c>
      <c r="D4329" t="s">
        <v>2668</v>
      </c>
      <c r="E4329" t="s">
        <v>2198</v>
      </c>
      <c r="F4329" t="str">
        <f>HYPERLINK("http://dwh.geoscience.nsw.gov.au/CI/warehouse/raw/drillhole?project=MIN&amp;site_id=030501","Geol Survey Link")</f>
        <v>Geol Survey Link</v>
      </c>
      <c r="H4329" t="s">
        <v>2667</v>
      </c>
      <c r="I4329">
        <v>-29.025099999999998</v>
      </c>
      <c r="J4329">
        <v>152.517</v>
      </c>
      <c r="K4329" t="str">
        <f>HYPERLINK("http://nvcl.geoscience.nsw.gov.au/NVCLDataServices/mosaic.html?datasetid=74a799fd-4d6b-4683-9461-add936c646e","JD6_Core Image")</f>
        <v>JD6_Core Image</v>
      </c>
    </row>
    <row r="4330" spans="1:11" x14ac:dyDescent="0.25">
      <c r="A4330" t="str">
        <f>HYPERLINK("http://www.corstruth.com.au/NSW/KDD001_cs.png","KDD001_A4")</f>
        <v>KDD001_A4</v>
      </c>
      <c r="B4330" t="str">
        <f>HYPERLINK("http://www.corstruth.com.au/NSW/PNG2/KDD001_cs.png","KDD001_0.25m Bins")</f>
        <v>KDD001_0.25m Bins</v>
      </c>
      <c r="C4330" t="str">
        <f>HYPERLINK("http://www.corstruth.com.au/NSW/CSV/KDD001.csv","KDD001_CSV File 1m Bins")</f>
        <v>KDD001_CSV File 1m Bins</v>
      </c>
      <c r="D4330" t="s">
        <v>2669</v>
      </c>
      <c r="E4330" t="s">
        <v>2198</v>
      </c>
      <c r="F4330" t="str">
        <f>HYPERLINK("http://dwh.geoscience.nsw.gov.au/CI/warehouse/raw/drillhole?project=MIN&amp;site_id=129689","Geol Survey Link")</f>
        <v>Geol Survey Link</v>
      </c>
      <c r="H4330" t="s">
        <v>2670</v>
      </c>
      <c r="I4330">
        <v>-32.733199999999997</v>
      </c>
      <c r="J4330">
        <v>147.63800000000001</v>
      </c>
    </row>
    <row r="4331" spans="1:11" x14ac:dyDescent="0.25">
      <c r="A4331" t="str">
        <f>HYPERLINK("http://www.corstruth.com.au/NSW/KDD013_cs.png","KDD013_A4")</f>
        <v>KDD013_A4</v>
      </c>
      <c r="B4331" t="str">
        <f>HYPERLINK("http://www.corstruth.com.au/NSW/PNG2/KDD013_cs.png","KDD013_0.25m Bins")</f>
        <v>KDD013_0.25m Bins</v>
      </c>
      <c r="C4331" t="str">
        <f>HYPERLINK("http://www.corstruth.com.au/NSW/CSV/KDD013.csv","KDD013_CSV File 1m Bins")</f>
        <v>KDD013_CSV File 1m Bins</v>
      </c>
      <c r="D4331" t="s">
        <v>2671</v>
      </c>
      <c r="E4331" t="s">
        <v>2198</v>
      </c>
      <c r="F4331" t="str">
        <f>HYPERLINK("http://dwh.geoscience.nsw.gov.au/CI/warehouse/raw/drillhole?project=MIN&amp;site_id=119571","Geol Survey Link")</f>
        <v>Geol Survey Link</v>
      </c>
      <c r="H4331" t="s">
        <v>2670</v>
      </c>
      <c r="I4331">
        <v>-32.727699999999999</v>
      </c>
      <c r="J4331">
        <v>147.64400000000001</v>
      </c>
    </row>
    <row r="4332" spans="1:11" x14ac:dyDescent="0.25">
      <c r="A4332" t="str">
        <f>HYPERLINK("http://www.corstruth.com.au/NSW/DDH02_cs.png","DDH02_A4")</f>
        <v>DDH02_A4</v>
      </c>
      <c r="B4332" t="str">
        <f>HYPERLINK("http://www.corstruth.com.au/NSW/PNG2/DDH02_cs.png","DDH02_0.25m Bins")</f>
        <v>DDH02_0.25m Bins</v>
      </c>
      <c r="C4332" t="str">
        <f>HYPERLINK("http://www.corstruth.com.au/NSW/CSV/DDH02.csv","DDH02_CSV File 1m Bins")</f>
        <v>DDH02_CSV File 1m Bins</v>
      </c>
      <c r="D4332" t="s">
        <v>2672</v>
      </c>
      <c r="E4332" t="s">
        <v>2198</v>
      </c>
      <c r="F4332" t="str">
        <f>HYPERLINK("http://dwh.geoscience.nsw.gov.au/CI/warehouse/raw/drillhole?project=MIN&amp;site_id=036654","Geol Survey Link")</f>
        <v>Geol Survey Link</v>
      </c>
      <c r="H4332" t="s">
        <v>2673</v>
      </c>
      <c r="I4332">
        <v>-32.413699999999999</v>
      </c>
      <c r="J4332">
        <v>149.01599999999999</v>
      </c>
      <c r="K4332" t="str">
        <f>HYPERLINK("http://nvcl.geoscience.nsw.gov.au/NVCLDataServices/mosaic.html?datasetid=a6640743-a8b2-4e78-ac07-9fabf668ef8","DDH02_Core Image")</f>
        <v>DDH02_Core Image</v>
      </c>
    </row>
    <row r="4333" spans="1:11" x14ac:dyDescent="0.25">
      <c r="A4333" t="str">
        <f>HYPERLINK("http://www.corstruth.com.au/NSW/DDH03_cs.png","DDH03_A4")</f>
        <v>DDH03_A4</v>
      </c>
      <c r="B4333" t="str">
        <f>HYPERLINK("http://www.corstruth.com.au/NSW/PNG2/DDH03_cs.png","DDH03_0.25m Bins")</f>
        <v>DDH03_0.25m Bins</v>
      </c>
      <c r="C4333" t="str">
        <f>HYPERLINK("http://www.corstruth.com.au/NSW/CSV/DDH03.csv","DDH03_CSV File 1m Bins")</f>
        <v>DDH03_CSV File 1m Bins</v>
      </c>
      <c r="D4333" t="s">
        <v>2674</v>
      </c>
      <c r="E4333" t="s">
        <v>2198</v>
      </c>
      <c r="F4333" t="str">
        <f>HYPERLINK("http://dwh.geoscience.nsw.gov.au/CI/warehouse/raw/drillhole?project=MIN&amp;site_id=036655","Geol Survey Link")</f>
        <v>Geol Survey Link</v>
      </c>
      <c r="H4333" t="s">
        <v>2675</v>
      </c>
      <c r="I4333">
        <v>-32.412799999999997</v>
      </c>
      <c r="J4333">
        <v>149.01599999999999</v>
      </c>
      <c r="K4333" t="str">
        <f>HYPERLINK("http://nvcl.geoscience.nsw.gov.au/NVCLDataServices/mosaic.html?datasetid=b0f43c89-c5f1-4642-9f9a-e0dda91abb7","DDH03_Core Image")</f>
        <v>DDH03_Core Image</v>
      </c>
    </row>
    <row r="4334" spans="1:11" x14ac:dyDescent="0.25">
      <c r="A4334" t="str">
        <f>HYPERLINK("http://www.corstruth.com.au/NSW/DDH04_cs.png","DDH04_A4")</f>
        <v>DDH04_A4</v>
      </c>
      <c r="B4334" t="str">
        <f>HYPERLINK("http://www.corstruth.com.au/NSW/PNG2/DDH04_cs.png","DDH04_0.25m Bins")</f>
        <v>DDH04_0.25m Bins</v>
      </c>
      <c r="C4334" t="str">
        <f>HYPERLINK("http://www.corstruth.com.au/NSW/CSV/DDH04.csv","DDH04_CSV File 1m Bins")</f>
        <v>DDH04_CSV File 1m Bins</v>
      </c>
      <c r="D4334" t="s">
        <v>2676</v>
      </c>
      <c r="E4334" t="s">
        <v>2198</v>
      </c>
      <c r="F4334" t="str">
        <f>HYPERLINK("http://dwh.geoscience.nsw.gov.au/CI/warehouse/raw/drillhole?project=MIN&amp;site_id=036656","Geol Survey Link")</f>
        <v>Geol Survey Link</v>
      </c>
      <c r="H4334" t="s">
        <v>2677</v>
      </c>
      <c r="I4334">
        <v>-32.414099999999998</v>
      </c>
      <c r="J4334">
        <v>149.017</v>
      </c>
      <c r="K4334" t="str">
        <f>HYPERLINK("http://nvcl.geoscience.nsw.gov.au/NVCLDataServices/mosaic.html?datasetid=b00ffa55-c48a-44f9-9f90-3aec0b4b831","DDH04_Core Image")</f>
        <v>DDH04_Core Image</v>
      </c>
    </row>
    <row r="4335" spans="1:11" x14ac:dyDescent="0.25">
      <c r="A4335" t="str">
        <f>HYPERLINK("http://www.corstruth.com.au/NSW/DDH05_cs.png","DDH05_A4")</f>
        <v>DDH05_A4</v>
      </c>
      <c r="B4335" t="str">
        <f>HYPERLINK("http://www.corstruth.com.au/NSW/PNG2/DDH05_cs.png","DDH05_0.25m Bins")</f>
        <v>DDH05_0.25m Bins</v>
      </c>
      <c r="C4335" t="str">
        <f>HYPERLINK("http://www.corstruth.com.au/NSW/CSV/DDH05.csv","DDH05_CSV File 1m Bins")</f>
        <v>DDH05_CSV File 1m Bins</v>
      </c>
      <c r="D4335" t="s">
        <v>2678</v>
      </c>
      <c r="E4335" t="s">
        <v>2198</v>
      </c>
      <c r="F4335" t="str">
        <f>HYPERLINK("http://dwh.geoscience.nsw.gov.au/CI/warehouse/raw/drillhole?project=MIN&amp;site_id=036657","Geol Survey Link")</f>
        <v>Geol Survey Link</v>
      </c>
      <c r="H4335" t="s">
        <v>2679</v>
      </c>
      <c r="I4335">
        <v>-32.4131</v>
      </c>
      <c r="J4335">
        <v>149.01599999999999</v>
      </c>
      <c r="K4335" t="str">
        <f>HYPERLINK("http://nvcl.geoscience.nsw.gov.au/NVCLDataServices/mosaic.html?datasetid=8821de56-9976-4692-95dc-884023efb0a","DDH05_Core Image")</f>
        <v>DDH05_Core Image</v>
      </c>
    </row>
    <row r="4336" spans="1:11" x14ac:dyDescent="0.25">
      <c r="A4336" t="str">
        <f>HYPERLINK("http://www.corstruth.com.au/NSW/DDH06_cs.png","DDH06_A4")</f>
        <v>DDH06_A4</v>
      </c>
      <c r="B4336" t="str">
        <f>HYPERLINK("http://www.corstruth.com.au/NSW/PNG2/DDH06_cs.png","DDH06_0.25m Bins")</f>
        <v>DDH06_0.25m Bins</v>
      </c>
      <c r="C4336" t="str">
        <f>HYPERLINK("http://www.corstruth.com.au/NSW/CSV/DDH06.csv","DDH06_CSV File 1m Bins")</f>
        <v>DDH06_CSV File 1m Bins</v>
      </c>
      <c r="D4336" t="s">
        <v>2680</v>
      </c>
      <c r="E4336" t="s">
        <v>2198</v>
      </c>
      <c r="F4336" t="str">
        <f>HYPERLINK("http://dwh.geoscience.nsw.gov.au/CI/warehouse/raw/drillhole?project=MIN&amp;site_id=036658","Geol Survey Link")</f>
        <v>Geol Survey Link</v>
      </c>
      <c r="H4336" t="s">
        <v>2681</v>
      </c>
      <c r="I4336">
        <v>-32.412700000000001</v>
      </c>
      <c r="J4336">
        <v>149.01599999999999</v>
      </c>
      <c r="K4336" t="str">
        <f>HYPERLINK("http://nvcl.geoscience.nsw.gov.au/NVCLDataServices/mosaic.html?datasetid=cf64a5c8-ed9f-4dc2-aba6-14090c84fd9","DDH06_Core Image")</f>
        <v>DDH06_Core Image</v>
      </c>
    </row>
    <row r="4337" spans="1:11" x14ac:dyDescent="0.25">
      <c r="A4337" t="str">
        <f>HYPERLINK("http://www.corstruth.com.au/NSW/DDH07A_cs.png","DDH07A_A4")</f>
        <v>DDH07A_A4</v>
      </c>
      <c r="B4337" t="str">
        <f>HYPERLINK("http://www.corstruth.com.au/NSW/PNG2/DDH07A_cs.png","DDH07A_0.25m Bins")</f>
        <v>DDH07A_0.25m Bins</v>
      </c>
      <c r="C4337" t="str">
        <f>HYPERLINK("http://www.corstruth.com.au/NSW/CSV/DDH07A.csv","DDH07A_CSV File 1m Bins")</f>
        <v>DDH07A_CSV File 1m Bins</v>
      </c>
      <c r="D4337" t="s">
        <v>2682</v>
      </c>
      <c r="E4337" t="s">
        <v>2198</v>
      </c>
      <c r="F4337" t="str">
        <f>HYPERLINK("http://dwh.geoscience.nsw.gov.au/CI/warehouse/raw/drillhole?project=MIN&amp;site_id=036660","Geol Survey Link")</f>
        <v>Geol Survey Link</v>
      </c>
      <c r="H4337" t="s">
        <v>2683</v>
      </c>
      <c r="I4337">
        <v>-32.4131</v>
      </c>
      <c r="J4337">
        <v>149.01499999999999</v>
      </c>
      <c r="K4337" t="str">
        <f>HYPERLINK("http://nvcl.geoscience.nsw.gov.au/NVCLDataServices/mosaic.html?datasetid=a4edfc24-ab08-4820-8a75-386e2d0c749","DDH07A_Core Image")</f>
        <v>DDH07A_Core Image</v>
      </c>
    </row>
    <row r="4338" spans="1:11" x14ac:dyDescent="0.25">
      <c r="A4338" t="str">
        <f>HYPERLINK("http://www.corstruth.com.au/NSW/DDH08_cs.png","DDH08_A4")</f>
        <v>DDH08_A4</v>
      </c>
      <c r="B4338" t="str">
        <f>HYPERLINK("http://www.corstruth.com.au/NSW/PNG2/DDH08_cs.png","DDH08_0.25m Bins")</f>
        <v>DDH08_0.25m Bins</v>
      </c>
      <c r="C4338" t="str">
        <f>HYPERLINK("http://www.corstruth.com.au/NSW/CSV/DDH08.csv","DDH08_CSV File 1m Bins")</f>
        <v>DDH08_CSV File 1m Bins</v>
      </c>
      <c r="D4338" t="s">
        <v>2684</v>
      </c>
      <c r="E4338" t="s">
        <v>2198</v>
      </c>
      <c r="F4338" t="str">
        <f>HYPERLINK("http://dwh.geoscience.nsw.gov.au/CI/warehouse/raw/drillhole?project=MIN&amp;site_id=036661","Geol Survey Link")</f>
        <v>Geol Survey Link</v>
      </c>
      <c r="H4338" t="s">
        <v>2685</v>
      </c>
      <c r="I4338">
        <v>-32.413800000000002</v>
      </c>
      <c r="J4338">
        <v>149.01499999999999</v>
      </c>
      <c r="K4338" t="str">
        <f>HYPERLINK("http://nvcl.geoscience.nsw.gov.au/NVCLDataServices/mosaic.html?datasetid=15007853-9578-40dc-9c11-9d74fc48988","DDH08_Core Image")</f>
        <v>DDH08_Core Image</v>
      </c>
    </row>
    <row r="4339" spans="1:11" x14ac:dyDescent="0.25">
      <c r="A4339" t="str">
        <f>HYPERLINK("http://www.corstruth.com.au/NSW/DDH08A_cs.png","DDH08A_A4")</f>
        <v>DDH08A_A4</v>
      </c>
      <c r="B4339" t="str">
        <f>HYPERLINK("http://www.corstruth.com.au/NSW/PNG2/DDH08A_cs.png","DDH08A_0.25m Bins")</f>
        <v>DDH08A_0.25m Bins</v>
      </c>
      <c r="C4339" t="str">
        <f>HYPERLINK("http://www.corstruth.com.au/NSW/CSV/DDH08A.csv","DDH08A_CSV File 1m Bins")</f>
        <v>DDH08A_CSV File 1m Bins</v>
      </c>
      <c r="D4339" t="s">
        <v>2686</v>
      </c>
      <c r="E4339" t="s">
        <v>2198</v>
      </c>
      <c r="F4339" t="str">
        <f>HYPERLINK("http://dwh.geoscience.nsw.gov.au/CI/warehouse/raw/drillhole?project=MIN&amp;site_id=036662","Geol Survey Link")</f>
        <v>Geol Survey Link</v>
      </c>
      <c r="H4339" t="s">
        <v>2687</v>
      </c>
      <c r="I4339">
        <v>-32.413400000000003</v>
      </c>
      <c r="J4339">
        <v>149.01499999999999</v>
      </c>
      <c r="K4339" t="str">
        <f>HYPERLINK("http://nvcl.geoscience.nsw.gov.au/NVCLDataServices/mosaic.html?datasetid=8255d136-db3e-4453-a76f-da951a95d3a","DDH08A_Core Image")</f>
        <v>DDH08A_Core Image</v>
      </c>
    </row>
    <row r="4340" spans="1:11" x14ac:dyDescent="0.25">
      <c r="A4340" t="str">
        <f>HYPERLINK("http://www.corstruth.com.au/NSW/DDH11_cs.png","DDH11_A4")</f>
        <v>DDH11_A4</v>
      </c>
      <c r="B4340" t="str">
        <f>HYPERLINK("http://www.corstruth.com.au/NSW/PNG2/DDH11_cs.png","DDH11_0.25m Bins")</f>
        <v>DDH11_0.25m Bins</v>
      </c>
      <c r="C4340" t="str">
        <f>HYPERLINK("http://www.corstruth.com.au/NSW/CSV/DDH11.csv","DDH11_CSV File 1m Bins")</f>
        <v>DDH11_CSV File 1m Bins</v>
      </c>
      <c r="D4340" t="s">
        <v>2688</v>
      </c>
      <c r="E4340" t="s">
        <v>2198</v>
      </c>
      <c r="F4340" t="str">
        <f>HYPERLINK("http://dwh.geoscience.nsw.gov.au/CI/warehouse/raw/drillhole?project=MIN&amp;site_id=036665","Geol Survey Link")</f>
        <v>Geol Survey Link</v>
      </c>
      <c r="H4340" t="s">
        <v>2689</v>
      </c>
      <c r="I4340">
        <v>-32.412599999999998</v>
      </c>
      <c r="J4340">
        <v>149.017</v>
      </c>
      <c r="K4340" t="str">
        <f>HYPERLINK("http://nvcl.geoscience.nsw.gov.au/NVCLDataServices/mosaic.html?datasetid=138fd61c-3024-41c0-bfcc-c504d473dd4","DDH11_Core Image")</f>
        <v>DDH11_Core Image</v>
      </c>
    </row>
    <row r="4341" spans="1:11" x14ac:dyDescent="0.25">
      <c r="A4341" t="str">
        <f>HYPERLINK("http://www.corstruth.com.au/NSW/DDHPP6_cs.png","DDHPP6_A4")</f>
        <v>DDHPP6_A4</v>
      </c>
      <c r="B4341" t="str">
        <f>HYPERLINK("http://www.corstruth.com.au/NSW/PNG2/DDHPP6_cs.png","DDHPP6_0.25m Bins")</f>
        <v>DDHPP6_0.25m Bins</v>
      </c>
      <c r="C4341" t="str">
        <f>HYPERLINK("http://www.corstruth.com.au/NSW/CSV/DDHPP6.csv","DDHPP6_CSV File 1m Bins")</f>
        <v>DDHPP6_CSV File 1m Bins</v>
      </c>
      <c r="D4341" t="s">
        <v>2690</v>
      </c>
      <c r="E4341" t="s">
        <v>2198</v>
      </c>
      <c r="F4341" t="str">
        <f>HYPERLINK("http://dwh.geoscience.nsw.gov.au/CI/warehouse/raw/drillhole?project=MIN&amp;site_id=036675","Geol Survey Link")</f>
        <v>Geol Survey Link</v>
      </c>
      <c r="H4341" t="s">
        <v>2691</v>
      </c>
      <c r="I4341">
        <v>-32.404000000000003</v>
      </c>
      <c r="J4341">
        <v>149.01400000000001</v>
      </c>
      <c r="K4341" t="str">
        <f>HYPERLINK("http://nvcl.geoscience.nsw.gov.au/NVCLDataServices/mosaic.html?datasetid=59f1b902-dd3e-4f05-8123-d2eec95ad25","DDHPP6_Core Image")</f>
        <v>DDHPP6_Core Image</v>
      </c>
    </row>
    <row r="4342" spans="1:11" x14ac:dyDescent="0.25">
      <c r="A4342" t="str">
        <f>HYPERLINK("http://www.corstruth.com.au/NSW/NKD001_cs.png","NKD001_A4")</f>
        <v>NKD001_A4</v>
      </c>
      <c r="B4342" t="str">
        <f>HYPERLINK("http://www.corstruth.com.au/NSW/PNG2/NKD001_cs.png","NKD001_0.25m Bins")</f>
        <v>NKD001_0.25m Bins</v>
      </c>
      <c r="C4342" t="str">
        <f>HYPERLINK("http://www.corstruth.com.au/NSW/CSV/NKD001.csv","NKD001_CSV File 1m Bins")</f>
        <v>NKD001_CSV File 1m Bins</v>
      </c>
      <c r="D4342" t="s">
        <v>2692</v>
      </c>
      <c r="E4342" t="s">
        <v>2198</v>
      </c>
      <c r="F4342" t="str">
        <f>HYPERLINK("http://dwh.geoscience.nsw.gov.au/CI/warehouse/raw/drillhole?project=MIN&amp;site_id=036762","Geol Survey Link")</f>
        <v>Geol Survey Link</v>
      </c>
      <c r="H4342" t="s">
        <v>2693</v>
      </c>
      <c r="I4342">
        <v>-32.411000000000001</v>
      </c>
      <c r="J4342">
        <v>149.018</v>
      </c>
      <c r="K4342" t="str">
        <f>HYPERLINK("http://nvcl.geoscience.nsw.gov.au/NVCLDataServices/mosaic.html?datasetid=e23d1dcb-20b3-4cf9-8469-31667087dc1","NKD001_Core Image")</f>
        <v>NKD001_Core Image</v>
      </c>
    </row>
    <row r="4343" spans="1:11" x14ac:dyDescent="0.25">
      <c r="A4343" t="str">
        <f>HYPERLINK("http://www.corstruth.com.au/NSW/NKD002_cs.png","NKD002_A4")</f>
        <v>NKD002_A4</v>
      </c>
      <c r="B4343" t="str">
        <f>HYPERLINK("http://www.corstruth.com.au/NSW/PNG2/NKD002_cs.png","NKD002_0.25m Bins")</f>
        <v>NKD002_0.25m Bins</v>
      </c>
      <c r="C4343" t="str">
        <f>HYPERLINK("http://www.corstruth.com.au/NSW/CSV/NKD002.csv","NKD002_CSV File 1m Bins")</f>
        <v>NKD002_CSV File 1m Bins</v>
      </c>
      <c r="D4343" t="s">
        <v>2694</v>
      </c>
      <c r="E4343" t="s">
        <v>2198</v>
      </c>
      <c r="F4343" t="str">
        <f>HYPERLINK("http://dwh.geoscience.nsw.gov.au/CI/warehouse/raw/drillhole?project=MIN&amp;site_id=036763","Geol Survey Link")</f>
        <v>Geol Survey Link</v>
      </c>
      <c r="H4343" t="s">
        <v>2693</v>
      </c>
      <c r="I4343">
        <v>-32.409100000000002</v>
      </c>
      <c r="J4343">
        <v>149.01900000000001</v>
      </c>
      <c r="K4343" t="str">
        <f>HYPERLINK("http://nvcl.geoscience.nsw.gov.au/NVCLDataServices/mosaic.html?datasetid=004b9d43-64f7-4878-99a2-0c3387c6d3a","NKD002_Core Image")</f>
        <v>NKD002_Core Image</v>
      </c>
    </row>
    <row r="4344" spans="1:11" x14ac:dyDescent="0.25">
      <c r="A4344" t="str">
        <f>HYPERLINK("http://www.corstruth.com.au/NSW/NKD003_cs.png","NKD003_A4")</f>
        <v>NKD003_A4</v>
      </c>
      <c r="B4344" t="str">
        <f>HYPERLINK("http://www.corstruth.com.au/NSW/PNG2/NKD003_cs.png","NKD003_0.25m Bins")</f>
        <v>NKD003_0.25m Bins</v>
      </c>
      <c r="C4344" t="str">
        <f>HYPERLINK("http://www.corstruth.com.au/NSW/CSV/NKD003.csv","NKD003_CSV File 1m Bins")</f>
        <v>NKD003_CSV File 1m Bins</v>
      </c>
      <c r="D4344" t="s">
        <v>2695</v>
      </c>
      <c r="E4344" t="s">
        <v>2198</v>
      </c>
      <c r="F4344" t="str">
        <f>HYPERLINK("http://dwh.geoscience.nsw.gov.au/CI/warehouse/raw/drillhole?project=MIN&amp;site_id=036764","Geol Survey Link")</f>
        <v>Geol Survey Link</v>
      </c>
      <c r="H4344" t="s">
        <v>2693</v>
      </c>
      <c r="I4344">
        <v>-32.411700000000003</v>
      </c>
      <c r="J4344">
        <v>149.02199999999999</v>
      </c>
      <c r="K4344" t="str">
        <f>HYPERLINK("http://nvcl.geoscience.nsw.gov.au/NVCLDataServices/mosaic.html?datasetid=00783111-6350-4f92-b26b-2754cf295c2","NKD003_Core Image")</f>
        <v>NKD003_Core Image</v>
      </c>
    </row>
    <row r="4345" spans="1:11" x14ac:dyDescent="0.25">
      <c r="A4345" t="str">
        <f>HYPERLINK("http://www.corstruth.com.au/NSW/NKD004_cs.png","NKD004_A4")</f>
        <v>NKD004_A4</v>
      </c>
      <c r="B4345" t="str">
        <f>HYPERLINK("http://www.corstruth.com.au/NSW/PNG2/NKD004_cs.png","NKD004_0.25m Bins")</f>
        <v>NKD004_0.25m Bins</v>
      </c>
      <c r="C4345" t="str">
        <f>HYPERLINK("http://www.corstruth.com.au/NSW/CSV/NKD004.csv","NKD004_CSV File 1m Bins")</f>
        <v>NKD004_CSV File 1m Bins</v>
      </c>
      <c r="D4345" t="s">
        <v>2696</v>
      </c>
      <c r="E4345" t="s">
        <v>2198</v>
      </c>
      <c r="F4345" t="str">
        <f>HYPERLINK("http://dwh.geoscience.nsw.gov.au/CI/warehouse/raw/drillhole?project=MIN&amp;site_id=036765","Geol Survey Link")</f>
        <v>Geol Survey Link</v>
      </c>
      <c r="H4345" t="s">
        <v>2697</v>
      </c>
      <c r="I4345">
        <v>-32.407299999999999</v>
      </c>
      <c r="J4345">
        <v>149.018</v>
      </c>
      <c r="K4345" t="str">
        <f>HYPERLINK("http://nvcl.geoscience.nsw.gov.au/NVCLDataServices/mosaic.html?datasetid=7bff20e0-8ac1-4386-ba7c-8836958ecfd","NKD004_Core Image")</f>
        <v>NKD004_Core Image</v>
      </c>
    </row>
    <row r="4346" spans="1:11" x14ac:dyDescent="0.25">
      <c r="A4346" t="str">
        <f>HYPERLINK("http://www.corstruth.com.au/NSW/KD-1_cs.png","KD-1_A4")</f>
        <v>KD-1_A4</v>
      </c>
      <c r="B4346" t="str">
        <f>HYPERLINK("http://www.corstruth.com.au/NSW/PNG2/KD-1_cs.png","KD-1_0.25m Bins")</f>
        <v>KD-1_0.25m Bins</v>
      </c>
      <c r="C4346" t="str">
        <f>HYPERLINK("http://www.corstruth.com.au/NSW/CSV/KD-1.csv","KD-1_CSV File 1m Bins")</f>
        <v>KD-1_CSV File 1m Bins</v>
      </c>
      <c r="D4346" t="s">
        <v>2698</v>
      </c>
      <c r="E4346" t="s">
        <v>2198</v>
      </c>
      <c r="F4346" t="str">
        <f>HYPERLINK("http://dwh.geoscience.nsw.gov.au/CI/warehouse/raw/drillhole?project=MIN&amp;site_id=007750","Geol Survey Link")</f>
        <v>Geol Survey Link</v>
      </c>
      <c r="H4346" t="s">
        <v>2699</v>
      </c>
      <c r="I4346">
        <v>-34.512099999999997</v>
      </c>
      <c r="J4346">
        <v>147.715</v>
      </c>
      <c r="K4346" t="str">
        <f>HYPERLINK("http://nvcl.geoscience.nsw.gov.au/NVCLDataServices/mosaic.html?datasetid=04c59a97-cd43-40a3-b896-dd5d0628382","KD-1_Core Image")</f>
        <v>KD-1_Core Image</v>
      </c>
    </row>
    <row r="4347" spans="1:11" x14ac:dyDescent="0.25">
      <c r="A4347" t="str">
        <f>HYPERLINK("http://www.corstruth.com.au/NSW/KD-2_cs.png","KD-2_A4")</f>
        <v>KD-2_A4</v>
      </c>
      <c r="B4347" t="str">
        <f>HYPERLINK("http://www.corstruth.com.au/NSW/PNG2/KD-2_cs.png","KD-2_0.25m Bins")</f>
        <v>KD-2_0.25m Bins</v>
      </c>
      <c r="C4347" t="str">
        <f>HYPERLINK("http://www.corstruth.com.au/NSW/CSV/KD-2.csv","KD-2_CSV File 1m Bins")</f>
        <v>KD-2_CSV File 1m Bins</v>
      </c>
      <c r="D4347" t="s">
        <v>2700</v>
      </c>
      <c r="E4347" t="s">
        <v>2198</v>
      </c>
      <c r="F4347" t="str">
        <f>HYPERLINK("http://dwh.geoscience.nsw.gov.au/CI/warehouse/raw/drillhole?project=MIN&amp;site_id=007751","Geol Survey Link")</f>
        <v>Geol Survey Link</v>
      </c>
      <c r="H4347" t="s">
        <v>2699</v>
      </c>
      <c r="I4347">
        <v>-34.5107</v>
      </c>
      <c r="J4347">
        <v>147.715</v>
      </c>
      <c r="K4347" t="str">
        <f>HYPERLINK("http://nvcl.geoscience.nsw.gov.au/NVCLDataServices/mosaic.html?datasetid=f317830e-c67d-47bf-8e13-77f9801f794","KD-2_Core Image")</f>
        <v>KD-2_Core Image</v>
      </c>
    </row>
    <row r="4348" spans="1:11" x14ac:dyDescent="0.25">
      <c r="A4348" t="str">
        <f>HYPERLINK("http://www.corstruth.com.au/NSW/DDH3_cs.png","DDH3_A4")</f>
        <v>DDH3_A4</v>
      </c>
      <c r="B4348" t="str">
        <f>HYPERLINK("http://www.corstruth.com.au/NSW/PNG2/DDH3_cs.png","DDH3_0.25m Bins")</f>
        <v>DDH3_0.25m Bins</v>
      </c>
      <c r="C4348" t="str">
        <f>HYPERLINK("http://www.corstruth.com.au/NSW/CSV/DDH3.csv","DDH3_CSV File 1m Bins")</f>
        <v>DDH3_CSV File 1m Bins</v>
      </c>
      <c r="D4348" t="s">
        <v>2701</v>
      </c>
      <c r="E4348" t="s">
        <v>2198</v>
      </c>
      <c r="F4348" t="str">
        <f>HYPERLINK("http://dwh.geoscience.nsw.gov.au/CI/warehouse/raw/drillhole?project=MIN&amp;site_id=010404","Geol Survey Link")</f>
        <v>Geol Survey Link</v>
      </c>
      <c r="H4348" t="s">
        <v>2702</v>
      </c>
      <c r="I4348">
        <v>-34.603999999999999</v>
      </c>
      <c r="J4348">
        <v>148.75299999999999</v>
      </c>
      <c r="K4348" t="str">
        <f>HYPERLINK("http://nvcl.geoscience.nsw.gov.au/NVCLDataServices/mosaic.html?datasetid=62a72206-5fb0-49ec-ba03-f7f62637593","DDH3_Core Image")</f>
        <v>DDH3_Core Image</v>
      </c>
    </row>
    <row r="4349" spans="1:11" x14ac:dyDescent="0.25">
      <c r="A4349" t="str">
        <f>HYPERLINK("http://www.corstruth.com.au/NSW/DDH4_cs.png","DDH4_A4")</f>
        <v>DDH4_A4</v>
      </c>
      <c r="D4349" t="s">
        <v>2703</v>
      </c>
      <c r="E4349" t="s">
        <v>2198</v>
      </c>
      <c r="F4349" t="str">
        <f>HYPERLINK("http://dwh.geoscience.nsw.gov.au/CI/warehouse/raw/drillhole?project=MIN&amp;site_id=010405","Geol Survey Link")</f>
        <v>Geol Survey Link</v>
      </c>
      <c r="H4349" t="s">
        <v>2702</v>
      </c>
      <c r="I4349">
        <v>-34.603299999999997</v>
      </c>
      <c r="J4349">
        <v>148.751</v>
      </c>
      <c r="K4349" t="str">
        <f>HYPERLINK("http://nvcl.geoscience.nsw.gov.au/NVCLDataServices/mosaic.html?datasetid=ba1ef7bb-76fa-482e-a3a4-b0a25b11c7d","DDH4_Core Image")</f>
        <v>DDH4_Core Image</v>
      </c>
    </row>
    <row r="4350" spans="1:11" x14ac:dyDescent="0.25">
      <c r="A4350" t="str">
        <f>HYPERLINK("http://www.corstruth.com.au/NSW/DD82T10_cs.png","DD82T10_A4")</f>
        <v>DD82T10_A4</v>
      </c>
      <c r="B4350" t="str">
        <f>HYPERLINK("http://www.corstruth.com.au/NSW/PNG2/DD82T10_cs.png","DD82T10_0.25m Bins")</f>
        <v>DD82T10_0.25m Bins</v>
      </c>
      <c r="C4350" t="str">
        <f>HYPERLINK("http://www.corstruth.com.au/NSW/CSV/DD82T10.csv","DD82T10_CSV File 1m Bins")</f>
        <v>DD82T10_CSV File 1m Bins</v>
      </c>
      <c r="D4350" t="s">
        <v>2704</v>
      </c>
      <c r="E4350" t="s">
        <v>2198</v>
      </c>
      <c r="F4350" t="str">
        <f>HYPERLINK("http://dwh.geoscience.nsw.gov.au/CI/warehouse/raw/drillhole?project=MIN&amp;site_id=027728","Geol Survey Link")</f>
        <v>Geol Survey Link</v>
      </c>
      <c r="H4350" t="s">
        <v>2705</v>
      </c>
      <c r="I4350">
        <v>-29.521999999999998</v>
      </c>
      <c r="J4350">
        <v>151.49299999999999</v>
      </c>
      <c r="K4350" t="str">
        <f>HYPERLINK("http://nvcl.geoscience.nsw.gov.au/NVCLDataServices/mosaic.html?datasetid=5804e9b4-a2b0-44d4-a175-addc692634f","DD82T10_Core Image")</f>
        <v>DD82T10_Core Image</v>
      </c>
    </row>
    <row r="4351" spans="1:11" x14ac:dyDescent="0.25">
      <c r="A4351" t="str">
        <f>HYPERLINK("http://www.corstruth.com.au/NSW/FKD1_cs.png","FKD1_A4")</f>
        <v>FKD1_A4</v>
      </c>
      <c r="B4351" t="str">
        <f>HYPERLINK("http://www.corstruth.com.au/NSW/PNG2/FKD1_cs.png","FKD1_0.25m Bins")</f>
        <v>FKD1_0.25m Bins</v>
      </c>
      <c r="C4351" t="str">
        <f>HYPERLINK("http://www.corstruth.com.au/NSW/CSV/FKD1.csv","FKD1_CSV File 1m Bins")</f>
        <v>FKD1_CSV File 1m Bins</v>
      </c>
      <c r="D4351" t="s">
        <v>2706</v>
      </c>
      <c r="E4351" t="s">
        <v>2198</v>
      </c>
      <c r="F4351" t="str">
        <f>HYPERLINK("http://dwh.geoscience.nsw.gov.au/CI/warehouse/raw/drillhole?project=MIN&amp;site_id=003444","Geol Survey Link")</f>
        <v>Geol Survey Link</v>
      </c>
      <c r="H4351" t="s">
        <v>2707</v>
      </c>
      <c r="I4351">
        <v>-32.724600000000002</v>
      </c>
      <c r="J4351">
        <v>147.452</v>
      </c>
      <c r="K4351" t="str">
        <f>HYPERLINK("http://nvcl.geoscience.nsw.gov.au/NVCLDataServices/mosaic.html?datasetid=4fc19b9b-2291-4bef-8bf7-9be5a8a4721","FKD1_Core Image")</f>
        <v>FKD1_Core Image</v>
      </c>
    </row>
    <row r="4352" spans="1:11" x14ac:dyDescent="0.25">
      <c r="A4352" t="str">
        <f>HYPERLINK("http://www.corstruth.com.au/NSW/FKD2_cs.png","FKD2_A4")</f>
        <v>FKD2_A4</v>
      </c>
      <c r="B4352" t="str">
        <f>HYPERLINK("http://www.corstruth.com.au/NSW/PNG2/FKD2_cs.png","FKD2_0.25m Bins")</f>
        <v>FKD2_0.25m Bins</v>
      </c>
      <c r="C4352" t="str">
        <f>HYPERLINK("http://www.corstruth.com.au/NSW/CSV/FKD2.csv","FKD2_CSV File 1m Bins")</f>
        <v>FKD2_CSV File 1m Bins</v>
      </c>
      <c r="D4352" t="s">
        <v>2708</v>
      </c>
      <c r="E4352" t="s">
        <v>2198</v>
      </c>
      <c r="F4352" t="str">
        <f>HYPERLINK("http://dwh.geoscience.nsw.gov.au/CI/warehouse/raw/drillhole?project=MIN&amp;site_id=003445","Geol Survey Link")</f>
        <v>Geol Survey Link</v>
      </c>
      <c r="H4352" t="s">
        <v>2707</v>
      </c>
      <c r="I4352">
        <v>-32.7254</v>
      </c>
      <c r="J4352">
        <v>147.45099999999999</v>
      </c>
      <c r="K4352" t="str">
        <f>HYPERLINK("http://nvcl.geoscience.nsw.gov.au/NVCLDataServices/mosaic.html?datasetid=a33cf260-06dd-4aa2-8b16-fc69264ee74","FKD2_Core Image")</f>
        <v>FKD2_Core Image</v>
      </c>
    </row>
    <row r="4353" spans="1:11" x14ac:dyDescent="0.25">
      <c r="A4353" t="str">
        <f>HYPERLINK("http://www.corstruth.com.au/NSW/FKD3_cs.png","FKD3_A4")</f>
        <v>FKD3_A4</v>
      </c>
      <c r="B4353" t="str">
        <f>HYPERLINK("http://www.corstruth.com.au/NSW/PNG2/FKD3_cs.png","FKD3_0.25m Bins")</f>
        <v>FKD3_0.25m Bins</v>
      </c>
      <c r="C4353" t="str">
        <f>HYPERLINK("http://www.corstruth.com.au/NSW/CSV/FKD3.csv","FKD3_CSV File 1m Bins")</f>
        <v>FKD3_CSV File 1m Bins</v>
      </c>
      <c r="D4353" t="s">
        <v>2709</v>
      </c>
      <c r="E4353" t="s">
        <v>2198</v>
      </c>
      <c r="F4353" t="str">
        <f>HYPERLINK("http://dwh.geoscience.nsw.gov.au/CI/warehouse/raw/drillhole?project=MIN&amp;site_id=003446","Geol Survey Link")</f>
        <v>Geol Survey Link</v>
      </c>
      <c r="H4353" t="s">
        <v>2707</v>
      </c>
      <c r="I4353">
        <v>-32.722499999999997</v>
      </c>
      <c r="J4353">
        <v>147.46799999999999</v>
      </c>
      <c r="K4353" t="str">
        <f>HYPERLINK("http://nvcl.geoscience.nsw.gov.au/NVCLDataServices/mosaic.html?datasetid=c5fbd6d8-2505-4436-b2e1-26a36585f3d","FKD3_Core Image")</f>
        <v>FKD3_Core Image</v>
      </c>
    </row>
    <row r="4354" spans="1:11" x14ac:dyDescent="0.25">
      <c r="A4354" t="str">
        <f>HYPERLINK("http://www.corstruth.com.au/NSW/FKD4_cs.png","FKD4_A4")</f>
        <v>FKD4_A4</v>
      </c>
      <c r="B4354" t="str">
        <f>HYPERLINK("http://www.corstruth.com.au/NSW/PNG2/FKD4_cs.png","FKD4_0.25m Bins")</f>
        <v>FKD4_0.25m Bins</v>
      </c>
      <c r="C4354" t="str">
        <f>HYPERLINK("http://www.corstruth.com.au/NSW/CSV/FKD4.csv","FKD4_CSV File 1m Bins")</f>
        <v>FKD4_CSV File 1m Bins</v>
      </c>
      <c r="D4354" t="s">
        <v>2710</v>
      </c>
      <c r="E4354" t="s">
        <v>2198</v>
      </c>
      <c r="F4354" t="str">
        <f>HYPERLINK("http://dwh.geoscience.nsw.gov.au/CI/warehouse/raw/drillhole?project=MIN&amp;site_id=003447","Geol Survey Link")</f>
        <v>Geol Survey Link</v>
      </c>
      <c r="H4354" t="s">
        <v>2707</v>
      </c>
      <c r="I4354">
        <v>-32.725499999999997</v>
      </c>
      <c r="J4354">
        <v>147.46700000000001</v>
      </c>
      <c r="K4354" t="str">
        <f>HYPERLINK("http://nvcl.geoscience.nsw.gov.au/NVCLDataServices/mosaic.html?datasetid=b353d966-598c-4e7d-952f-b5877b5c597","FKD4_Core Image")</f>
        <v>FKD4_Core Image</v>
      </c>
    </row>
    <row r="4355" spans="1:11" x14ac:dyDescent="0.25">
      <c r="A4355" t="str">
        <f>HYPERLINK("http://www.corstruth.com.au/NSW/KPDD002_cs.png","KPDD002_A4")</f>
        <v>KPDD002_A4</v>
      </c>
      <c r="B4355" t="str">
        <f>HYPERLINK("http://www.corstruth.com.au/NSW/PNG2/KPDD002_cs.png","KPDD002_0.25m Bins")</f>
        <v>KPDD002_0.25m Bins</v>
      </c>
      <c r="C4355" t="str">
        <f>HYPERLINK("http://www.corstruth.com.au/NSW/CSV/KPDD002.csv","KPDD002_CSV File 1m Bins")</f>
        <v>KPDD002_CSV File 1m Bins</v>
      </c>
      <c r="D4355" t="s">
        <v>2711</v>
      </c>
      <c r="E4355" t="s">
        <v>2198</v>
      </c>
      <c r="F4355" t="str">
        <f>HYPERLINK("http://dwh.geoscience.nsw.gov.au/CI/warehouse/raw/drillhole?project=MIN&amp;site_id=167589","Geol Survey Link")</f>
        <v>Geol Survey Link</v>
      </c>
      <c r="H4355" t="s">
        <v>2712</v>
      </c>
      <c r="I4355">
        <v>-32.619799999999998</v>
      </c>
      <c r="J4355">
        <v>146.042</v>
      </c>
      <c r="K4355" t="str">
        <f>HYPERLINK("http://nvcl.geoscience.nsw.gov.au/NVCLDataServices/mosaic.html?datasetid=2b7eb5bf-d338-4f21-95ad-6cea73d213b","KPDD002_Core Image")</f>
        <v>KPDD002_Core Image</v>
      </c>
    </row>
    <row r="4356" spans="1:11" x14ac:dyDescent="0.25">
      <c r="A4356" t="str">
        <f>HYPERLINK("http://www.corstruth.com.au/NSW/DDHK2_cs.png","DDHK2_A4")</f>
        <v>DDHK2_A4</v>
      </c>
      <c r="B4356" t="str">
        <f>HYPERLINK("http://www.corstruth.com.au/NSW/PNG2/DDHK2_cs.png","DDHK2_0.25m Bins")</f>
        <v>DDHK2_0.25m Bins</v>
      </c>
      <c r="C4356" t="str">
        <f>HYPERLINK("http://www.corstruth.com.au/NSW/CSV/DDHK2.csv","DDHK2_CSV File 1m Bins")</f>
        <v>DDHK2_CSV File 1m Bins</v>
      </c>
      <c r="D4356" t="s">
        <v>2713</v>
      </c>
      <c r="E4356" t="s">
        <v>2198</v>
      </c>
      <c r="F4356" t="str">
        <f>HYPERLINK("http://dwh.geoscience.nsw.gov.au/CI/warehouse/raw/drillhole?project=MIN&amp;site_id=009656","Geol Survey Link")</f>
        <v>Geol Survey Link</v>
      </c>
      <c r="H4356" t="s">
        <v>2714</v>
      </c>
      <c r="I4356">
        <v>-30.905999999999999</v>
      </c>
      <c r="J4356">
        <v>145.45099999999999</v>
      </c>
      <c r="K4356" t="str">
        <f>HYPERLINK("http://nvcl.geoscience.nsw.gov.au/NVCLDataServices/mosaic.html?datasetid=981fc8fd-4677-44d2-9785-3f177111422","DDHK2_Core Image")</f>
        <v>DDHK2_Core Image</v>
      </c>
    </row>
    <row r="4357" spans="1:11" x14ac:dyDescent="0.25">
      <c r="A4357" t="str">
        <f>HYPERLINK("http://www.corstruth.com.au/NSW/DDHK5_cs.png","DDHK5_A4")</f>
        <v>DDHK5_A4</v>
      </c>
      <c r="B4357" t="str">
        <f>HYPERLINK("http://www.corstruth.com.au/NSW/PNG2/DDHK5_cs.png","DDHK5_0.25m Bins")</f>
        <v>DDHK5_0.25m Bins</v>
      </c>
      <c r="C4357" t="str">
        <f>HYPERLINK("http://www.corstruth.com.au/NSW/CSV/DDHK5.csv","DDHK5_CSV File 1m Bins")</f>
        <v>DDHK5_CSV File 1m Bins</v>
      </c>
      <c r="D4357" t="s">
        <v>2715</v>
      </c>
      <c r="E4357" t="s">
        <v>2198</v>
      </c>
      <c r="F4357" t="str">
        <f>HYPERLINK("http://dwh.geoscience.nsw.gov.au/CI/warehouse/raw/drillhole?project=MIN&amp;site_id=009659","Geol Survey Link")</f>
        <v>Geol Survey Link</v>
      </c>
      <c r="H4357" t="s">
        <v>2716</v>
      </c>
      <c r="I4357">
        <v>-30.909600000000001</v>
      </c>
      <c r="J4357">
        <v>145.44900000000001</v>
      </c>
      <c r="K4357" t="str">
        <f>HYPERLINK("http://nvcl.geoscience.nsw.gov.au/NVCLDataServices/mosaic.html?datasetid=dc29181e-d941-49a1-b8c9-43d4f4a7c2b","DDHK5_Core Image")</f>
        <v>DDHK5_Core Image</v>
      </c>
    </row>
    <row r="4358" spans="1:11" x14ac:dyDescent="0.25">
      <c r="A4358" t="str">
        <f>HYPERLINK("http://www.corstruth.com.au/NSW/DDHK6_cs.png","DDHK6_A4")</f>
        <v>DDHK6_A4</v>
      </c>
      <c r="B4358" t="str">
        <f>HYPERLINK("http://www.corstruth.com.au/NSW/PNG2/DDHK6_cs.png","DDHK6_0.25m Bins")</f>
        <v>DDHK6_0.25m Bins</v>
      </c>
      <c r="C4358" t="str">
        <f>HYPERLINK("http://www.corstruth.com.au/NSW/CSV/DDHK6.csv","DDHK6_CSV File 1m Bins")</f>
        <v>DDHK6_CSV File 1m Bins</v>
      </c>
      <c r="D4358" t="s">
        <v>2717</v>
      </c>
      <c r="E4358" t="s">
        <v>2198</v>
      </c>
      <c r="F4358" t="str">
        <f>HYPERLINK("http://dwh.geoscience.nsw.gov.au/CI/warehouse/raw/drillhole?project=MIN&amp;site_id=009660","Geol Survey Link")</f>
        <v>Geol Survey Link</v>
      </c>
      <c r="H4358" t="s">
        <v>2716</v>
      </c>
      <c r="I4358">
        <v>-30.901499999999999</v>
      </c>
      <c r="J4358">
        <v>145.45099999999999</v>
      </c>
      <c r="K4358" t="str">
        <f>HYPERLINK("http://nvcl.geoscience.nsw.gov.au/NVCLDataServices/mosaic.html?datasetid=544ae903-df9b-4f50-afb3-49a601dbd9d","DDHK6_Core Image")</f>
        <v>DDHK6_Core Image</v>
      </c>
    </row>
    <row r="4359" spans="1:11" x14ac:dyDescent="0.25">
      <c r="A4359" t="str">
        <f>HYPERLINK("http://www.corstruth.com.au/NSW/DDHK7A_cs.png","DDHK7A_A4")</f>
        <v>DDHK7A_A4</v>
      </c>
      <c r="B4359" t="str">
        <f>HYPERLINK("http://www.corstruth.com.au/NSW/PNG2/DDHK7A_cs.png","DDHK7A_0.25m Bins")</f>
        <v>DDHK7A_0.25m Bins</v>
      </c>
      <c r="C4359" t="str">
        <f>HYPERLINK("http://www.corstruth.com.au/NSW/CSV/DDHK7A.csv","DDHK7A_CSV File 1m Bins")</f>
        <v>DDHK7A_CSV File 1m Bins</v>
      </c>
      <c r="D4359" t="s">
        <v>2718</v>
      </c>
      <c r="E4359" t="s">
        <v>2198</v>
      </c>
      <c r="F4359" t="str">
        <f>HYPERLINK("http://dwh.geoscience.nsw.gov.au/CI/warehouse/raw/drillhole?project=MIN&amp;site_id=009662","Geol Survey Link")</f>
        <v>Geol Survey Link</v>
      </c>
      <c r="H4359" t="s">
        <v>2719</v>
      </c>
      <c r="I4359">
        <v>-30.903400000000001</v>
      </c>
      <c r="J4359">
        <v>145.45599999999999</v>
      </c>
      <c r="K4359" t="str">
        <f>HYPERLINK("http://nvcl.geoscience.nsw.gov.au/NVCLDataServices/mosaic.html?datasetid=7a15b625-75f9-42b4-8523-ffff3381da7","DDHK7A_Core Image")</f>
        <v>DDHK7A_Core Image</v>
      </c>
    </row>
    <row r="4360" spans="1:11" x14ac:dyDescent="0.25">
      <c r="A4360" t="str">
        <f>HYPERLINK("http://www.corstruth.com.au/NSW/DDHK8_cs.png","DDHK8_A4")</f>
        <v>DDHK8_A4</v>
      </c>
      <c r="B4360" t="str">
        <f>HYPERLINK("http://www.corstruth.com.au/NSW/PNG2/DDHK8_cs.png","DDHK8_0.25m Bins")</f>
        <v>DDHK8_0.25m Bins</v>
      </c>
      <c r="C4360" t="str">
        <f>HYPERLINK("http://www.corstruth.com.au/NSW/CSV/DDHK8.csv","DDHK8_CSV File 1m Bins")</f>
        <v>DDHK8_CSV File 1m Bins</v>
      </c>
      <c r="D4360" t="s">
        <v>2720</v>
      </c>
      <c r="E4360" t="s">
        <v>2198</v>
      </c>
      <c r="F4360" t="str">
        <f>HYPERLINK("http://dwh.geoscience.nsw.gov.au/CI/warehouse/raw/drillhole?project=MIN&amp;site_id=009663","Geol Survey Link")</f>
        <v>Geol Survey Link</v>
      </c>
      <c r="H4360" t="s">
        <v>2716</v>
      </c>
      <c r="I4360">
        <v>-30.905200000000001</v>
      </c>
      <c r="J4360">
        <v>145.45599999999999</v>
      </c>
      <c r="K4360" t="str">
        <f>HYPERLINK("http://nvcl.geoscience.nsw.gov.au/NVCLDataServices/mosaic.html?datasetid=4b1d68d5-58d4-4599-aa3b-5b97595d2a4","DDHK8_Core Image")</f>
        <v>DDHK8_Core Image</v>
      </c>
    </row>
    <row r="4361" spans="1:11" x14ac:dyDescent="0.25">
      <c r="A4361" t="str">
        <f>HYPERLINK("http://www.corstruth.com.au/NSW/DDHK1_cs.png","DDHK1_A4")</f>
        <v>DDHK1_A4</v>
      </c>
      <c r="B4361" t="str">
        <f>HYPERLINK("http://www.corstruth.com.au/NSW/PNG2/DDHK1_cs.png","DDHK1_0.25m Bins")</f>
        <v>DDHK1_0.25m Bins</v>
      </c>
      <c r="C4361" t="str">
        <f>HYPERLINK("http://www.corstruth.com.au/NSW/CSV/DDHK1.csv","DDHK1_CSV File 1m Bins")</f>
        <v>DDHK1_CSV File 1m Bins</v>
      </c>
      <c r="D4361" t="s">
        <v>2721</v>
      </c>
      <c r="E4361" t="s">
        <v>2198</v>
      </c>
      <c r="F4361" t="str">
        <f>HYPERLINK("http://dwh.geoscience.nsw.gov.au/CI/warehouse/raw/drillhole?project=MIN&amp;site_id=009655","Geol Survey Link")</f>
        <v>Geol Survey Link</v>
      </c>
      <c r="H4361" t="s">
        <v>2722</v>
      </c>
      <c r="I4361">
        <v>-30.903300000000002</v>
      </c>
      <c r="J4361">
        <v>145.453</v>
      </c>
      <c r="K4361" t="str">
        <f>HYPERLINK("http://nvcl.geoscience.nsw.gov.au/NVCLDataServices/mosaic.html?datasetid=e9b9d69a-6ca6-43d4-9258-5829dffa822","DDHK1_Core Image")</f>
        <v>DDHK1_Core Image</v>
      </c>
    </row>
    <row r="4362" spans="1:11" x14ac:dyDescent="0.25">
      <c r="A4362" t="str">
        <f>HYPERLINK("http://www.corstruth.com.au/NSW/DD92LS1_cs.png","DD92LS1_A4")</f>
        <v>DD92LS1_A4</v>
      </c>
      <c r="B4362" t="str">
        <f>HYPERLINK("http://www.corstruth.com.au/NSW/PNG2/DD92LS1_cs.png","DD92LS1_0.25m Bins")</f>
        <v>DD92LS1_0.25m Bins</v>
      </c>
      <c r="C4362" t="str">
        <f>HYPERLINK("http://www.corstruth.com.au/NSW/CSV/DD92LS1.csv","DD92LS1_CSV File 1m Bins")</f>
        <v>DD92LS1_CSV File 1m Bins</v>
      </c>
      <c r="D4362" t="s">
        <v>2723</v>
      </c>
      <c r="E4362" t="s">
        <v>2198</v>
      </c>
      <c r="F4362" t="str">
        <f>HYPERLINK("http://dwh.geoscience.nsw.gov.au/CI/warehouse/raw/drillhole?project=MIN&amp;site_id=001769","Geol Survey Link")</f>
        <v>Geol Survey Link</v>
      </c>
      <c r="H4362" t="s">
        <v>2724</v>
      </c>
      <c r="I4362">
        <v>-31.6553</v>
      </c>
      <c r="J4362">
        <v>141.44800000000001</v>
      </c>
      <c r="K4362" t="str">
        <f>HYPERLINK("http://nvcl.geoscience.nsw.gov.au/NVCLDataServices/mosaic.html?datasetid=8faf7012-1c01-48b5-8c1e-e138e3da62f","DD92LS1_Core Image")</f>
        <v>DD92LS1_Core Image</v>
      </c>
    </row>
    <row r="4363" spans="1:11" x14ac:dyDescent="0.25">
      <c r="A4363" t="str">
        <f>HYPERLINK("http://www.corstruth.com.au/NSW/DDHA1-1_cs.png","DDHA1-1_A4")</f>
        <v>DDHA1-1_A4</v>
      </c>
      <c r="B4363" t="str">
        <f>HYPERLINK("http://www.corstruth.com.au/NSW/PNG2/DDHA1-1_cs.png","DDHA1-1_0.25m Bins")</f>
        <v>DDHA1-1_0.25m Bins</v>
      </c>
      <c r="C4363" t="str">
        <f>HYPERLINK("http://www.corstruth.com.au/NSW/CSV/DDHA1-1.csv","DDHA1-1_CSV File 1m Bins")</f>
        <v>DDHA1-1_CSV File 1m Bins</v>
      </c>
      <c r="D4363" t="s">
        <v>2725</v>
      </c>
      <c r="E4363" t="s">
        <v>2198</v>
      </c>
      <c r="F4363" t="str">
        <f>HYPERLINK("http://dwh.geoscience.nsw.gov.au/CI/warehouse/raw/drillhole?project=MIN&amp;site_id=057068","Geol Survey Link")</f>
        <v>Geol Survey Link</v>
      </c>
      <c r="H4363" t="s">
        <v>2726</v>
      </c>
      <c r="I4363">
        <v>-33.256500000000003</v>
      </c>
      <c r="J4363">
        <v>146.209</v>
      </c>
      <c r="K4363" t="str">
        <f>HYPERLINK("http://nvcl.geoscience.nsw.gov.au/NVCLDataServices/mosaic.html?datasetid=1a7a9359-1ec4-42b6-b29b-467c16ef229","DDHA1-1_Core Image")</f>
        <v>DDHA1-1_Core Image</v>
      </c>
    </row>
    <row r="4364" spans="1:11" x14ac:dyDescent="0.25">
      <c r="A4364" t="str">
        <f>HYPERLINK("http://www.corstruth.com.au/NSW/DDHA1-2_cs.png","DDHA1-2_A4")</f>
        <v>DDHA1-2_A4</v>
      </c>
      <c r="B4364" t="str">
        <f>HYPERLINK("http://www.corstruth.com.au/NSW/PNG2/DDHA1-2_cs.png","DDHA1-2_0.25m Bins")</f>
        <v>DDHA1-2_0.25m Bins</v>
      </c>
      <c r="C4364" t="str">
        <f>HYPERLINK("http://www.corstruth.com.au/NSW/CSV/DDHA1-2.csv","DDHA1-2_CSV File 1m Bins")</f>
        <v>DDHA1-2_CSV File 1m Bins</v>
      </c>
      <c r="D4364" t="s">
        <v>2727</v>
      </c>
      <c r="E4364" t="s">
        <v>2198</v>
      </c>
      <c r="F4364" t="str">
        <f>HYPERLINK("http://dwh.geoscience.nsw.gov.au/CI/warehouse/raw/drillhole?project=MIN&amp;site_id=057070","Geol Survey Link")</f>
        <v>Geol Survey Link</v>
      </c>
      <c r="H4364" t="s">
        <v>2728</v>
      </c>
      <c r="I4364">
        <v>-33.247599999999998</v>
      </c>
      <c r="J4364">
        <v>146.208</v>
      </c>
      <c r="K4364" t="str">
        <f>HYPERLINK("http://nvcl.geoscience.nsw.gov.au/NVCLDataServices/mosaic.html?datasetid=da5d38be-3321-4d54-a4fb-28af185e9cc","DDHA1-2_Core Image")</f>
        <v>DDHA1-2_Core Image</v>
      </c>
    </row>
    <row r="4365" spans="1:11" x14ac:dyDescent="0.25">
      <c r="A4365" t="str">
        <f>HYPERLINK("http://www.corstruth.com.au/NSW/LV13_cs.png","LV13_A4")</f>
        <v>LV13_A4</v>
      </c>
      <c r="B4365" t="str">
        <f>HYPERLINK("http://www.corstruth.com.au/NSW/PNG2/LV13_cs.png","LV13_0.25m Bins")</f>
        <v>LV13_0.25m Bins</v>
      </c>
      <c r="C4365" t="str">
        <f>HYPERLINK("http://www.corstruth.com.au/NSW/CSV/LV13.csv","LV13_CSV File 1m Bins")</f>
        <v>LV13_CSV File 1m Bins</v>
      </c>
      <c r="D4365" t="s">
        <v>2729</v>
      </c>
      <c r="E4365" t="s">
        <v>2198</v>
      </c>
      <c r="F4365" t="str">
        <f>HYPERLINK("http://dwh.geoscience.nsw.gov.au/CI/warehouse/raw/drillhole?project=MIN&amp;site_id=037869","Geol Survey Link")</f>
        <v>Geol Survey Link</v>
      </c>
      <c r="H4365" t="s">
        <v>2730</v>
      </c>
      <c r="I4365">
        <v>-32.025100000000002</v>
      </c>
      <c r="J4365">
        <v>149.53200000000001</v>
      </c>
      <c r="K4365" t="str">
        <f>HYPERLINK("http://nvcl.geoscience.nsw.gov.au/NVCLDataServices/mosaic.html?datasetid=332bbb89-f68f-4572-8d5d-b25d0767e33","LV13_Core Image")</f>
        <v>LV13_Core Image</v>
      </c>
    </row>
    <row r="4366" spans="1:11" x14ac:dyDescent="0.25">
      <c r="A4366" t="str">
        <f>HYPERLINK("http://www.corstruth.com.au/NSW/LTRC14003_cs.png","LTRC14003_A4")</f>
        <v>LTRC14003_A4</v>
      </c>
      <c r="B4366" t="str">
        <f>HYPERLINK("http://www.corstruth.com.au/NSW/PNG2/LTRC14003_cs.png","LTRC14003_0.25m Bins")</f>
        <v>LTRC14003_0.25m Bins</v>
      </c>
      <c r="C4366" t="str">
        <f>HYPERLINK("http://www.corstruth.com.au/NSW/CSV/LTRC14003.csv","LTRC14003_CSV File 1m Bins")</f>
        <v>LTRC14003_CSV File 1m Bins</v>
      </c>
      <c r="D4366" t="s">
        <v>2731</v>
      </c>
      <c r="E4366" t="s">
        <v>2198</v>
      </c>
      <c r="F4366" t="str">
        <f>HYPERLINK("http://dwh.geoscience.nsw.gov.au/CI/warehouse/raw/drillhole?project=MIN&amp;site_id=158544","Geol Survey Link")</f>
        <v>Geol Survey Link</v>
      </c>
      <c r="H4366" t="s">
        <v>2732</v>
      </c>
      <c r="I4366">
        <v>-31.183700000000002</v>
      </c>
      <c r="J4366">
        <v>146.19499999999999</v>
      </c>
      <c r="K4366" t="str">
        <f>HYPERLINK("http://nvcl.geoscience.nsw.gov.au/NVCLDataServices/mosaic.html?datasetid=99070adf-1510-4d40-b531-f458cc08cd6","LTRC14003_Core Image")</f>
        <v>LTRC14003_Core Image</v>
      </c>
    </row>
    <row r="4367" spans="1:11" x14ac:dyDescent="0.25">
      <c r="A4367" t="str">
        <f>HYPERLINK("http://www.corstruth.com.au/NSW/LTRC14007_cs.png","LTRC14007_A4")</f>
        <v>LTRC14007_A4</v>
      </c>
      <c r="B4367" t="str">
        <f>HYPERLINK("http://www.corstruth.com.au/NSW/PNG2/LTRC14007_cs.png","LTRC14007_0.25m Bins")</f>
        <v>LTRC14007_0.25m Bins</v>
      </c>
      <c r="C4367" t="str">
        <f>HYPERLINK("http://www.corstruth.com.au/NSW/CSV/LTRC14007.csv","LTRC14007_CSV File 1m Bins")</f>
        <v>LTRC14007_CSV File 1m Bins</v>
      </c>
      <c r="D4367" t="s">
        <v>2733</v>
      </c>
      <c r="E4367" t="s">
        <v>2198</v>
      </c>
      <c r="F4367" t="str">
        <f>HYPERLINK("http://dwh.geoscience.nsw.gov.au/CI/warehouse/raw/drillhole?project=MIN&amp;site_id=158548","Geol Survey Link")</f>
        <v>Geol Survey Link</v>
      </c>
      <c r="H4367" t="s">
        <v>2734</v>
      </c>
      <c r="I4367">
        <v>-31.183800000000002</v>
      </c>
      <c r="J4367">
        <v>146.196</v>
      </c>
      <c r="K4367" t="str">
        <f>HYPERLINK("http://nvcl.geoscience.nsw.gov.au/NVCLDataServices/mosaic.html?datasetid=714e63df-01eb-462e-8121-8358e766505","LTRC14007_Core Image")</f>
        <v>LTRC14007_Core Image</v>
      </c>
    </row>
    <row r="4368" spans="1:11" x14ac:dyDescent="0.25">
      <c r="A4368" t="str">
        <f>HYPERLINK("http://www.corstruth.com.au/NSW/DD94GB101_cs.png","DD94GB101_A4")</f>
        <v>DD94GB101_A4</v>
      </c>
      <c r="B4368" t="str">
        <f>HYPERLINK("http://www.corstruth.com.au/NSW/PNG2/DD94GB101_cs.png","DD94GB101_0.25m Bins")</f>
        <v>DD94GB101_0.25m Bins</v>
      </c>
      <c r="C4368" t="str">
        <f>HYPERLINK("http://www.corstruth.com.au/NSW/CSV/DD94GB101.csv","DD94GB101_CSV File 1m Bins")</f>
        <v>DD94GB101_CSV File 1m Bins</v>
      </c>
      <c r="D4368" t="s">
        <v>2735</v>
      </c>
      <c r="E4368" t="s">
        <v>2198</v>
      </c>
      <c r="F4368" t="str">
        <f>HYPERLINK("http://dwh.geoscience.nsw.gov.au/CI/warehouse/raw/drillhole?project=MIN&amp;site_id=036074","Geol Survey Link")</f>
        <v>Geol Survey Link</v>
      </c>
      <c r="H4368" t="s">
        <v>2736</v>
      </c>
      <c r="I4368">
        <v>-34.331400000000002</v>
      </c>
      <c r="J4368">
        <v>147.45699999999999</v>
      </c>
      <c r="K4368" t="str">
        <f>HYPERLINK("http://nvcl.geoscience.nsw.gov.au/NVCLDataServices/mosaic.html?datasetid=c5bdce41-17ef-4c18-b665-623c8874bb5","DD94GB101_Core Image")</f>
        <v>DD94GB101_Core Image</v>
      </c>
    </row>
    <row r="4369" spans="1:10" x14ac:dyDescent="0.25">
      <c r="A4369" t="str">
        <f>HYPERLINK("http://www.corstruth.com.au/NSW/1-0-5D_cs.png","1-0-5D_A4")</f>
        <v>1-0-5D_A4</v>
      </c>
      <c r="B4369" t="str">
        <f>HYPERLINK("http://www.corstruth.com.au/NSW/PNG2/1-0-5D_cs.png","1-0-5D_0.25m Bins")</f>
        <v>1-0-5D_0.25m Bins</v>
      </c>
      <c r="C4369" t="str">
        <f>HYPERLINK("http://www.corstruth.com.au/NSW/CSV/1-0-5D.csv","1-0-5D_CSV File 1m Bins")</f>
        <v>1-0-5D_CSV File 1m Bins</v>
      </c>
      <c r="D4369" t="s">
        <v>2737</v>
      </c>
      <c r="E4369" t="s">
        <v>2198</v>
      </c>
      <c r="F4369" t="str">
        <f>HYPERLINK("http://dwh.geoscience.nsw.gov.au/CI/warehouse/raw/drillhole?project=&amp;site_id=1-0-5D","Geol Survey Link")</f>
        <v>Geol Survey Link</v>
      </c>
      <c r="I4369">
        <v>0</v>
      </c>
      <c r="J4369">
        <v>0</v>
      </c>
    </row>
    <row r="4370" spans="1:10" x14ac:dyDescent="0.25">
      <c r="A4370" t="str">
        <f>HYPERLINK("http://www.corstruth.com.au/NSW/10_LTRC14003_cs.png","10_LTRC14003_A4")</f>
        <v>10_LTRC14003_A4</v>
      </c>
      <c r="B4370" t="str">
        <f>HYPERLINK("http://www.corstruth.com.au/NSW/PNG2/10_LTRC14003_cs.png","10_LTRC14003_0.25m Bins")</f>
        <v>10_LTRC14003_0.25m Bins</v>
      </c>
      <c r="C4370" t="str">
        <f>HYPERLINK("http://www.corstruth.com.au/NSW/CSV/10_LTRC14003.csv","10_LTRC14003_CSV File 1m Bins")</f>
        <v>10_LTRC14003_CSV File 1m Bins</v>
      </c>
      <c r="E4370" t="s">
        <v>2198</v>
      </c>
      <c r="F4370" t="str">
        <f t="shared" ref="F4370:F4408" si="0">HYPERLINK("http://dwh.geoscience.nsw.gov.au/CI/warehouse/raw/drillhole?project=&amp;site_id=","Geol Survey Link")</f>
        <v>Geol Survey Link</v>
      </c>
      <c r="I4370">
        <v>0</v>
      </c>
      <c r="J4370">
        <v>0</v>
      </c>
    </row>
    <row r="4371" spans="1:10" x14ac:dyDescent="0.25">
      <c r="A4371" t="str">
        <f>HYPERLINK("http://www.corstruth.com.au/NSW/1535DD348_cs.png","1535DD348_A4")</f>
        <v>1535DD348_A4</v>
      </c>
      <c r="B4371" t="str">
        <f>HYPERLINK("http://www.corstruth.com.au/NSW/PNG2/1535DD348_cs.png","1535DD348_0.25m Bins")</f>
        <v>1535DD348_0.25m Bins</v>
      </c>
      <c r="C4371" t="str">
        <f>HYPERLINK("http://www.corstruth.com.au/NSW/CSV/1535DD348.csv","1535DD348_CSV File 1m Bins")</f>
        <v>1535DD348_CSV File 1m Bins</v>
      </c>
      <c r="E4371" t="s">
        <v>2198</v>
      </c>
      <c r="F4371" t="str">
        <f t="shared" si="0"/>
        <v>Geol Survey Link</v>
      </c>
      <c r="G4371" t="s">
        <v>2738</v>
      </c>
      <c r="I4371">
        <v>0</v>
      </c>
      <c r="J4371">
        <v>0</v>
      </c>
    </row>
    <row r="4372" spans="1:10" x14ac:dyDescent="0.25">
      <c r="A4372" t="str">
        <f>HYPERLINK("http://www.corstruth.com.au/NSW/1535DD359C_cs.png","1535DD359C_A4")</f>
        <v>1535DD359C_A4</v>
      </c>
      <c r="B4372" t="str">
        <f>HYPERLINK("http://www.corstruth.com.au/NSW/PNG2/1535DD359C_cs.png","1535DD359C_0.25m Bins")</f>
        <v>1535DD359C_0.25m Bins</v>
      </c>
      <c r="C4372" t="str">
        <f>HYPERLINK("http://www.corstruth.com.au/NSW/CSV/1535DD359C.csv","1535DD359C_CSV File 1m Bins")</f>
        <v>1535DD359C_CSV File 1m Bins</v>
      </c>
      <c r="E4372" t="s">
        <v>2198</v>
      </c>
      <c r="F4372" t="str">
        <f t="shared" si="0"/>
        <v>Geol Survey Link</v>
      </c>
      <c r="G4372" t="s">
        <v>2738</v>
      </c>
      <c r="I4372">
        <v>0</v>
      </c>
      <c r="J4372">
        <v>0</v>
      </c>
    </row>
    <row r="4373" spans="1:10" x14ac:dyDescent="0.25">
      <c r="A4373" t="str">
        <f>HYPERLINK("http://www.corstruth.com.au/NSW/17CB042_cs.png","17CB042_A4")</f>
        <v>17CB042_A4</v>
      </c>
      <c r="B4373" t="str">
        <f>HYPERLINK("http://www.corstruth.com.au/NSW/PNG2/17CB042_cs.png","17CB042_0.25m Bins")</f>
        <v>17CB042_0.25m Bins</v>
      </c>
      <c r="C4373" t="str">
        <f>HYPERLINK("http://www.corstruth.com.au/NSW/CSV/17CB042.csv","17CB042_CSV File 1m Bins")</f>
        <v>17CB042_CSV File 1m Bins</v>
      </c>
      <c r="E4373" t="s">
        <v>2198</v>
      </c>
      <c r="F4373" t="str">
        <f t="shared" si="0"/>
        <v>Geol Survey Link</v>
      </c>
      <c r="I4373">
        <v>0</v>
      </c>
      <c r="J4373">
        <v>0</v>
      </c>
    </row>
    <row r="4374" spans="1:10" x14ac:dyDescent="0.25">
      <c r="A4374" t="str">
        <f>HYPERLINK("http://www.corstruth.com.au/NSW/17THD023_cs.png","17THD023_A4")</f>
        <v>17THD023_A4</v>
      </c>
      <c r="B4374" t="str">
        <f>HYPERLINK("http://www.corstruth.com.au/NSW/PNG2/17THD023_cs.png","17THD023_0.25m Bins")</f>
        <v>17THD023_0.25m Bins</v>
      </c>
      <c r="C4374" t="str">
        <f>HYPERLINK("http://www.corstruth.com.au/NSW/CSV/17THD023.csv","17THD023_CSV File 1m Bins")</f>
        <v>17THD023_CSV File 1m Bins</v>
      </c>
      <c r="E4374" t="s">
        <v>2198</v>
      </c>
      <c r="F4374" t="str">
        <f t="shared" si="0"/>
        <v>Geol Survey Link</v>
      </c>
      <c r="I4374">
        <v>0</v>
      </c>
      <c r="J4374">
        <v>0</v>
      </c>
    </row>
    <row r="4375" spans="1:10" x14ac:dyDescent="0.25">
      <c r="A4375" t="str">
        <f>HYPERLINK("http://www.corstruth.com.au/NSW/17THD06_cs.png","17THD06_A4")</f>
        <v>17THD06_A4</v>
      </c>
      <c r="B4375" t="str">
        <f>HYPERLINK("http://www.corstruth.com.au/NSW/PNG2/17THD06_cs.png","17THD06_0.25m Bins")</f>
        <v>17THD06_0.25m Bins</v>
      </c>
      <c r="C4375" t="str">
        <f>HYPERLINK("http://www.corstruth.com.au/NSW/CSV/17THD06.csv","17THD06_CSV File 1m Bins")</f>
        <v>17THD06_CSV File 1m Bins</v>
      </c>
      <c r="E4375" t="s">
        <v>2198</v>
      </c>
      <c r="F4375" t="str">
        <f t="shared" si="0"/>
        <v>Geol Survey Link</v>
      </c>
      <c r="I4375">
        <v>0</v>
      </c>
      <c r="J4375">
        <v>0</v>
      </c>
    </row>
    <row r="4376" spans="1:10" x14ac:dyDescent="0.25">
      <c r="A4376" t="str">
        <f>HYPERLINK("http://www.corstruth.com.au/NSW/18CB052_cs.png","18CB052_A4")</f>
        <v>18CB052_A4</v>
      </c>
      <c r="B4376" t="str">
        <f>HYPERLINK("http://www.corstruth.com.au/NSW/PNG2/18CB052_cs.png","18CB052_0.25m Bins")</f>
        <v>18CB052_0.25m Bins</v>
      </c>
      <c r="C4376" t="str">
        <f>HYPERLINK("http://www.corstruth.com.au/NSW/CSV/18CB052.csv","18CB052_CSV File 1m Bins")</f>
        <v>18CB052_CSV File 1m Bins</v>
      </c>
      <c r="E4376" t="s">
        <v>2198</v>
      </c>
      <c r="F4376" t="str">
        <f t="shared" si="0"/>
        <v>Geol Survey Link</v>
      </c>
      <c r="I4376">
        <v>0</v>
      </c>
      <c r="J4376">
        <v>0</v>
      </c>
    </row>
    <row r="4377" spans="1:10" x14ac:dyDescent="0.25">
      <c r="A4377" t="str">
        <f>HYPERLINK("http://www.corstruth.com.au/NSW/18CB055_cs.png","18CB055_A4")</f>
        <v>18CB055_A4</v>
      </c>
      <c r="B4377" t="str">
        <f>HYPERLINK("http://www.corstruth.com.au/NSW/PNG2/18CB055_cs.png","18CB055_0.25m Bins")</f>
        <v>18CB055_0.25m Bins</v>
      </c>
      <c r="C4377" t="str">
        <f>HYPERLINK("http://www.corstruth.com.au/NSW/CSV/18CB055.csv","18CB055_CSV File 1m Bins")</f>
        <v>18CB055_CSV File 1m Bins</v>
      </c>
      <c r="E4377" t="s">
        <v>2198</v>
      </c>
      <c r="F4377" t="str">
        <f t="shared" si="0"/>
        <v>Geol Survey Link</v>
      </c>
      <c r="I4377">
        <v>0</v>
      </c>
      <c r="J4377">
        <v>0</v>
      </c>
    </row>
    <row r="4378" spans="1:10" x14ac:dyDescent="0.25">
      <c r="A4378" t="str">
        <f>HYPERLINK("http://www.corstruth.com.au/NSW/18CB069_cs.png","18CB069_A4")</f>
        <v>18CB069_A4</v>
      </c>
      <c r="B4378" t="str">
        <f>HYPERLINK("http://www.corstruth.com.au/NSW/PNG2/18CB069_cs.png","18CB069_0.25m Bins")</f>
        <v>18CB069_0.25m Bins</v>
      </c>
      <c r="C4378" t="str">
        <f>HYPERLINK("http://www.corstruth.com.au/NSW/CSV/18CB069.csv","18CB069_CSV File 1m Bins")</f>
        <v>18CB069_CSV File 1m Bins</v>
      </c>
      <c r="E4378" t="s">
        <v>2198</v>
      </c>
      <c r="F4378" t="str">
        <f t="shared" si="0"/>
        <v>Geol Survey Link</v>
      </c>
      <c r="I4378">
        <v>0</v>
      </c>
      <c r="J4378">
        <v>0</v>
      </c>
    </row>
    <row r="4379" spans="1:10" x14ac:dyDescent="0.25">
      <c r="A4379" t="str">
        <f>HYPERLINK("http://www.corstruth.com.au/NSW/18THD012_cs.png","18THD012_A4")</f>
        <v>18THD012_A4</v>
      </c>
      <c r="B4379" t="str">
        <f>HYPERLINK("http://www.corstruth.com.au/NSW/PNG2/18THD012_cs.png","18THD012_0.25m Bins")</f>
        <v>18THD012_0.25m Bins</v>
      </c>
      <c r="C4379" t="str">
        <f>HYPERLINK("http://www.corstruth.com.au/NSW/CSV/18THD012.csv","18THD012_CSV File 1m Bins")</f>
        <v>18THD012_CSV File 1m Bins</v>
      </c>
      <c r="E4379" t="s">
        <v>2198</v>
      </c>
      <c r="F4379" t="str">
        <f t="shared" si="0"/>
        <v>Geol Survey Link</v>
      </c>
      <c r="I4379">
        <v>0</v>
      </c>
      <c r="J4379">
        <v>0</v>
      </c>
    </row>
    <row r="4380" spans="1:10" x14ac:dyDescent="0.25">
      <c r="A4380" t="str">
        <f>HYPERLINK("http://www.corstruth.com.au/NSW/20BMDD011_cs.png","20BMDD011_A4")</f>
        <v>20BMDD011_A4</v>
      </c>
      <c r="B4380" t="str">
        <f>HYPERLINK("http://www.corstruth.com.au/NSW/PNG2/20BMDD011_cs.png","20BMDD011_0.25m Bins")</f>
        <v>20BMDD011_0.25m Bins</v>
      </c>
      <c r="C4380" t="str">
        <f>HYPERLINK("http://www.corstruth.com.au/NSW/CSV/20BMDD011.csv","20BMDD011_CSV File 1m Bins")</f>
        <v>20BMDD011_CSV File 1m Bins</v>
      </c>
      <c r="E4380" t="s">
        <v>2198</v>
      </c>
      <c r="F4380" t="str">
        <f t="shared" si="0"/>
        <v>Geol Survey Link</v>
      </c>
      <c r="I4380">
        <v>0</v>
      </c>
      <c r="J4380">
        <v>0</v>
      </c>
    </row>
    <row r="4381" spans="1:10" x14ac:dyDescent="0.25">
      <c r="A4381" t="str">
        <f>HYPERLINK("http://www.corstruth.com.au/NSW/21MKRC001_cs.png","21MKRC001_A4")</f>
        <v>21MKRC001_A4</v>
      </c>
      <c r="B4381" t="str">
        <f>HYPERLINK("http://www.corstruth.com.au/NSW/PNG2/21MKRC001_cs.png","21MKRC001_0.25m Bins")</f>
        <v>21MKRC001_0.25m Bins</v>
      </c>
      <c r="C4381" t="str">
        <f>HYPERLINK("http://www.corstruth.com.au/NSW/CSV/21MKRC001.csv","21MKRC001_CSV File 1m Bins")</f>
        <v>21MKRC001_CSV File 1m Bins</v>
      </c>
      <c r="E4381" t="s">
        <v>2198</v>
      </c>
      <c r="F4381" t="str">
        <f t="shared" si="0"/>
        <v>Geol Survey Link</v>
      </c>
      <c r="I4381">
        <v>0</v>
      </c>
      <c r="J4381">
        <v>0</v>
      </c>
    </row>
    <row r="4382" spans="1:10" x14ac:dyDescent="0.25">
      <c r="A4382" t="str">
        <f>HYPERLINK("http://www.corstruth.com.au/NSW/21MKRC002_cs.png","21MKRC002_A4")</f>
        <v>21MKRC002_A4</v>
      </c>
      <c r="B4382" t="str">
        <f>HYPERLINK("http://www.corstruth.com.au/NSW/PNG2/21MKRC002_cs.png","21MKRC002_0.25m Bins")</f>
        <v>21MKRC002_0.25m Bins</v>
      </c>
      <c r="C4382" t="str">
        <f>HYPERLINK("http://www.corstruth.com.au/NSW/CSV/21MKRC002.csv","21MKRC002_CSV File 1m Bins")</f>
        <v>21MKRC002_CSV File 1m Bins</v>
      </c>
      <c r="E4382" t="s">
        <v>2198</v>
      </c>
      <c r="F4382" t="str">
        <f t="shared" si="0"/>
        <v>Geol Survey Link</v>
      </c>
      <c r="I4382">
        <v>0</v>
      </c>
      <c r="J4382">
        <v>0</v>
      </c>
    </row>
    <row r="4383" spans="1:10" x14ac:dyDescent="0.25">
      <c r="A4383" t="str">
        <f>HYPERLINK("http://www.corstruth.com.au/NSW/21MKRC003_cs.png","21MKRC003_A4")</f>
        <v>21MKRC003_A4</v>
      </c>
      <c r="B4383" t="str">
        <f>HYPERLINK("http://www.corstruth.com.au/NSW/PNG2/21MKRC003_cs.png","21MKRC003_0.25m Bins")</f>
        <v>21MKRC003_0.25m Bins</v>
      </c>
      <c r="C4383" t="str">
        <f>HYPERLINK("http://www.corstruth.com.au/NSW/CSV/21MKRC003.csv","21MKRC003_CSV File 1m Bins")</f>
        <v>21MKRC003_CSV File 1m Bins</v>
      </c>
      <c r="E4383" t="s">
        <v>2198</v>
      </c>
      <c r="F4383" t="str">
        <f t="shared" si="0"/>
        <v>Geol Survey Link</v>
      </c>
      <c r="I4383">
        <v>0</v>
      </c>
      <c r="J4383">
        <v>0</v>
      </c>
    </row>
    <row r="4384" spans="1:10" x14ac:dyDescent="0.25">
      <c r="A4384" t="str">
        <f>HYPERLINK("http://www.corstruth.com.au/NSW/21MKRC004_cs.png","21MKRC004_A4")</f>
        <v>21MKRC004_A4</v>
      </c>
      <c r="B4384" t="str">
        <f>HYPERLINK("http://www.corstruth.com.au/NSW/PNG2/21MKRC004_cs.png","21MKRC004_0.25m Bins")</f>
        <v>21MKRC004_0.25m Bins</v>
      </c>
      <c r="C4384" t="str">
        <f>HYPERLINK("http://www.corstruth.com.au/NSW/CSV/21MKRC004.csv","21MKRC004_CSV File 1m Bins")</f>
        <v>21MKRC004_CSV File 1m Bins</v>
      </c>
      <c r="E4384" t="s">
        <v>2198</v>
      </c>
      <c r="F4384" t="str">
        <f t="shared" si="0"/>
        <v>Geol Survey Link</v>
      </c>
      <c r="I4384">
        <v>0</v>
      </c>
      <c r="J4384">
        <v>0</v>
      </c>
    </row>
    <row r="4385" spans="1:10" x14ac:dyDescent="0.25">
      <c r="A4385" t="str">
        <f>HYPERLINK("http://www.corstruth.com.au/NSW/21MKRC005_cs.png","21MKRC005_A4")</f>
        <v>21MKRC005_A4</v>
      </c>
      <c r="B4385" t="str">
        <f>HYPERLINK("http://www.corstruth.com.au/NSW/PNG2/21MKRC005_cs.png","21MKRC005_0.25m Bins")</f>
        <v>21MKRC005_0.25m Bins</v>
      </c>
      <c r="C4385" t="str">
        <f>HYPERLINK("http://www.corstruth.com.au/NSW/CSV/21MKRC005.csv","21MKRC005_CSV File 1m Bins")</f>
        <v>21MKRC005_CSV File 1m Bins</v>
      </c>
      <c r="E4385" t="s">
        <v>2198</v>
      </c>
      <c r="F4385" t="str">
        <f t="shared" si="0"/>
        <v>Geol Survey Link</v>
      </c>
      <c r="I4385">
        <v>0</v>
      </c>
      <c r="J4385">
        <v>0</v>
      </c>
    </row>
    <row r="4386" spans="1:10" x14ac:dyDescent="0.25">
      <c r="A4386" t="str">
        <f>HYPERLINK("http://www.corstruth.com.au/NSW/21MKRC006_cs.png","21MKRC006_A4")</f>
        <v>21MKRC006_A4</v>
      </c>
      <c r="B4386" t="str">
        <f>HYPERLINK("http://www.corstruth.com.au/NSW/PNG2/21MKRC006_cs.png","21MKRC006_0.25m Bins")</f>
        <v>21MKRC006_0.25m Bins</v>
      </c>
      <c r="C4386" t="str">
        <f>HYPERLINK("http://www.corstruth.com.au/NSW/CSV/21MKRC006.csv","21MKRC006_CSV File 1m Bins")</f>
        <v>21MKRC006_CSV File 1m Bins</v>
      </c>
      <c r="E4386" t="s">
        <v>2198</v>
      </c>
      <c r="F4386" t="str">
        <f t="shared" si="0"/>
        <v>Geol Survey Link</v>
      </c>
      <c r="I4386">
        <v>0</v>
      </c>
      <c r="J4386">
        <v>0</v>
      </c>
    </row>
    <row r="4387" spans="1:10" x14ac:dyDescent="0.25">
      <c r="A4387" t="str">
        <f>HYPERLINK("http://www.corstruth.com.au/NSW/21MKRC007_cs.png","21MKRC007_A4")</f>
        <v>21MKRC007_A4</v>
      </c>
      <c r="B4387" t="str">
        <f>HYPERLINK("http://www.corstruth.com.au/NSW/PNG2/21MKRC007_cs.png","21MKRC007_0.25m Bins")</f>
        <v>21MKRC007_0.25m Bins</v>
      </c>
      <c r="C4387" t="str">
        <f>HYPERLINK("http://www.corstruth.com.au/NSW/CSV/21MKRC007.csv","21MKRC007_CSV File 1m Bins")</f>
        <v>21MKRC007_CSV File 1m Bins</v>
      </c>
      <c r="E4387" t="s">
        <v>2198</v>
      </c>
      <c r="F4387" t="str">
        <f t="shared" si="0"/>
        <v>Geol Survey Link</v>
      </c>
      <c r="I4387">
        <v>0</v>
      </c>
      <c r="J4387">
        <v>0</v>
      </c>
    </row>
    <row r="4388" spans="1:10" x14ac:dyDescent="0.25">
      <c r="A4388" t="str">
        <f>HYPERLINK("http://www.corstruth.com.au/NSW/21MKRC008_cs.png","21MKRC008_A4")</f>
        <v>21MKRC008_A4</v>
      </c>
      <c r="B4388" t="str">
        <f>HYPERLINK("http://www.corstruth.com.au/NSW/PNG2/21MKRC008_cs.png","21MKRC008_0.25m Bins")</f>
        <v>21MKRC008_0.25m Bins</v>
      </c>
      <c r="C4388" t="str">
        <f>HYPERLINK("http://www.corstruth.com.au/NSW/CSV/21MKRC008.csv","21MKRC008_CSV File 1m Bins")</f>
        <v>21MKRC008_CSV File 1m Bins</v>
      </c>
      <c r="E4388" t="s">
        <v>2198</v>
      </c>
      <c r="F4388" t="str">
        <f t="shared" si="0"/>
        <v>Geol Survey Link</v>
      </c>
      <c r="I4388">
        <v>0</v>
      </c>
      <c r="J4388">
        <v>0</v>
      </c>
    </row>
    <row r="4389" spans="1:10" x14ac:dyDescent="0.25">
      <c r="A4389" t="str">
        <f>HYPERLINK("http://www.corstruth.com.au/NSW/22MKDD001_cs.png","22MKDD001_A4")</f>
        <v>22MKDD001_A4</v>
      </c>
      <c r="B4389" t="str">
        <f>HYPERLINK("http://www.corstruth.com.au/NSW/PNG2/22MKDD001_cs.png","22MKDD001_0.25m Bins")</f>
        <v>22MKDD001_0.25m Bins</v>
      </c>
      <c r="C4389" t="str">
        <f>HYPERLINK("http://www.corstruth.com.au/NSW/CSV/22MKDD001.csv","22MKDD001_CSV File 1m Bins")</f>
        <v>22MKDD001_CSV File 1m Bins</v>
      </c>
      <c r="E4389" t="s">
        <v>2198</v>
      </c>
      <c r="F4389" t="str">
        <f t="shared" si="0"/>
        <v>Geol Survey Link</v>
      </c>
      <c r="I4389">
        <v>0</v>
      </c>
      <c r="J4389">
        <v>0</v>
      </c>
    </row>
    <row r="4390" spans="1:10" x14ac:dyDescent="0.25">
      <c r="A4390" t="str">
        <f>HYPERLINK("http://www.corstruth.com.au/NSW/22MKRC009_cs.png","22MKRC009_A4")</f>
        <v>22MKRC009_A4</v>
      </c>
      <c r="B4390" t="str">
        <f>HYPERLINK("http://www.corstruth.com.au/NSW/PNG2/22MKRC009_cs.png","22MKRC009_0.25m Bins")</f>
        <v>22MKRC009_0.25m Bins</v>
      </c>
      <c r="C4390" t="str">
        <f>HYPERLINK("http://www.corstruth.com.au/NSW/CSV/22MKRC009.csv","22MKRC009_CSV File 1m Bins")</f>
        <v>22MKRC009_CSV File 1m Bins</v>
      </c>
      <c r="E4390" t="s">
        <v>2198</v>
      </c>
      <c r="F4390" t="str">
        <f t="shared" si="0"/>
        <v>Geol Survey Link</v>
      </c>
      <c r="I4390">
        <v>0</v>
      </c>
      <c r="J4390">
        <v>0</v>
      </c>
    </row>
    <row r="4391" spans="1:10" x14ac:dyDescent="0.25">
      <c r="A4391" t="str">
        <f>HYPERLINK("http://www.corstruth.com.au/NSW/22MKRC010_cs.png","22MKRC010_A4")</f>
        <v>22MKRC010_A4</v>
      </c>
      <c r="B4391" t="str">
        <f>HYPERLINK("http://www.corstruth.com.au/NSW/PNG2/22MKRC010_cs.png","22MKRC010_0.25m Bins")</f>
        <v>22MKRC010_0.25m Bins</v>
      </c>
      <c r="C4391" t="str">
        <f>HYPERLINK("http://www.corstruth.com.au/NSW/CSV/22MKRC010.csv","22MKRC010_CSV File 1m Bins")</f>
        <v>22MKRC010_CSV File 1m Bins</v>
      </c>
      <c r="E4391" t="s">
        <v>2198</v>
      </c>
      <c r="F4391" t="str">
        <f t="shared" si="0"/>
        <v>Geol Survey Link</v>
      </c>
      <c r="I4391">
        <v>0</v>
      </c>
      <c r="J4391">
        <v>0</v>
      </c>
    </row>
    <row r="4392" spans="1:10" x14ac:dyDescent="0.25">
      <c r="A4392" t="str">
        <f>HYPERLINK("http://www.corstruth.com.au/NSW/22MKRC011_cs.png","22MKRC011_A4")</f>
        <v>22MKRC011_A4</v>
      </c>
      <c r="B4392" t="str">
        <f>HYPERLINK("http://www.corstruth.com.au/NSW/PNG2/22MKRC011_cs.png","22MKRC011_0.25m Bins")</f>
        <v>22MKRC011_0.25m Bins</v>
      </c>
      <c r="C4392" t="str">
        <f>HYPERLINK("http://www.corstruth.com.au/NSW/CSV/22MKRC011.csv","22MKRC011_CSV File 1m Bins")</f>
        <v>22MKRC011_CSV File 1m Bins</v>
      </c>
      <c r="E4392" t="s">
        <v>2198</v>
      </c>
      <c r="F4392" t="str">
        <f t="shared" si="0"/>
        <v>Geol Survey Link</v>
      </c>
      <c r="I4392">
        <v>0</v>
      </c>
      <c r="J4392">
        <v>0</v>
      </c>
    </row>
    <row r="4393" spans="1:10" x14ac:dyDescent="0.25">
      <c r="A4393" t="str">
        <f>HYPERLINK("http://www.corstruth.com.au/NSW/22MKRC012_cs.png","22MKRC012_A4")</f>
        <v>22MKRC012_A4</v>
      </c>
      <c r="B4393" t="str">
        <f>HYPERLINK("http://www.corstruth.com.au/NSW/PNG2/22MKRC012_cs.png","22MKRC012_0.25m Bins")</f>
        <v>22MKRC012_0.25m Bins</v>
      </c>
      <c r="C4393" t="str">
        <f>HYPERLINK("http://www.corstruth.com.au/NSW/CSV/22MKRC012.csv","22MKRC012_CSV File 1m Bins")</f>
        <v>22MKRC012_CSV File 1m Bins</v>
      </c>
      <c r="E4393" t="s">
        <v>2198</v>
      </c>
      <c r="F4393" t="str">
        <f t="shared" si="0"/>
        <v>Geol Survey Link</v>
      </c>
      <c r="I4393">
        <v>0</v>
      </c>
      <c r="J4393">
        <v>0</v>
      </c>
    </row>
    <row r="4394" spans="1:10" x14ac:dyDescent="0.25">
      <c r="A4394" t="str">
        <f>HYPERLINK("http://www.corstruth.com.au/NSW/22MKRC013_cs.png","22MKRC013_A4")</f>
        <v>22MKRC013_A4</v>
      </c>
      <c r="B4394" t="str">
        <f>HYPERLINK("http://www.corstruth.com.au/NSW/PNG2/22MKRC013_cs.png","22MKRC013_0.25m Bins")</f>
        <v>22MKRC013_0.25m Bins</v>
      </c>
      <c r="C4394" t="str">
        <f>HYPERLINK("http://www.corstruth.com.au/NSW/CSV/22MKRC013.csv","22MKRC013_CSV File 1m Bins")</f>
        <v>22MKRC013_CSV File 1m Bins</v>
      </c>
      <c r="E4394" t="s">
        <v>2198</v>
      </c>
      <c r="F4394" t="str">
        <f t="shared" si="0"/>
        <v>Geol Survey Link</v>
      </c>
      <c r="I4394">
        <v>0</v>
      </c>
      <c r="J4394">
        <v>0</v>
      </c>
    </row>
    <row r="4395" spans="1:10" x14ac:dyDescent="0.25">
      <c r="A4395" t="str">
        <f>HYPERLINK("http://www.corstruth.com.au/NSW/22MKRC014_cs.png","22MKRC014_A4")</f>
        <v>22MKRC014_A4</v>
      </c>
      <c r="B4395" t="str">
        <f>HYPERLINK("http://www.corstruth.com.au/NSW/PNG2/22MKRC014_cs.png","22MKRC014_0.25m Bins")</f>
        <v>22MKRC014_0.25m Bins</v>
      </c>
      <c r="C4395" t="str">
        <f>HYPERLINK("http://www.corstruth.com.au/NSW/CSV/22MKRC014.csv","22MKRC014_CSV File 1m Bins")</f>
        <v>22MKRC014_CSV File 1m Bins</v>
      </c>
      <c r="E4395" t="s">
        <v>2198</v>
      </c>
      <c r="F4395" t="str">
        <f t="shared" si="0"/>
        <v>Geol Survey Link</v>
      </c>
      <c r="I4395">
        <v>0</v>
      </c>
      <c r="J4395">
        <v>0</v>
      </c>
    </row>
    <row r="4396" spans="1:10" x14ac:dyDescent="0.25">
      <c r="A4396" t="str">
        <f>HYPERLINK("http://www.corstruth.com.au/NSW/22MKRC016_cs.png","22MKRC016_A4")</f>
        <v>22MKRC016_A4</v>
      </c>
      <c r="B4396" t="str">
        <f>HYPERLINK("http://www.corstruth.com.au/NSW/PNG2/22MKRC016_cs.png","22MKRC016_0.25m Bins")</f>
        <v>22MKRC016_0.25m Bins</v>
      </c>
      <c r="C4396" t="str">
        <f>HYPERLINK("http://www.corstruth.com.au/NSW/CSV/22MKRC016.csv","22MKRC016_CSV File 1m Bins")</f>
        <v>22MKRC016_CSV File 1m Bins</v>
      </c>
      <c r="E4396" t="s">
        <v>2198</v>
      </c>
      <c r="F4396" t="str">
        <f t="shared" si="0"/>
        <v>Geol Survey Link</v>
      </c>
      <c r="I4396">
        <v>0</v>
      </c>
      <c r="J4396">
        <v>0</v>
      </c>
    </row>
    <row r="4397" spans="1:10" x14ac:dyDescent="0.25">
      <c r="A4397" t="str">
        <f>HYPERLINK("http://www.corstruth.com.au/NSW/22MKRC017_cs.png","22MKRC017_A4")</f>
        <v>22MKRC017_A4</v>
      </c>
      <c r="B4397" t="str">
        <f>HYPERLINK("http://www.corstruth.com.au/NSW/PNG2/22MKRC017_cs.png","22MKRC017_0.25m Bins")</f>
        <v>22MKRC017_0.25m Bins</v>
      </c>
      <c r="C4397" t="str">
        <f>HYPERLINK("http://www.corstruth.com.au/NSW/CSV/22MKRC017.csv","22MKRC017_CSV File 1m Bins")</f>
        <v>22MKRC017_CSV File 1m Bins</v>
      </c>
      <c r="E4397" t="s">
        <v>2198</v>
      </c>
      <c r="F4397" t="str">
        <f t="shared" si="0"/>
        <v>Geol Survey Link</v>
      </c>
      <c r="I4397">
        <v>0</v>
      </c>
      <c r="J4397">
        <v>0</v>
      </c>
    </row>
    <row r="4398" spans="1:10" x14ac:dyDescent="0.25">
      <c r="A4398" t="str">
        <f>HYPERLINK("http://www.corstruth.com.au/NSW/22MKRC018_cs.png","22MKRC018_A4")</f>
        <v>22MKRC018_A4</v>
      </c>
      <c r="B4398" t="str">
        <f>HYPERLINK("http://www.corstruth.com.au/NSW/PNG2/22MKRC018_cs.png","22MKRC018_0.25m Bins")</f>
        <v>22MKRC018_0.25m Bins</v>
      </c>
      <c r="C4398" t="str">
        <f>HYPERLINK("http://www.corstruth.com.au/NSW/CSV/22MKRC018.csv","22MKRC018_CSV File 1m Bins")</f>
        <v>22MKRC018_CSV File 1m Bins</v>
      </c>
      <c r="E4398" t="s">
        <v>2198</v>
      </c>
      <c r="F4398" t="str">
        <f t="shared" si="0"/>
        <v>Geol Survey Link</v>
      </c>
      <c r="I4398">
        <v>0</v>
      </c>
      <c r="J4398">
        <v>0</v>
      </c>
    </row>
    <row r="4399" spans="1:10" x14ac:dyDescent="0.25">
      <c r="A4399" t="str">
        <f>HYPERLINK("http://www.corstruth.com.au/NSW/22MKRC019_cs.png","22MKRC019_A4")</f>
        <v>22MKRC019_A4</v>
      </c>
      <c r="B4399" t="str">
        <f>HYPERLINK("http://www.corstruth.com.au/NSW/PNG2/22MKRC019_cs.png","22MKRC019_0.25m Bins")</f>
        <v>22MKRC019_0.25m Bins</v>
      </c>
      <c r="C4399" t="str">
        <f>HYPERLINK("http://www.corstruth.com.au/NSW/CSV/22MKRC019.csv","22MKRC019_CSV File 1m Bins")</f>
        <v>22MKRC019_CSV File 1m Bins</v>
      </c>
      <c r="E4399" t="s">
        <v>2198</v>
      </c>
      <c r="F4399" t="str">
        <f t="shared" si="0"/>
        <v>Geol Survey Link</v>
      </c>
      <c r="I4399">
        <v>0</v>
      </c>
      <c r="J4399">
        <v>0</v>
      </c>
    </row>
    <row r="4400" spans="1:10" x14ac:dyDescent="0.25">
      <c r="A4400" t="str">
        <f>HYPERLINK("http://www.corstruth.com.au/NSW/22MKRC020_cs.png","22MKRC020_A4")</f>
        <v>22MKRC020_A4</v>
      </c>
      <c r="B4400" t="str">
        <f>HYPERLINK("http://www.corstruth.com.au/NSW/PNG2/22MKRC020_cs.png","22MKRC020_0.25m Bins")</f>
        <v>22MKRC020_0.25m Bins</v>
      </c>
      <c r="C4400" t="str">
        <f>HYPERLINK("http://www.corstruth.com.au/NSW/CSV/22MKRC020.csv","22MKRC020_CSV File 1m Bins")</f>
        <v>22MKRC020_CSV File 1m Bins</v>
      </c>
      <c r="E4400" t="s">
        <v>2198</v>
      </c>
      <c r="F4400" t="str">
        <f t="shared" si="0"/>
        <v>Geol Survey Link</v>
      </c>
      <c r="I4400">
        <v>0</v>
      </c>
      <c r="J4400">
        <v>0</v>
      </c>
    </row>
    <row r="4401" spans="1:10" x14ac:dyDescent="0.25">
      <c r="A4401" t="str">
        <f>HYPERLINK("http://www.corstruth.com.au/NSW/22MKRC021_cs.png","22MKRC021_A4")</f>
        <v>22MKRC021_A4</v>
      </c>
      <c r="B4401" t="str">
        <f>HYPERLINK("http://www.corstruth.com.au/NSW/PNG2/22MKRC021_cs.png","22MKRC021_0.25m Bins")</f>
        <v>22MKRC021_0.25m Bins</v>
      </c>
      <c r="C4401" t="str">
        <f>HYPERLINK("http://www.corstruth.com.au/NSW/CSV/22MKRC021.csv","22MKRC021_CSV File 1m Bins")</f>
        <v>22MKRC021_CSV File 1m Bins</v>
      </c>
      <c r="E4401" t="s">
        <v>2198</v>
      </c>
      <c r="F4401" t="str">
        <f t="shared" si="0"/>
        <v>Geol Survey Link</v>
      </c>
      <c r="I4401">
        <v>0</v>
      </c>
      <c r="J4401">
        <v>0</v>
      </c>
    </row>
    <row r="4402" spans="1:10" x14ac:dyDescent="0.25">
      <c r="A4402" t="str">
        <f>HYPERLINK("http://www.corstruth.com.au/NSW/22MKRC022_cs.png","22MKRC022_A4")</f>
        <v>22MKRC022_A4</v>
      </c>
      <c r="B4402" t="str">
        <f>HYPERLINK("http://www.corstruth.com.au/NSW/PNG2/22MKRC022_cs.png","22MKRC022_0.25m Bins")</f>
        <v>22MKRC022_0.25m Bins</v>
      </c>
      <c r="C4402" t="str">
        <f>HYPERLINK("http://www.corstruth.com.au/NSW/CSV/22MKRC022.csv","22MKRC022_CSV File 1m Bins")</f>
        <v>22MKRC022_CSV File 1m Bins</v>
      </c>
      <c r="E4402" t="s">
        <v>2198</v>
      </c>
      <c r="F4402" t="str">
        <f t="shared" si="0"/>
        <v>Geol Survey Link</v>
      </c>
      <c r="I4402">
        <v>0</v>
      </c>
      <c r="J4402">
        <v>0</v>
      </c>
    </row>
    <row r="4403" spans="1:10" x14ac:dyDescent="0.25">
      <c r="A4403" t="str">
        <f>HYPERLINK("http://www.corstruth.com.au/NSW/22MKRC023_cs.png","22MKRC023_A4")</f>
        <v>22MKRC023_A4</v>
      </c>
      <c r="B4403" t="str">
        <f>HYPERLINK("http://www.corstruth.com.au/NSW/PNG2/22MKRC023_cs.png","22MKRC023_0.25m Bins")</f>
        <v>22MKRC023_0.25m Bins</v>
      </c>
      <c r="C4403" t="str">
        <f>HYPERLINK("http://www.corstruth.com.au/NSW/CSV/22MKRC023.csv","22MKRC023_CSV File 1m Bins")</f>
        <v>22MKRC023_CSV File 1m Bins</v>
      </c>
      <c r="E4403" t="s">
        <v>2198</v>
      </c>
      <c r="F4403" t="str">
        <f t="shared" si="0"/>
        <v>Geol Survey Link</v>
      </c>
      <c r="I4403">
        <v>0</v>
      </c>
      <c r="J4403">
        <v>0</v>
      </c>
    </row>
    <row r="4404" spans="1:10" x14ac:dyDescent="0.25">
      <c r="A4404" t="str">
        <f>HYPERLINK("http://www.corstruth.com.au/NSW/22MKRC024_cs.png","22MKRC024_A4")</f>
        <v>22MKRC024_A4</v>
      </c>
      <c r="B4404" t="str">
        <f>HYPERLINK("http://www.corstruth.com.au/NSW/PNG2/22MKRC024_cs.png","22MKRC024_0.25m Bins")</f>
        <v>22MKRC024_0.25m Bins</v>
      </c>
      <c r="C4404" t="str">
        <f>HYPERLINK("http://www.corstruth.com.au/NSW/CSV/22MKRC024.csv","22MKRC024_CSV File 1m Bins")</f>
        <v>22MKRC024_CSV File 1m Bins</v>
      </c>
      <c r="E4404" t="s">
        <v>2198</v>
      </c>
      <c r="F4404" t="str">
        <f t="shared" si="0"/>
        <v>Geol Survey Link</v>
      </c>
      <c r="I4404">
        <v>0</v>
      </c>
      <c r="J4404">
        <v>0</v>
      </c>
    </row>
    <row r="4405" spans="1:10" x14ac:dyDescent="0.25">
      <c r="A4405" t="str">
        <f>HYPERLINK("http://www.corstruth.com.au/NSW/22MKWB001_cs.png","22MKWB001_A4")</f>
        <v>22MKWB001_A4</v>
      </c>
      <c r="B4405" t="str">
        <f>HYPERLINK("http://www.corstruth.com.au/NSW/PNG2/22MKWB001_cs.png","22MKWB001_0.25m Bins")</f>
        <v>22MKWB001_0.25m Bins</v>
      </c>
      <c r="C4405" t="str">
        <f>HYPERLINK("http://www.corstruth.com.au/NSW/CSV/22MKWB001.csv","22MKWB001_CSV File 1m Bins")</f>
        <v>22MKWB001_CSV File 1m Bins</v>
      </c>
      <c r="E4405" t="s">
        <v>2198</v>
      </c>
      <c r="F4405" t="str">
        <f t="shared" si="0"/>
        <v>Geol Survey Link</v>
      </c>
      <c r="I4405">
        <v>0</v>
      </c>
      <c r="J4405">
        <v>0</v>
      </c>
    </row>
    <row r="4406" spans="1:10" x14ac:dyDescent="0.25">
      <c r="A4406" t="str">
        <f>HYPERLINK("http://www.corstruth.com.au/NSW/77-TD1_cs.png","77-TD1_A4")</f>
        <v>77-TD1_A4</v>
      </c>
      <c r="B4406" t="str">
        <f>HYPERLINK("http://www.corstruth.com.au/NSW/PNG2/77-TD1_cs.png","77-TD1_0.25m Bins")</f>
        <v>77-TD1_0.25m Bins</v>
      </c>
      <c r="C4406" t="str">
        <f>HYPERLINK("http://www.corstruth.com.au/NSW/CSV/77-TD1.csv","77-TD1_CSV File 1m Bins")</f>
        <v>77-TD1_CSV File 1m Bins</v>
      </c>
      <c r="E4406" t="s">
        <v>2198</v>
      </c>
      <c r="F4406" t="str">
        <f t="shared" si="0"/>
        <v>Geol Survey Link</v>
      </c>
      <c r="G4406" t="s">
        <v>2739</v>
      </c>
      <c r="I4406">
        <v>0</v>
      </c>
      <c r="J4406">
        <v>0</v>
      </c>
    </row>
    <row r="4407" spans="1:10" x14ac:dyDescent="0.25">
      <c r="A4407" t="str">
        <f>HYPERLINK("http://www.corstruth.com.au/NSW/78-TD2_cs.png","78-TD2_A4")</f>
        <v>78-TD2_A4</v>
      </c>
      <c r="B4407" t="str">
        <f>HYPERLINK("http://www.corstruth.com.au/NSW/PNG2/78-TD2_cs.png","78-TD2_0.25m Bins")</f>
        <v>78-TD2_0.25m Bins</v>
      </c>
      <c r="C4407" t="str">
        <f>HYPERLINK("http://www.corstruth.com.au/NSW/CSV/78-TD2.csv","78-TD2_CSV File 1m Bins")</f>
        <v>78-TD2_CSV File 1m Bins</v>
      </c>
      <c r="E4407" t="s">
        <v>2198</v>
      </c>
      <c r="F4407" t="str">
        <f t="shared" si="0"/>
        <v>Geol Survey Link</v>
      </c>
      <c r="G4407" t="s">
        <v>2739</v>
      </c>
      <c r="I4407">
        <v>0</v>
      </c>
      <c r="J4407">
        <v>0</v>
      </c>
    </row>
    <row r="4408" spans="1:10" x14ac:dyDescent="0.25">
      <c r="A4408" t="str">
        <f>HYPERLINK("http://www.corstruth.com.au/NSW/780DD1_cs.png","780DD1_A4")</f>
        <v>780DD1_A4</v>
      </c>
      <c r="B4408" t="str">
        <f>HYPERLINK("http://www.corstruth.com.au/NSW/PNG2/780DD1_cs.png","780DD1_0.25m Bins")</f>
        <v>780DD1_0.25m Bins</v>
      </c>
      <c r="C4408" t="str">
        <f>HYPERLINK("http://www.corstruth.com.au/NSW/CSV/780DD1.csv","780DD1_CSV File 1m Bins")</f>
        <v>780DD1_CSV File 1m Bins</v>
      </c>
      <c r="E4408" t="s">
        <v>2198</v>
      </c>
      <c r="F4408" t="str">
        <f t="shared" si="0"/>
        <v>Geol Survey Link</v>
      </c>
      <c r="G4408" t="s">
        <v>2740</v>
      </c>
      <c r="I4408">
        <v>0</v>
      </c>
      <c r="J4408">
        <v>0</v>
      </c>
    </row>
    <row r="4409" spans="1:10" x14ac:dyDescent="0.25">
      <c r="A4409" t="str">
        <f>HYPERLINK("http://www.corstruth.com.au/NSW/7_MPH1_cs.png","7_MPH1_A4")</f>
        <v>7_MPH1_A4</v>
      </c>
      <c r="B4409" t="str">
        <f>HYPERLINK("http://www.corstruth.com.au/NSW/PNG2/7_MPH1_cs.png","7_MPH1_0.25m Bins")</f>
        <v>7_MPH1_0.25m Bins</v>
      </c>
      <c r="C4409" t="str">
        <f>HYPERLINK("http://www.corstruth.com.au/NSW/CSV/7_MPH1.csv","7_MPH1_CSV File 1m Bins")</f>
        <v>7_MPH1_CSV File 1m Bins</v>
      </c>
      <c r="D4409" t="s">
        <v>2741</v>
      </c>
      <c r="E4409" t="s">
        <v>2198</v>
      </c>
      <c r="F4409" t="str">
        <f>HYPERLINK("http://dwh.geoscience.nsw.gov.au/CI/warehouse/raw/drillhole?project=&amp;site_id=MPH1","Geol Survey Link")</f>
        <v>Geol Survey Link</v>
      </c>
      <c r="G4409" t="s">
        <v>2742</v>
      </c>
      <c r="I4409">
        <v>0</v>
      </c>
      <c r="J4409">
        <v>0</v>
      </c>
    </row>
    <row r="4410" spans="1:10" x14ac:dyDescent="0.25">
      <c r="A4410" t="str">
        <f>HYPERLINK("http://www.corstruth.com.au/NSW/9_LTRC14007_cs.png","9_LTRC14007_A4")</f>
        <v>9_LTRC14007_A4</v>
      </c>
      <c r="B4410" t="str">
        <f>HYPERLINK("http://www.corstruth.com.au/NSW/PNG2/9_LTRC14007_cs.png","9_LTRC14007_0.25m Bins")</f>
        <v>9_LTRC14007_0.25m Bins</v>
      </c>
      <c r="C4410" t="str">
        <f>HYPERLINK("http://www.corstruth.com.au/NSW/CSV/9_LTRC14007.csv","9_LTRC14007_CSV File 1m Bins")</f>
        <v>9_LTRC14007_CSV File 1m Bins</v>
      </c>
      <c r="E4410" t="s">
        <v>2198</v>
      </c>
      <c r="F4410" t="str">
        <f>HYPERLINK("http://dwh.geoscience.nsw.gov.au/CI/warehouse/raw/drillhole?project=&amp;site_id=","Geol Survey Link")</f>
        <v>Geol Survey Link</v>
      </c>
      <c r="I4410">
        <v>0</v>
      </c>
      <c r="J4410">
        <v>0</v>
      </c>
    </row>
    <row r="4411" spans="1:10" x14ac:dyDescent="0.25">
      <c r="A4411" t="str">
        <f>HYPERLINK("http://www.corstruth.com.au/NSW/A3DD001_cs.png","A3DD001_A4")</f>
        <v>A3DD001_A4</v>
      </c>
      <c r="B4411" t="str">
        <f>HYPERLINK("http://www.corstruth.com.au/NSW/PNG2/A3DD001_cs.png","A3DD001_0.25m Bins")</f>
        <v>A3DD001_0.25m Bins</v>
      </c>
      <c r="C4411" t="str">
        <f>HYPERLINK("http://www.corstruth.com.au/NSW/CSV/A3DD001.csv","A3DD001_CSV File 1m Bins")</f>
        <v>A3DD001_CSV File 1m Bins</v>
      </c>
      <c r="E4411" t="s">
        <v>2198</v>
      </c>
      <c r="F4411" t="str">
        <f>HYPERLINK("http://dwh.geoscience.nsw.gov.au/CI/warehouse/raw/drillhole?project=&amp;site_id=","Geol Survey Link")</f>
        <v>Geol Survey Link</v>
      </c>
      <c r="G4411" t="s">
        <v>2743</v>
      </c>
      <c r="I4411">
        <v>0</v>
      </c>
      <c r="J4411">
        <v>0</v>
      </c>
    </row>
    <row r="4412" spans="1:10" x14ac:dyDescent="0.25">
      <c r="A4412" t="str">
        <f>HYPERLINK("http://www.corstruth.com.au/NSW/BBD-1_cs.png","BBD-1_A4")</f>
        <v>BBD-1_A4</v>
      </c>
      <c r="B4412" t="str">
        <f>HYPERLINK("http://www.corstruth.com.au/NSW/PNG2/BBD-1_cs.png","BBD-1_0.25m Bins")</f>
        <v>BBD-1_0.25m Bins</v>
      </c>
      <c r="C4412" t="str">
        <f>HYPERLINK("http://www.corstruth.com.au/NSW/CSV/BBD-1.csv","BBD-1_CSV File 1m Bins")</f>
        <v>BBD-1_CSV File 1m Bins</v>
      </c>
      <c r="D4412" t="s">
        <v>2744</v>
      </c>
      <c r="E4412" t="s">
        <v>2198</v>
      </c>
      <c r="F4412" t="str">
        <f>HYPERLINK("http://dwh.geoscience.nsw.gov.au/CI/warehouse/raw/drillhole?project=&amp;site_id=BBD-1","Geol Survey Link")</f>
        <v>Geol Survey Link</v>
      </c>
      <c r="I4412">
        <v>0</v>
      </c>
      <c r="J4412">
        <v>0</v>
      </c>
    </row>
    <row r="4413" spans="1:10" x14ac:dyDescent="0.25">
      <c r="A4413" t="str">
        <f>HYPERLINK("http://www.corstruth.com.au/NSW/BBD-2_cs.png","BBD-2_A4")</f>
        <v>BBD-2_A4</v>
      </c>
      <c r="B4413" t="str">
        <f>HYPERLINK("http://www.corstruth.com.au/NSW/PNG2/BBD-2_cs.png","BBD-2_0.25m Bins")</f>
        <v>BBD-2_0.25m Bins</v>
      </c>
      <c r="C4413" t="str">
        <f>HYPERLINK("http://www.corstruth.com.au/NSW/CSV/BBD-2.csv","BBD-2_CSV File 1m Bins")</f>
        <v>BBD-2_CSV File 1m Bins</v>
      </c>
      <c r="D4413" t="s">
        <v>2745</v>
      </c>
      <c r="E4413" t="s">
        <v>2198</v>
      </c>
      <c r="F4413" t="str">
        <f>HYPERLINK("http://dwh.geoscience.nsw.gov.au/CI/warehouse/raw/drillhole?project=&amp;site_id=BBD-2","Geol Survey Link")</f>
        <v>Geol Survey Link</v>
      </c>
      <c r="I4413">
        <v>0</v>
      </c>
      <c r="J4413">
        <v>0</v>
      </c>
    </row>
    <row r="4414" spans="1:10" x14ac:dyDescent="0.25">
      <c r="A4414" t="str">
        <f>HYPERLINK("http://www.corstruth.com.au/NSW/BBD-4_cs.png","BBD-4_A4")</f>
        <v>BBD-4_A4</v>
      </c>
      <c r="B4414" t="str">
        <f>HYPERLINK("http://www.corstruth.com.au/NSW/PNG2/BBD-4_cs.png","BBD-4_0.25m Bins")</f>
        <v>BBD-4_0.25m Bins</v>
      </c>
      <c r="C4414" t="str">
        <f>HYPERLINK("http://www.corstruth.com.au/NSW/CSV/BBD-4.csv","BBD-4_CSV File 1m Bins")</f>
        <v>BBD-4_CSV File 1m Bins</v>
      </c>
      <c r="D4414" t="s">
        <v>2746</v>
      </c>
      <c r="E4414" t="s">
        <v>2198</v>
      </c>
      <c r="F4414" t="str">
        <f>HYPERLINK("http://dwh.geoscience.nsw.gov.au/CI/warehouse/raw/drillhole?project=&amp;site_id=BBD-4","Geol Survey Link")</f>
        <v>Geol Survey Link</v>
      </c>
      <c r="I4414">
        <v>0</v>
      </c>
      <c r="J4414">
        <v>0</v>
      </c>
    </row>
    <row r="4415" spans="1:10" x14ac:dyDescent="0.25">
      <c r="A4415" t="str">
        <f>HYPERLINK("http://www.corstruth.com.au/NSW/BDH4_cs.png","BDH4_A4")</f>
        <v>BDH4_A4</v>
      </c>
      <c r="B4415" t="str">
        <f>HYPERLINK("http://www.corstruth.com.au/NSW/PNG2/BDH4_cs.png","BDH4_0.25m Bins")</f>
        <v>BDH4_0.25m Bins</v>
      </c>
      <c r="C4415" t="str">
        <f>HYPERLINK("http://www.corstruth.com.au/NSW/CSV/BDH4.csv","BDH4_CSV File 1m Bins")</f>
        <v>BDH4_CSV File 1m Bins</v>
      </c>
      <c r="E4415" t="s">
        <v>2198</v>
      </c>
      <c r="F4415" t="str">
        <f>HYPERLINK("http://dwh.geoscience.nsw.gov.au/CI/warehouse/raw/drillhole?project=&amp;site_id=","Geol Survey Link")</f>
        <v>Geol Survey Link</v>
      </c>
      <c r="G4415" t="s">
        <v>2747</v>
      </c>
      <c r="I4415">
        <v>0</v>
      </c>
      <c r="J4415">
        <v>0</v>
      </c>
    </row>
    <row r="4416" spans="1:10" x14ac:dyDescent="0.25">
      <c r="A4416" t="str">
        <f>HYPERLINK("http://www.corstruth.com.au/NSW/BH1_cs.png","BH1_A4")</f>
        <v>BH1_A4</v>
      </c>
      <c r="B4416" t="str">
        <f>HYPERLINK("http://www.corstruth.com.au/NSW/PNG2/BH1_cs.png","BH1_0.25m Bins")</f>
        <v>BH1_0.25m Bins</v>
      </c>
      <c r="C4416" t="str">
        <f>HYPERLINK("http://www.corstruth.com.au/NSW/CSV/BH1.csv","BH1_CSV File 1m Bins")</f>
        <v>BH1_CSV File 1m Bins</v>
      </c>
      <c r="D4416" t="s">
        <v>2748</v>
      </c>
      <c r="E4416" t="s">
        <v>2198</v>
      </c>
      <c r="F4416" t="str">
        <f>HYPERLINK("http://dwh.geoscience.nsw.gov.au/CI/warehouse/raw/drillhole?project=&amp;site_id=BH1","Geol Survey Link")</f>
        <v>Geol Survey Link</v>
      </c>
      <c r="G4416" t="s">
        <v>2749</v>
      </c>
      <c r="I4416">
        <v>0</v>
      </c>
      <c r="J4416">
        <v>0</v>
      </c>
    </row>
    <row r="4417" spans="1:10" x14ac:dyDescent="0.25">
      <c r="A4417" t="str">
        <f>HYPERLINK("http://www.corstruth.com.au/NSW/BH6_cs.png","BH6_A4")</f>
        <v>BH6_A4</v>
      </c>
      <c r="B4417" t="str">
        <f>HYPERLINK("http://www.corstruth.com.au/NSW/PNG2/BH6_cs.png","BH6_0.25m Bins")</f>
        <v>BH6_0.25m Bins</v>
      </c>
      <c r="C4417" t="str">
        <f>HYPERLINK("http://www.corstruth.com.au/NSW/CSV/BH6.csv","BH6_CSV File 1m Bins")</f>
        <v>BH6_CSV File 1m Bins</v>
      </c>
      <c r="E4417" t="s">
        <v>2198</v>
      </c>
      <c r="F4417" t="str">
        <f>HYPERLINK("http://dwh.geoscience.nsw.gov.au/CI/warehouse/raw/drillhole?project=&amp;site_id=","Geol Survey Link")</f>
        <v>Geol Survey Link</v>
      </c>
      <c r="I4417">
        <v>0</v>
      </c>
      <c r="J4417">
        <v>0</v>
      </c>
    </row>
    <row r="4418" spans="1:10" x14ac:dyDescent="0.25">
      <c r="A4418" t="str">
        <f>HYPERLINK("http://www.corstruth.com.au/NSW/BH8105_cs.png","BH8105_A4")</f>
        <v>BH8105_A4</v>
      </c>
      <c r="B4418" t="str">
        <f>HYPERLINK("http://www.corstruth.com.au/NSW/PNG2/BH8105_cs.png","BH8105_0.25m Bins")</f>
        <v>BH8105_0.25m Bins</v>
      </c>
      <c r="C4418" t="str">
        <f>HYPERLINK("http://www.corstruth.com.au/NSW/CSV/BH8105.csv","BH8105_CSV File 1m Bins")</f>
        <v>BH8105_CSV File 1m Bins</v>
      </c>
      <c r="D4418" t="s">
        <v>2750</v>
      </c>
      <c r="E4418" t="s">
        <v>2198</v>
      </c>
      <c r="F4418" t="str">
        <f>HYPERLINK("http://dwh.geoscience.nsw.gov.au/CI/warehouse/raw/drillhole?project=&amp;site_id=BH81-5","Geol Survey Link")</f>
        <v>Geol Survey Link</v>
      </c>
      <c r="G4418" t="s">
        <v>2751</v>
      </c>
      <c r="I4418">
        <v>0</v>
      </c>
      <c r="J4418">
        <v>0</v>
      </c>
    </row>
    <row r="4419" spans="1:10" x14ac:dyDescent="0.25">
      <c r="A4419" t="str">
        <f>HYPERLINK("http://www.corstruth.com.au/NSW/BO-1_cs.png","BO-1_A4")</f>
        <v>BO-1_A4</v>
      </c>
      <c r="B4419" t="str">
        <f>HYPERLINK("http://www.corstruth.com.au/NSW/PNG2/BO-1_cs.png","BO-1_0.25m Bins")</f>
        <v>BO-1_0.25m Bins</v>
      </c>
      <c r="C4419" t="str">
        <f>HYPERLINK("http://www.corstruth.com.au/NSW/CSV/BO-1.csv","BO-1_CSV File 1m Bins")</f>
        <v>BO-1_CSV File 1m Bins</v>
      </c>
      <c r="D4419" t="s">
        <v>2752</v>
      </c>
      <c r="E4419" t="s">
        <v>2198</v>
      </c>
      <c r="F4419" t="str">
        <f>HYPERLINK("http://dwh.geoscience.nsw.gov.au/CI/warehouse/raw/drillhole?project=&amp;site_id=BO-1","Geol Survey Link")</f>
        <v>Geol Survey Link</v>
      </c>
      <c r="G4419" t="s">
        <v>2753</v>
      </c>
      <c r="I4419">
        <v>0</v>
      </c>
      <c r="J4419">
        <v>0</v>
      </c>
    </row>
    <row r="4420" spans="1:10" x14ac:dyDescent="0.25">
      <c r="A4420" t="str">
        <f>HYPERLINK("http://www.corstruth.com.au/NSW/BO-1A_cs.png","BO-1A_A4")</f>
        <v>BO-1A_A4</v>
      </c>
      <c r="B4420" t="str">
        <f>HYPERLINK("http://www.corstruth.com.au/NSW/PNG2/BO-1A_cs.png","BO-1A_0.25m Bins")</f>
        <v>BO-1A_0.25m Bins</v>
      </c>
      <c r="C4420" t="str">
        <f>HYPERLINK("http://www.corstruth.com.au/NSW/CSV/BO-1A.csv","BO-1A_CSV File 1m Bins")</f>
        <v>BO-1A_CSV File 1m Bins</v>
      </c>
      <c r="E4420" t="s">
        <v>2198</v>
      </c>
      <c r="F4420" t="str">
        <f>HYPERLINK("http://dwh.geoscience.nsw.gov.au/CI/warehouse/raw/drillhole?project=&amp;site_id=","Geol Survey Link")</f>
        <v>Geol Survey Link</v>
      </c>
      <c r="G4420" t="s">
        <v>2753</v>
      </c>
      <c r="I4420">
        <v>0</v>
      </c>
      <c r="J4420">
        <v>0</v>
      </c>
    </row>
    <row r="4421" spans="1:10" x14ac:dyDescent="0.25">
      <c r="A4421" t="str">
        <f>HYPERLINK("http://www.corstruth.com.au/NSW/BO-2_cs.png","BO-2_A4")</f>
        <v>BO-2_A4</v>
      </c>
      <c r="B4421" t="str">
        <f>HYPERLINK("http://www.corstruth.com.au/NSW/PNG2/BO-2_cs.png","BO-2_0.25m Bins")</f>
        <v>BO-2_0.25m Bins</v>
      </c>
      <c r="C4421" t="str">
        <f>HYPERLINK("http://www.corstruth.com.au/NSW/CSV/BO-2.csv","BO-2_CSV File 1m Bins")</f>
        <v>BO-2_CSV File 1m Bins</v>
      </c>
      <c r="E4421" t="s">
        <v>2198</v>
      </c>
      <c r="F4421" t="str">
        <f>HYPERLINK("http://dwh.geoscience.nsw.gov.au/CI/warehouse/raw/drillhole?project=&amp;site_id=","Geol Survey Link")</f>
        <v>Geol Survey Link</v>
      </c>
      <c r="G4421" t="s">
        <v>2753</v>
      </c>
      <c r="I4421">
        <v>0</v>
      </c>
      <c r="J4421">
        <v>0</v>
      </c>
    </row>
    <row r="4422" spans="1:10" x14ac:dyDescent="0.25">
      <c r="A4422" t="str">
        <f>HYPERLINK("http://www.corstruth.com.au/NSW/BO-3_cs.png","BO-3_A4")</f>
        <v>BO-3_A4</v>
      </c>
      <c r="B4422" t="str">
        <f>HYPERLINK("http://www.corstruth.com.au/NSW/PNG2/BO-3_cs.png","BO-3_0.25m Bins")</f>
        <v>BO-3_0.25m Bins</v>
      </c>
      <c r="C4422" t="str">
        <f>HYPERLINK("http://www.corstruth.com.au/NSW/CSV/BO-3.csv","BO-3_CSV File 1m Bins")</f>
        <v>BO-3_CSV File 1m Bins</v>
      </c>
      <c r="E4422" t="s">
        <v>2198</v>
      </c>
      <c r="F4422" t="str">
        <f>HYPERLINK("http://dwh.geoscience.nsw.gov.au/CI/warehouse/raw/drillhole?project=&amp;site_id=","Geol Survey Link")</f>
        <v>Geol Survey Link</v>
      </c>
      <c r="G4422" t="s">
        <v>2753</v>
      </c>
      <c r="I4422">
        <v>0</v>
      </c>
      <c r="J4422">
        <v>0</v>
      </c>
    </row>
    <row r="4423" spans="1:10" x14ac:dyDescent="0.25">
      <c r="A4423" t="str">
        <f>HYPERLINK("http://www.corstruth.com.au/NSW/BR016_cs.png","BR016_A4")</f>
        <v>BR016_A4</v>
      </c>
      <c r="D4423" t="s">
        <v>2754</v>
      </c>
      <c r="E4423" t="s">
        <v>2198</v>
      </c>
      <c r="F4423" t="str">
        <f>HYPERLINK("http://dwh.geoscience.nsw.gov.au/CI/warehouse/raw/drillhole?project=&amp;site_id=BR016","Geol Survey Link")</f>
        <v>Geol Survey Link</v>
      </c>
      <c r="G4423" t="s">
        <v>2755</v>
      </c>
      <c r="I4423">
        <v>0</v>
      </c>
      <c r="J4423">
        <v>0</v>
      </c>
    </row>
    <row r="4424" spans="1:10" x14ac:dyDescent="0.25">
      <c r="A4424" t="str">
        <f>HYPERLINK("http://www.corstruth.com.au/NSW/BR1_L1F_cs.png","BR1 L1F_A4")</f>
        <v>BR1 L1F_A4</v>
      </c>
      <c r="D4424" t="s">
        <v>2756</v>
      </c>
      <c r="E4424" t="s">
        <v>2198</v>
      </c>
      <c r="F4424" t="str">
        <f>HYPERLINK("http://dwh.geoscience.nsw.gov.au/CI/warehouse/raw/drillhole?project=&amp;site_id=BR-1","Geol Survey Link")</f>
        <v>Geol Survey Link</v>
      </c>
      <c r="G4424" t="s">
        <v>2755</v>
      </c>
      <c r="I4424">
        <v>0</v>
      </c>
      <c r="J4424">
        <v>0</v>
      </c>
    </row>
    <row r="4425" spans="1:10" x14ac:dyDescent="0.25">
      <c r="A4425" t="str">
        <f>HYPERLINK("http://www.corstruth.com.au/NSW/BR3_L1F_cs.png","BR3 L1F_A4")</f>
        <v>BR3 L1F_A4</v>
      </c>
      <c r="D4425" t="s">
        <v>2757</v>
      </c>
      <c r="E4425" t="s">
        <v>2198</v>
      </c>
      <c r="F4425" t="str">
        <f>HYPERLINK("http://dwh.geoscience.nsw.gov.au/CI/warehouse/raw/drillhole?project=&amp;site_id=BR-3","Geol Survey Link")</f>
        <v>Geol Survey Link</v>
      </c>
      <c r="G4425" t="s">
        <v>2755</v>
      </c>
      <c r="I4425">
        <v>0</v>
      </c>
      <c r="J4425">
        <v>0</v>
      </c>
    </row>
    <row r="4426" spans="1:10" x14ac:dyDescent="0.25">
      <c r="A4426" t="str">
        <f>HYPERLINK("http://www.corstruth.com.au/NSW/BR4A_L1F_cs.png","BR4A L1F_A4")</f>
        <v>BR4A L1F_A4</v>
      </c>
      <c r="D4426" t="s">
        <v>2758</v>
      </c>
      <c r="E4426" t="s">
        <v>2198</v>
      </c>
      <c r="F4426" t="str">
        <f>HYPERLINK("http://dwh.geoscience.nsw.gov.au/CI/warehouse/raw/drillhole?project=&amp;site_id=BR-4A","Geol Survey Link")</f>
        <v>Geol Survey Link</v>
      </c>
      <c r="G4426" t="s">
        <v>2755</v>
      </c>
      <c r="I4426">
        <v>0</v>
      </c>
      <c r="J4426">
        <v>0</v>
      </c>
    </row>
    <row r="4427" spans="1:10" x14ac:dyDescent="0.25">
      <c r="A4427" t="str">
        <f>HYPERLINK("http://www.corstruth.com.au/NSW/BYRC004_cs.png","BYRC004_A4")</f>
        <v>BYRC004_A4</v>
      </c>
      <c r="B4427" t="str">
        <f>HYPERLINK("http://www.corstruth.com.au/NSW/PNG2/BYRC004_cs.png","BYRC004_0.25m Bins")</f>
        <v>BYRC004_0.25m Bins</v>
      </c>
      <c r="C4427" t="str">
        <f>HYPERLINK("http://www.corstruth.com.au/NSW/CSV/BYRC004.csv","BYRC004_CSV File 1m Bins")</f>
        <v>BYRC004_CSV File 1m Bins</v>
      </c>
      <c r="E4427" t="s">
        <v>2198</v>
      </c>
      <c r="F4427" t="str">
        <f>HYPERLINK("http://dwh.geoscience.nsw.gov.au/CI/warehouse/raw/drillhole?project=&amp;site_id=","Geol Survey Link")</f>
        <v>Geol Survey Link</v>
      </c>
      <c r="I4427">
        <v>0</v>
      </c>
      <c r="J4427">
        <v>0</v>
      </c>
    </row>
    <row r="4428" spans="1:10" x14ac:dyDescent="0.25">
      <c r="A4428" t="str">
        <f>HYPERLINK("http://www.corstruth.com.au/NSW/Bancannia_South_1_cs.png","Bancannia_South_1_A4")</f>
        <v>Bancannia_South_1_A4</v>
      </c>
      <c r="B4428" t="str">
        <f>HYPERLINK("http://www.corstruth.com.au/NSW/PNG2/Bancannia_South_1_cs.png","Bancannia_South_1_0.25m Bins")</f>
        <v>Bancannia_South_1_0.25m Bins</v>
      </c>
      <c r="C4428" t="str">
        <f>HYPERLINK("http://www.corstruth.com.au/NSW/CSV/Bancannia_South_1.csv","Bancannia_South_1_CSV File 1m Bins")</f>
        <v>Bancannia_South_1_CSV File 1m Bins</v>
      </c>
      <c r="D4428" t="s">
        <v>2759</v>
      </c>
      <c r="E4428" t="s">
        <v>2198</v>
      </c>
      <c r="F4428" t="str">
        <f>HYPERLINK("http://dwh.geoscience.nsw.gov.au/CI/warehouse/raw/drillhole?project=Bancannia&amp;site_id=South_1","Geol Survey Link")</f>
        <v>Geol Survey Link</v>
      </c>
      <c r="G4428" t="s">
        <v>2760</v>
      </c>
      <c r="I4428">
        <v>0</v>
      </c>
      <c r="J4428">
        <v>0</v>
      </c>
    </row>
    <row r="4429" spans="1:10" x14ac:dyDescent="0.25">
      <c r="A4429" t="str">
        <f>HYPERLINK("http://www.corstruth.com.au/NSW/C2A-5_cs.png","C2A-5_A4")</f>
        <v>C2A-5_A4</v>
      </c>
      <c r="B4429" t="str">
        <f>HYPERLINK("http://www.corstruth.com.au/NSW/PNG2/C2A-5_cs.png","C2A-5_0.25m Bins")</f>
        <v>C2A-5_0.25m Bins</v>
      </c>
      <c r="C4429" t="str">
        <f>HYPERLINK("http://www.corstruth.com.au/NSW/CSV/C2A-5.csv","C2A-5_CSV File 1m Bins")</f>
        <v>C2A-5_CSV File 1m Bins</v>
      </c>
      <c r="D4429" t="s">
        <v>2761</v>
      </c>
      <c r="E4429" t="s">
        <v>2198</v>
      </c>
      <c r="F4429" t="str">
        <f>HYPERLINK("http://dwh.geoscience.nsw.gov.au/CI/warehouse/raw/drillhole?project=&amp;site_id=C2A-5","Geol Survey Link")</f>
        <v>Geol Survey Link</v>
      </c>
      <c r="G4429" t="s">
        <v>2762</v>
      </c>
      <c r="I4429">
        <v>0</v>
      </c>
      <c r="J4429">
        <v>0</v>
      </c>
    </row>
    <row r="4430" spans="1:10" x14ac:dyDescent="0.25">
      <c r="A4430" t="str">
        <f>HYPERLINK("http://www.corstruth.com.au/NSW/C2A-5Wedge_cs.png","C2A-5Wedge_A4")</f>
        <v>C2A-5Wedge_A4</v>
      </c>
      <c r="B4430" t="str">
        <f>HYPERLINK("http://www.corstruth.com.au/NSW/PNG2/C2A-5Wedge_cs.png","C2A-5Wedge_0.25m Bins")</f>
        <v>C2A-5Wedge_0.25m Bins</v>
      </c>
      <c r="C4430" t="str">
        <f>HYPERLINK("http://www.corstruth.com.au/NSW/CSV/C2A-5Wedge.csv","C2A-5Wedge_CSV File 1m Bins")</f>
        <v>C2A-5Wedge_CSV File 1m Bins</v>
      </c>
      <c r="D4430" t="s">
        <v>2763</v>
      </c>
      <c r="E4430" t="s">
        <v>2198</v>
      </c>
      <c r="F4430" t="str">
        <f>HYPERLINK("http://dwh.geoscience.nsw.gov.au/CI/warehouse/raw/drillhole?project=&amp;site_id=C2A-5Wedge","Geol Survey Link")</f>
        <v>Geol Survey Link</v>
      </c>
      <c r="G4430" t="s">
        <v>2762</v>
      </c>
      <c r="I4430">
        <v>0</v>
      </c>
      <c r="J4430">
        <v>0</v>
      </c>
    </row>
    <row r="4431" spans="1:10" x14ac:dyDescent="0.25">
      <c r="A4431" t="str">
        <f>HYPERLINK("http://www.corstruth.com.au/NSW/C2A-8A_cs.png","C2A-8A_A4")</f>
        <v>C2A-8A_A4</v>
      </c>
      <c r="B4431" t="str">
        <f>HYPERLINK("http://www.corstruth.com.au/NSW/PNG2/C2A-8A_cs.png","C2A-8A_0.25m Bins")</f>
        <v>C2A-8A_0.25m Bins</v>
      </c>
      <c r="C4431" t="str">
        <f>HYPERLINK("http://www.corstruth.com.au/NSW/CSV/C2A-8A.csv","C2A-8A_CSV File 1m Bins")</f>
        <v>C2A-8A_CSV File 1m Bins</v>
      </c>
      <c r="D4431" t="s">
        <v>2764</v>
      </c>
      <c r="E4431" t="s">
        <v>2198</v>
      </c>
      <c r="F4431" t="str">
        <f>HYPERLINK("http://dwh.geoscience.nsw.gov.au/CI/warehouse/raw/drillhole?project=&amp;site_id=C2A-8A","Geol Survey Link")</f>
        <v>Geol Survey Link</v>
      </c>
      <c r="G4431" t="s">
        <v>2762</v>
      </c>
      <c r="I4431">
        <v>0</v>
      </c>
      <c r="J4431">
        <v>0</v>
      </c>
    </row>
    <row r="4432" spans="1:10" x14ac:dyDescent="0.25">
      <c r="A4432" t="str">
        <f>HYPERLINK("http://www.corstruth.com.au/NSW/C2B-1_cs.png","C2B-1_A4")</f>
        <v>C2B-1_A4</v>
      </c>
      <c r="B4432" t="str">
        <f>HYPERLINK("http://www.corstruth.com.au/NSW/PNG2/C2B-1_cs.png","C2B-1_0.25m Bins")</f>
        <v>C2B-1_0.25m Bins</v>
      </c>
      <c r="C4432" t="str">
        <f>HYPERLINK("http://www.corstruth.com.au/NSW/CSV/C2B-1.csv","C2B-1_CSV File 1m Bins")</f>
        <v>C2B-1_CSV File 1m Bins</v>
      </c>
      <c r="D4432" t="s">
        <v>2765</v>
      </c>
      <c r="E4432" t="s">
        <v>2198</v>
      </c>
      <c r="F4432" t="str">
        <f>HYPERLINK("http://dwh.geoscience.nsw.gov.au/CI/warehouse/raw/drillhole?project=&amp;site_id=C2B-1","Geol Survey Link")</f>
        <v>Geol Survey Link</v>
      </c>
      <c r="G4432" t="s">
        <v>2762</v>
      </c>
      <c r="I4432">
        <v>0</v>
      </c>
      <c r="J4432">
        <v>0</v>
      </c>
    </row>
    <row r="4433" spans="1:10" x14ac:dyDescent="0.25">
      <c r="A4433" t="str">
        <f>HYPERLINK("http://www.corstruth.com.au/NSW/CC-10_cs.png","CC-10_A4")</f>
        <v>CC-10_A4</v>
      </c>
      <c r="B4433" t="str">
        <f>HYPERLINK("http://www.corstruth.com.au/NSW/PNG2/CC-10_cs.png","CC-10_0.25m Bins")</f>
        <v>CC-10_0.25m Bins</v>
      </c>
      <c r="C4433" t="str">
        <f>HYPERLINK("http://www.corstruth.com.au/NSW/CSV/CC-10.csv","CC-10_CSV File 1m Bins")</f>
        <v>CC-10_CSV File 1m Bins</v>
      </c>
      <c r="D4433" t="s">
        <v>2766</v>
      </c>
      <c r="E4433" t="s">
        <v>2198</v>
      </c>
      <c r="F4433" t="str">
        <f>HYPERLINK("http://dwh.geoscience.nsw.gov.au/CI/warehouse/raw/drillhole?project=&amp;site_id=CC10","Geol Survey Link")</f>
        <v>Geol Survey Link</v>
      </c>
      <c r="G4433" t="s">
        <v>2762</v>
      </c>
      <c r="I4433">
        <v>0</v>
      </c>
      <c r="J4433">
        <v>0</v>
      </c>
    </row>
    <row r="4434" spans="1:10" x14ac:dyDescent="0.25">
      <c r="A4434" t="str">
        <f>HYPERLINK("http://www.corstruth.com.au/NSW/CC-11_cs.png","CC-11_A4")</f>
        <v>CC-11_A4</v>
      </c>
      <c r="B4434" t="str">
        <f>HYPERLINK("http://www.corstruth.com.au/NSW/PNG2/CC-11_cs.png","CC-11_0.25m Bins")</f>
        <v>CC-11_0.25m Bins</v>
      </c>
      <c r="C4434" t="str">
        <f>HYPERLINK("http://www.corstruth.com.au/NSW/CSV/CC-11.csv","CC-11_CSV File 1m Bins")</f>
        <v>CC-11_CSV File 1m Bins</v>
      </c>
      <c r="D4434" t="s">
        <v>2767</v>
      </c>
      <c r="E4434" t="s">
        <v>2198</v>
      </c>
      <c r="F4434" t="str">
        <f>HYPERLINK("http://dwh.geoscience.nsw.gov.au/CI/warehouse/raw/drillhole?project=&amp;site_id=CC-11","Geol Survey Link")</f>
        <v>Geol Survey Link</v>
      </c>
      <c r="G4434" t="s">
        <v>2762</v>
      </c>
      <c r="I4434">
        <v>0</v>
      </c>
      <c r="J4434">
        <v>0</v>
      </c>
    </row>
    <row r="4435" spans="1:10" x14ac:dyDescent="0.25">
      <c r="A4435" t="str">
        <f>HYPERLINK("http://www.corstruth.com.au/NSW/CC-3_cs.png","CC-3_A4")</f>
        <v>CC-3_A4</v>
      </c>
      <c r="B4435" t="str">
        <f>HYPERLINK("http://www.corstruth.com.au/NSW/PNG2/CC-3_cs.png","CC-3_0.25m Bins")</f>
        <v>CC-3_0.25m Bins</v>
      </c>
      <c r="C4435" t="str">
        <f>HYPERLINK("http://www.corstruth.com.au/NSW/CSV/CC-3.csv","CC-3_CSV File 1m Bins")</f>
        <v>CC-3_CSV File 1m Bins</v>
      </c>
      <c r="D4435" t="s">
        <v>2768</v>
      </c>
      <c r="E4435" t="s">
        <v>2198</v>
      </c>
      <c r="F4435" t="str">
        <f>HYPERLINK("http://dwh.geoscience.nsw.gov.au/CI/warehouse/raw/drillhole?project=&amp;site_id=CC-3","Geol Survey Link")</f>
        <v>Geol Survey Link</v>
      </c>
      <c r="G4435" t="s">
        <v>2762</v>
      </c>
      <c r="I4435">
        <v>0</v>
      </c>
      <c r="J4435">
        <v>0</v>
      </c>
    </row>
    <row r="4436" spans="1:10" x14ac:dyDescent="0.25">
      <c r="A4436" t="str">
        <f>HYPERLINK("http://www.corstruth.com.au/NSW/CC-4_cs.png","CC-4_A4")</f>
        <v>CC-4_A4</v>
      </c>
      <c r="B4436" t="str">
        <f>HYPERLINK("http://www.corstruth.com.au/NSW/PNG2/CC-4_cs.png","CC-4_0.25m Bins")</f>
        <v>CC-4_0.25m Bins</v>
      </c>
      <c r="C4436" t="str">
        <f>HYPERLINK("http://www.corstruth.com.au/NSW/CSV/CC-4.csv","CC-4_CSV File 1m Bins")</f>
        <v>CC-4_CSV File 1m Bins</v>
      </c>
      <c r="D4436" t="s">
        <v>2769</v>
      </c>
      <c r="E4436" t="s">
        <v>2198</v>
      </c>
      <c r="F4436" t="str">
        <f>HYPERLINK("http://dwh.geoscience.nsw.gov.au/CI/warehouse/raw/drillhole?project=&amp;site_id=CC-4","Geol Survey Link")</f>
        <v>Geol Survey Link</v>
      </c>
      <c r="G4436" t="s">
        <v>2762</v>
      </c>
      <c r="I4436">
        <v>0</v>
      </c>
      <c r="J4436">
        <v>0</v>
      </c>
    </row>
    <row r="4437" spans="1:10" x14ac:dyDescent="0.25">
      <c r="A4437" t="str">
        <f>HYPERLINK("http://www.corstruth.com.au/NSW/CC-5_cs.png","CC-5_A4")</f>
        <v>CC-5_A4</v>
      </c>
      <c r="B4437" t="str">
        <f>HYPERLINK("http://www.corstruth.com.au/NSW/PNG2/CC-5_cs.png","CC-5_0.25m Bins")</f>
        <v>CC-5_0.25m Bins</v>
      </c>
      <c r="C4437" t="str">
        <f>HYPERLINK("http://www.corstruth.com.au/NSW/CSV/CC-5.csv","CC-5_CSV File 1m Bins")</f>
        <v>CC-5_CSV File 1m Bins</v>
      </c>
      <c r="D4437" t="s">
        <v>2770</v>
      </c>
      <c r="E4437" t="s">
        <v>2198</v>
      </c>
      <c r="F4437" t="str">
        <f>HYPERLINK("http://dwh.geoscience.nsw.gov.au/CI/warehouse/raw/drillhole?project=&amp;site_id=CC-5","Geol Survey Link")</f>
        <v>Geol Survey Link</v>
      </c>
      <c r="G4437" t="s">
        <v>2762</v>
      </c>
      <c r="I4437">
        <v>0</v>
      </c>
      <c r="J4437">
        <v>0</v>
      </c>
    </row>
    <row r="4438" spans="1:10" x14ac:dyDescent="0.25">
      <c r="A4438" t="str">
        <f>HYPERLINK("http://www.corstruth.com.au/NSW/CC-6_cs.png","CC-6_A4")</f>
        <v>CC-6_A4</v>
      </c>
      <c r="B4438" t="str">
        <f>HYPERLINK("http://www.corstruth.com.au/NSW/PNG2/CC-6_cs.png","CC-6_0.25m Bins")</f>
        <v>CC-6_0.25m Bins</v>
      </c>
      <c r="C4438" t="str">
        <f>HYPERLINK("http://www.corstruth.com.au/NSW/CSV/CC-6.csv","CC-6_CSV File 1m Bins")</f>
        <v>CC-6_CSV File 1m Bins</v>
      </c>
      <c r="D4438" t="s">
        <v>2771</v>
      </c>
      <c r="E4438" t="s">
        <v>2198</v>
      </c>
      <c r="F4438" t="str">
        <f>HYPERLINK("http://dwh.geoscience.nsw.gov.au/CI/warehouse/raw/drillhole?project=&amp;site_id=CC-6","Geol Survey Link")</f>
        <v>Geol Survey Link</v>
      </c>
      <c r="G4438" t="s">
        <v>2762</v>
      </c>
      <c r="I4438">
        <v>0</v>
      </c>
      <c r="J4438">
        <v>0</v>
      </c>
    </row>
    <row r="4439" spans="1:10" x14ac:dyDescent="0.25">
      <c r="A4439" t="str">
        <f>HYPERLINK("http://www.corstruth.com.au/NSW/CC-7_cs.png","CC-7_A4")</f>
        <v>CC-7_A4</v>
      </c>
      <c r="B4439" t="str">
        <f>HYPERLINK("http://www.corstruth.com.au/NSW/PNG2/CC-7_cs.png","CC-7_0.25m Bins")</f>
        <v>CC-7_0.25m Bins</v>
      </c>
      <c r="C4439" t="str">
        <f>HYPERLINK("http://www.corstruth.com.au/NSW/CSV/CC-7.csv","CC-7_CSV File 1m Bins")</f>
        <v>CC-7_CSV File 1m Bins</v>
      </c>
      <c r="D4439" t="s">
        <v>2772</v>
      </c>
      <c r="E4439" t="s">
        <v>2198</v>
      </c>
      <c r="F4439" t="str">
        <f>HYPERLINK("http://dwh.geoscience.nsw.gov.au/CI/warehouse/raw/drillhole?project=&amp;site_id=CC-7","Geol Survey Link")</f>
        <v>Geol Survey Link</v>
      </c>
      <c r="G4439" t="s">
        <v>2762</v>
      </c>
      <c r="I4439">
        <v>0</v>
      </c>
      <c r="J4439">
        <v>0</v>
      </c>
    </row>
    <row r="4440" spans="1:10" x14ac:dyDescent="0.25">
      <c r="A4440" t="str">
        <f>HYPERLINK("http://www.corstruth.com.au/NSW/CC-8_cs.png","CC-8_A4")</f>
        <v>CC-8_A4</v>
      </c>
      <c r="B4440" t="str">
        <f>HYPERLINK("http://www.corstruth.com.au/NSW/PNG2/CC-8_cs.png","CC-8_0.25m Bins")</f>
        <v>CC-8_0.25m Bins</v>
      </c>
      <c r="C4440" t="str">
        <f>HYPERLINK("http://www.corstruth.com.au/NSW/CSV/CC-8.csv","CC-8_CSV File 1m Bins")</f>
        <v>CC-8_CSV File 1m Bins</v>
      </c>
      <c r="D4440" t="s">
        <v>2773</v>
      </c>
      <c r="E4440" t="s">
        <v>2198</v>
      </c>
      <c r="F4440" t="str">
        <f>HYPERLINK("http://dwh.geoscience.nsw.gov.au/CI/warehouse/raw/drillhole?project=&amp;site_id=CC-8","Geol Survey Link")</f>
        <v>Geol Survey Link</v>
      </c>
      <c r="G4440" t="s">
        <v>2762</v>
      </c>
      <c r="I4440">
        <v>0</v>
      </c>
      <c r="J4440">
        <v>0</v>
      </c>
    </row>
    <row r="4441" spans="1:10" x14ac:dyDescent="0.25">
      <c r="A4441" t="str">
        <f>HYPERLINK("http://www.corstruth.com.au/NSW/CC-9_cs.png","CC-9_A4")</f>
        <v>CC-9_A4</v>
      </c>
      <c r="B4441" t="str">
        <f>HYPERLINK("http://www.corstruth.com.au/NSW/PNG2/CC-9_cs.png","CC-9_0.25m Bins")</f>
        <v>CC-9_0.25m Bins</v>
      </c>
      <c r="C4441" t="str">
        <f>HYPERLINK("http://www.corstruth.com.au/NSW/CSV/CC-9.csv","CC-9_CSV File 1m Bins")</f>
        <v>CC-9_CSV File 1m Bins</v>
      </c>
      <c r="D4441" t="s">
        <v>2774</v>
      </c>
      <c r="E4441" t="s">
        <v>2198</v>
      </c>
      <c r="F4441" t="str">
        <f>HYPERLINK("http://dwh.geoscience.nsw.gov.au/CI/warehouse/raw/drillhole?project=&amp;site_id=CC-9","Geol Survey Link")</f>
        <v>Geol Survey Link</v>
      </c>
      <c r="G4441" t="s">
        <v>2762</v>
      </c>
      <c r="I4441">
        <v>0</v>
      </c>
      <c r="J4441">
        <v>0</v>
      </c>
    </row>
    <row r="4442" spans="1:10" x14ac:dyDescent="0.25">
      <c r="A4442" t="str">
        <f>HYPERLINK("http://www.corstruth.com.au/NSW/CD-1_cs.png","CD-1_A4")</f>
        <v>CD-1_A4</v>
      </c>
      <c r="B4442" t="str">
        <f>HYPERLINK("http://www.corstruth.com.au/NSW/PNG2/CD-1_cs.png","CD-1_0.25m Bins")</f>
        <v>CD-1_0.25m Bins</v>
      </c>
      <c r="C4442" t="str">
        <f>HYPERLINK("http://www.corstruth.com.au/NSW/CSV/CD-1.csv","CD-1_CSV File 1m Bins")</f>
        <v>CD-1_CSV File 1m Bins</v>
      </c>
      <c r="D4442" t="s">
        <v>2775</v>
      </c>
      <c r="E4442" t="s">
        <v>2198</v>
      </c>
      <c r="F4442" t="str">
        <f>HYPERLINK("http://dwh.geoscience.nsw.gov.au/CI/warehouse/raw/drillhole?project=&amp;site_id=CD-1","Geol Survey Link")</f>
        <v>Geol Survey Link</v>
      </c>
      <c r="G4442" t="s">
        <v>2762</v>
      </c>
      <c r="I4442">
        <v>0</v>
      </c>
      <c r="J4442">
        <v>0</v>
      </c>
    </row>
    <row r="4443" spans="1:10" x14ac:dyDescent="0.25">
      <c r="A4443" t="str">
        <f>HYPERLINK("http://www.corstruth.com.au/NSW/CD-2_cs.png","CD-2_A4")</f>
        <v>CD-2_A4</v>
      </c>
      <c r="B4443" t="str">
        <f>HYPERLINK("http://www.corstruth.com.au/NSW/PNG2/CD-2_cs.png","CD-2_0.25m Bins")</f>
        <v>CD-2_0.25m Bins</v>
      </c>
      <c r="C4443" t="str">
        <f>HYPERLINK("http://www.corstruth.com.au/NSW/CSV/CD-2.csv","CD-2_CSV File 1m Bins")</f>
        <v>CD-2_CSV File 1m Bins</v>
      </c>
      <c r="D4443" t="s">
        <v>2776</v>
      </c>
      <c r="E4443" t="s">
        <v>2198</v>
      </c>
      <c r="F4443" t="str">
        <f>HYPERLINK("http://dwh.geoscience.nsw.gov.au/CI/warehouse/raw/drillhole?project=&amp;site_id=CD-2","Geol Survey Link")</f>
        <v>Geol Survey Link</v>
      </c>
      <c r="G4443" t="s">
        <v>2762</v>
      </c>
      <c r="I4443">
        <v>0</v>
      </c>
      <c r="J4443">
        <v>0</v>
      </c>
    </row>
    <row r="4444" spans="1:10" x14ac:dyDescent="0.25">
      <c r="A4444" t="str">
        <f>HYPERLINK("http://www.corstruth.com.au/NSW/CND001A_cs.png","CND001A_A4")</f>
        <v>CND001A_A4</v>
      </c>
      <c r="B4444" t="str">
        <f>HYPERLINK("http://www.corstruth.com.au/NSW/PNG2/CND001A_cs.png","CND001A_0.25m Bins")</f>
        <v>CND001A_0.25m Bins</v>
      </c>
      <c r="C4444" t="str">
        <f>HYPERLINK("http://www.corstruth.com.au/NSW/CSV/CND001A.csv","CND001A_CSV File 1m Bins")</f>
        <v>CND001A_CSV File 1m Bins</v>
      </c>
      <c r="D4444" t="s">
        <v>2777</v>
      </c>
      <c r="E4444" t="s">
        <v>2198</v>
      </c>
      <c r="F4444" t="str">
        <f>HYPERLINK("http://dwh.geoscience.nsw.gov.au/CI/warehouse/raw/drillhole?project=&amp;site_id=CND001A","Geol Survey Link")</f>
        <v>Geol Survey Link</v>
      </c>
      <c r="G4444" t="s">
        <v>2778</v>
      </c>
      <c r="I4444">
        <v>0</v>
      </c>
      <c r="J4444">
        <v>0</v>
      </c>
    </row>
    <row r="4445" spans="1:10" x14ac:dyDescent="0.25">
      <c r="A4445" t="str">
        <f>HYPERLINK("http://www.corstruth.com.au/NSW/CND001B_cs.png","CND001B_A4")</f>
        <v>CND001B_A4</v>
      </c>
      <c r="B4445" t="str">
        <f>HYPERLINK("http://www.corstruth.com.au/NSW/PNG2/CND001B_cs.png","CND001B_0.25m Bins")</f>
        <v>CND001B_0.25m Bins</v>
      </c>
      <c r="C4445" t="str">
        <f>HYPERLINK("http://www.corstruth.com.au/NSW/CSV/CND001B.csv","CND001B_CSV File 1m Bins")</f>
        <v>CND001B_CSV File 1m Bins</v>
      </c>
      <c r="D4445" t="s">
        <v>2779</v>
      </c>
      <c r="E4445" t="s">
        <v>2198</v>
      </c>
      <c r="F4445" t="str">
        <f>HYPERLINK("http://dwh.geoscience.nsw.gov.au/CI/warehouse/raw/drillhole?project=&amp;site_id=CND001B","Geol Survey Link")</f>
        <v>Geol Survey Link</v>
      </c>
      <c r="I4445">
        <v>0</v>
      </c>
      <c r="J4445">
        <v>0</v>
      </c>
    </row>
    <row r="4446" spans="1:10" x14ac:dyDescent="0.25">
      <c r="A4446" t="str">
        <f>HYPERLINK("http://www.corstruth.com.au/NSW/CND002_cs.png","CND002_A4")</f>
        <v>CND002_A4</v>
      </c>
      <c r="B4446" t="str">
        <f>HYPERLINK("http://www.corstruth.com.au/NSW/PNG2/CND002_cs.png","CND002_0.25m Bins")</f>
        <v>CND002_0.25m Bins</v>
      </c>
      <c r="C4446" t="str">
        <f>HYPERLINK("http://www.corstruth.com.au/NSW/CSV/CND002.csv","CND002_CSV File 1m Bins")</f>
        <v>CND002_CSV File 1m Bins</v>
      </c>
      <c r="D4446" t="s">
        <v>2780</v>
      </c>
      <c r="E4446" t="s">
        <v>2198</v>
      </c>
      <c r="F4446" t="str">
        <f>HYPERLINK("http://dwh.geoscience.nsw.gov.au/CI/warehouse/raw/drillhole?project=&amp;site_id=CND002","Geol Survey Link")</f>
        <v>Geol Survey Link</v>
      </c>
      <c r="G4446" t="s">
        <v>2778</v>
      </c>
      <c r="I4446">
        <v>0</v>
      </c>
      <c r="J4446">
        <v>0</v>
      </c>
    </row>
    <row r="4447" spans="1:10" x14ac:dyDescent="0.25">
      <c r="A4447" t="str">
        <f>HYPERLINK("http://www.corstruth.com.au/NSW/COM002_cs.png","COM002_A4")</f>
        <v>COM002_A4</v>
      </c>
      <c r="B4447" t="str">
        <f>HYPERLINK("http://www.corstruth.com.au/NSW/PNG2/COM002_cs.png","COM002_0.25m Bins")</f>
        <v>COM002_0.25m Bins</v>
      </c>
      <c r="C4447" t="str">
        <f>HYPERLINK("http://www.corstruth.com.au/NSW/CSV/COM002.csv","COM002_CSV File 1m Bins")</f>
        <v>COM002_CSV File 1m Bins</v>
      </c>
      <c r="D4447" t="s">
        <v>2781</v>
      </c>
      <c r="E4447" t="s">
        <v>2198</v>
      </c>
      <c r="F4447" t="str">
        <f>HYPERLINK("http://dwh.geoscience.nsw.gov.au/CI/warehouse/raw/drillhole?project=&amp;site_id=COM002D","Geol Survey Link")</f>
        <v>Geol Survey Link</v>
      </c>
      <c r="G4447" t="s">
        <v>2782</v>
      </c>
      <c r="I4447">
        <v>0</v>
      </c>
      <c r="J4447">
        <v>0</v>
      </c>
    </row>
    <row r="4448" spans="1:10" x14ac:dyDescent="0.25">
      <c r="A4448" t="str">
        <f>HYPERLINK("http://www.corstruth.com.au/NSW/CP2_cs.png","CP2_A4")</f>
        <v>CP2_A4</v>
      </c>
      <c r="B4448" t="str">
        <f>HYPERLINK("http://www.corstruth.com.au/NSW/PNG2/CP2_cs.png","CP2_0.25m Bins")</f>
        <v>CP2_0.25m Bins</v>
      </c>
      <c r="C4448" t="str">
        <f>HYPERLINK("http://www.corstruth.com.au/NSW/CSV/CP2.csv","CP2_CSV File 1m Bins")</f>
        <v>CP2_CSV File 1m Bins</v>
      </c>
      <c r="D4448" t="s">
        <v>2783</v>
      </c>
      <c r="E4448" t="s">
        <v>2198</v>
      </c>
      <c r="F4448" t="str">
        <f>HYPERLINK("http://dwh.geoscience.nsw.gov.au/CI/warehouse/raw/drillhole?project=&amp;site_id=CP2","Geol Survey Link")</f>
        <v>Geol Survey Link</v>
      </c>
      <c r="G4448" t="s">
        <v>2784</v>
      </c>
      <c r="I4448">
        <v>0</v>
      </c>
      <c r="J4448">
        <v>0</v>
      </c>
    </row>
    <row r="4449" spans="1:10" x14ac:dyDescent="0.25">
      <c r="A4449" t="str">
        <f>HYPERLINK("http://www.corstruth.com.au/NSW/CP3_cs.png","CP3_A4")</f>
        <v>CP3_A4</v>
      </c>
      <c r="B4449" t="str">
        <f>HYPERLINK("http://www.corstruth.com.au/NSW/PNG2/CP3_cs.png","CP3_0.25m Bins")</f>
        <v>CP3_0.25m Bins</v>
      </c>
      <c r="C4449" t="str">
        <f>HYPERLINK("http://www.corstruth.com.au/NSW/CSV/CP3.csv","CP3_CSV File 1m Bins")</f>
        <v>CP3_CSV File 1m Bins</v>
      </c>
      <c r="D4449" t="s">
        <v>2785</v>
      </c>
      <c r="E4449" t="s">
        <v>2198</v>
      </c>
      <c r="F4449" t="str">
        <f>HYPERLINK("http://dwh.geoscience.nsw.gov.au/CI/warehouse/raw/drillhole?project=&amp;site_id=CP3","Geol Survey Link")</f>
        <v>Geol Survey Link</v>
      </c>
      <c r="G4449" t="s">
        <v>2786</v>
      </c>
      <c r="I4449">
        <v>0</v>
      </c>
      <c r="J4449">
        <v>0</v>
      </c>
    </row>
    <row r="4450" spans="1:10" x14ac:dyDescent="0.25">
      <c r="A4450" t="str">
        <f>HYPERLINK("http://www.corstruth.com.au/NSW/CUTAD01_cs.png","CUTAD01_A4")</f>
        <v>CUTAD01_A4</v>
      </c>
      <c r="B4450" t="str">
        <f>HYPERLINK("http://www.corstruth.com.au/NSW/PNG2/CUTAD01_cs.png","CUTAD01_0.25m Bins")</f>
        <v>CUTAD01_0.25m Bins</v>
      </c>
      <c r="C4450" t="str">
        <f>HYPERLINK("http://www.corstruth.com.au/NSW/CSV/CUTAD01.csv","CUTAD01_CSV File 1m Bins")</f>
        <v>CUTAD01_CSV File 1m Bins</v>
      </c>
      <c r="D4450" t="s">
        <v>2787</v>
      </c>
      <c r="E4450" t="s">
        <v>2198</v>
      </c>
      <c r="F4450" t="str">
        <f>HYPERLINK("http://dwh.geoscience.nsw.gov.au/CI/warehouse/raw/drillhole?project=&amp;site_id=CUTAD01","Geol Survey Link")</f>
        <v>Geol Survey Link</v>
      </c>
      <c r="I4450">
        <v>0</v>
      </c>
      <c r="J4450">
        <v>0</v>
      </c>
    </row>
    <row r="4451" spans="1:10" x14ac:dyDescent="0.25">
      <c r="A4451" t="str">
        <f>HYPERLINK("http://www.corstruth.com.au/NSW/Coona_Coona_2_cs.png","Coona Coona 2_A4")</f>
        <v>Coona Coona 2_A4</v>
      </c>
      <c r="B4451" t="str">
        <f>HYPERLINK("http://www.corstruth.com.au/NSW/PNG2/Coona_Coona_2_cs.png","Coona Coona 2_0.25m Bins")</f>
        <v>Coona Coona 2_0.25m Bins</v>
      </c>
      <c r="C4451" t="str">
        <f>HYPERLINK("http://www.corstruth.com.au/NSW/CSV/Coona_Coona_2.csv","Coona Coona 2_CSV File 1m Bins")</f>
        <v>Coona Coona 2_CSV File 1m Bins</v>
      </c>
      <c r="D4451" t="s">
        <v>2788</v>
      </c>
      <c r="E4451" t="s">
        <v>2198</v>
      </c>
      <c r="F4451" t="str">
        <f>HYPERLINK("http://dwh.geoscience.nsw.gov.au/CI/warehouse/raw/drillhole?project=Coona&amp;site_id=Coona_2","Geol Survey Link")</f>
        <v>Geol Survey Link</v>
      </c>
      <c r="G4451" t="s">
        <v>2789</v>
      </c>
      <c r="I4451">
        <v>0</v>
      </c>
      <c r="J4451">
        <v>0</v>
      </c>
    </row>
    <row r="4452" spans="1:10" x14ac:dyDescent="0.25">
      <c r="A4452" t="str">
        <f>HYPERLINK("http://www.corstruth.com.au/NSW/CoonaCoona_1_RC_cs.png","CoonaCoona 1_RC_A4")</f>
        <v>CoonaCoona 1_RC_A4</v>
      </c>
      <c r="B4452" t="str">
        <f>HYPERLINK("http://www.corstruth.com.au/NSW/PNG2/CoonaCoona_1_RC_cs.png","CoonaCoona 1_RC_0.25m Bins")</f>
        <v>CoonaCoona 1_RC_0.25m Bins</v>
      </c>
      <c r="C4452" t="str">
        <f>HYPERLINK("http://www.corstruth.com.au/NSW/CSV/CoonaCoona_1_RC.csv","CoonaCoona 1_RC_CSV File 1m Bins")</f>
        <v>CoonaCoona 1_RC_CSV File 1m Bins</v>
      </c>
      <c r="E4452" t="s">
        <v>2198</v>
      </c>
      <c r="F4452" t="str">
        <f>HYPERLINK("http://dwh.geoscience.nsw.gov.au/CI/warehouse/raw/drillhole?project=&amp;site_id=","Geol Survey Link")</f>
        <v>Geol Survey Link</v>
      </c>
      <c r="I4452">
        <v>0</v>
      </c>
      <c r="J4452">
        <v>0</v>
      </c>
    </row>
    <row r="4453" spans="1:10" x14ac:dyDescent="0.25">
      <c r="A4453" t="str">
        <f>HYPERLINK("http://www.corstruth.com.au/NSW/CoonaCoona_2_RC_cs.png","CoonaCoona 2_RC_A4")</f>
        <v>CoonaCoona 2_RC_A4</v>
      </c>
      <c r="B4453" t="str">
        <f>HYPERLINK("http://www.corstruth.com.au/NSW/PNG2/CoonaCoona_2_RC_cs.png","CoonaCoona 2_RC_0.25m Bins")</f>
        <v>CoonaCoona 2_RC_0.25m Bins</v>
      </c>
      <c r="C4453" t="str">
        <f>HYPERLINK("http://www.corstruth.com.au/NSW/CSV/CoonaCoona_2_RC.csv","CoonaCoona 2_RC_CSV File 1m Bins")</f>
        <v>CoonaCoona 2_RC_CSV File 1m Bins</v>
      </c>
      <c r="E4453" t="s">
        <v>2198</v>
      </c>
      <c r="F4453" t="str">
        <f>HYPERLINK("http://dwh.geoscience.nsw.gov.au/CI/warehouse/raw/drillhole?project=&amp;site_id=","Geol Survey Link")</f>
        <v>Geol Survey Link</v>
      </c>
      <c r="I4453">
        <v>0</v>
      </c>
      <c r="J4453">
        <v>0</v>
      </c>
    </row>
    <row r="4454" spans="1:10" x14ac:dyDescent="0.25">
      <c r="A4454" t="str">
        <f>HYPERLINK("http://www.corstruth.com.au/NSW/Coona_Coona_1_cs.png","Coona_Coona_1_A4")</f>
        <v>Coona_Coona_1_A4</v>
      </c>
      <c r="B4454" t="str">
        <f>HYPERLINK("http://www.corstruth.com.au/NSW/PNG2/Coona_Coona_1_cs.png","Coona_Coona_1_0.25m Bins")</f>
        <v>Coona_Coona_1_0.25m Bins</v>
      </c>
      <c r="C4454" t="str">
        <f>HYPERLINK("http://www.corstruth.com.au/NSW/CSV/Coona_Coona_1.csv","Coona_Coona_1_CSV File 1m Bins")</f>
        <v>Coona_Coona_1_CSV File 1m Bins</v>
      </c>
      <c r="D4454" t="s">
        <v>2790</v>
      </c>
      <c r="E4454" t="s">
        <v>2198</v>
      </c>
      <c r="F4454" t="str">
        <f>HYPERLINK("http://dwh.geoscience.nsw.gov.au/CI/warehouse/raw/drillhole?project=Coona&amp;site_id=Coona_1","Geol Survey Link")</f>
        <v>Geol Survey Link</v>
      </c>
      <c r="G4454" t="s">
        <v>2789</v>
      </c>
      <c r="I4454">
        <v>0</v>
      </c>
      <c r="J4454">
        <v>0</v>
      </c>
    </row>
    <row r="4455" spans="1:10" x14ac:dyDescent="0.25">
      <c r="A4455" t="str">
        <f>HYPERLINK("http://www.corstruth.com.au/NSW/DD04CH0034_cs.png","DD04CH0034_A4")</f>
        <v>DD04CH0034_A4</v>
      </c>
      <c r="B4455" t="str">
        <f>HYPERLINK("http://www.corstruth.com.au/NSW/PNG2/DD04CH0034_cs.png","DD04CH0034_0.25m Bins")</f>
        <v>DD04CH0034_0.25m Bins</v>
      </c>
      <c r="C4455" t="str">
        <f>HYPERLINK("http://www.corstruth.com.au/NSW/CSV/DD04CH0034.csv","DD04CH0034_CSV File 1m Bins")</f>
        <v>DD04CH0034_CSV File 1m Bins</v>
      </c>
      <c r="E4455" t="s">
        <v>2198</v>
      </c>
      <c r="F4455" t="str">
        <f>HYPERLINK("http://dwh.geoscience.nsw.gov.au/CI/warehouse/raw/drillhole?project=&amp;site_id=","Geol Survey Link")</f>
        <v>Geol Survey Link</v>
      </c>
      <c r="G4455" t="s">
        <v>2791</v>
      </c>
      <c r="I4455">
        <v>0</v>
      </c>
      <c r="J4455">
        <v>0</v>
      </c>
    </row>
    <row r="4456" spans="1:10" x14ac:dyDescent="0.25">
      <c r="A4456" t="str">
        <f>HYPERLINK("http://www.corstruth.com.au/NSW/DD08QB0024_cs.png","DD08QB0024_A4")</f>
        <v>DD08QB0024_A4</v>
      </c>
      <c r="B4456" t="str">
        <f>HYPERLINK("http://www.corstruth.com.au/NSW/PNG2/DD08QB0024_cs.png","DD08QB0024_0.25m Bins")</f>
        <v>DD08QB0024_0.25m Bins</v>
      </c>
      <c r="C4456" t="str">
        <f>HYPERLINK("http://www.corstruth.com.au/NSW/CSV/DD08QB0024.csv","DD08QB0024_CSV File 1m Bins")</f>
        <v>DD08QB0024_CSV File 1m Bins</v>
      </c>
      <c r="D4456" t="s">
        <v>2792</v>
      </c>
      <c r="E4456" t="s">
        <v>2198</v>
      </c>
      <c r="F4456" t="str">
        <f>HYPERLINK("http://dwh.geoscience.nsw.gov.au/CI/warehouse/raw/drillhole?project=&amp;site_id=DD08QB0024A","Geol Survey Link")</f>
        <v>Geol Survey Link</v>
      </c>
      <c r="G4456" t="s">
        <v>2793</v>
      </c>
      <c r="I4456">
        <v>0</v>
      </c>
      <c r="J4456">
        <v>0</v>
      </c>
    </row>
    <row r="4457" spans="1:10" x14ac:dyDescent="0.25">
      <c r="A4457" t="str">
        <f>HYPERLINK("http://www.corstruth.com.au/NSW/DD119113_cs.png","DD119113_A4")</f>
        <v>DD119113_A4</v>
      </c>
      <c r="B4457" t="str">
        <f>HYPERLINK("http://www.corstruth.com.au/NSW/PNG2/DD119113_cs.png","DD119113_0.25m Bins")</f>
        <v>DD119113_0.25m Bins</v>
      </c>
      <c r="C4457" t="str">
        <f>HYPERLINK("http://www.corstruth.com.au/NSW/CSV/DD119113.csv","DD119113_CSV File 1m Bins")</f>
        <v>DD119113_CSV File 1m Bins</v>
      </c>
      <c r="D4457" t="s">
        <v>2794</v>
      </c>
      <c r="E4457" t="s">
        <v>2198</v>
      </c>
      <c r="F4457" t="str">
        <f>HYPERLINK("http://dwh.geoscience.nsw.gov.au/CI/warehouse/raw/drillhole?project=&amp;site_id=DH119113","Geol Survey Link")</f>
        <v>Geol Survey Link</v>
      </c>
      <c r="G4457" t="s">
        <v>2795</v>
      </c>
      <c r="I4457">
        <v>0</v>
      </c>
      <c r="J4457">
        <v>0</v>
      </c>
    </row>
    <row r="4458" spans="1:10" x14ac:dyDescent="0.25">
      <c r="A4458" t="str">
        <f>HYPERLINK("http://www.corstruth.com.au/NSW/DD13GC0007A_cs.png","DD13GC0007A_A4")</f>
        <v>DD13GC0007A_A4</v>
      </c>
      <c r="B4458" t="str">
        <f>HYPERLINK("http://www.corstruth.com.au/NSW/PNG2/DD13GC0007A_cs.png","DD13GC0007A_0.25m Bins")</f>
        <v>DD13GC0007A_0.25m Bins</v>
      </c>
      <c r="C4458" t="str">
        <f>HYPERLINK("http://www.corstruth.com.au/NSW/CSV/DD13GC0007A.csv","DD13GC0007A_CSV File 1m Bins")</f>
        <v>DD13GC0007A_CSV File 1m Bins</v>
      </c>
      <c r="D4458" t="s">
        <v>2796</v>
      </c>
      <c r="E4458" t="s">
        <v>2198</v>
      </c>
      <c r="F4458" t="str">
        <f>HYPERLINK("http://dwh.geoscience.nsw.gov.au/CI/warehouse/raw/drillhole?project=&amp;site_id=DD13GC0007A","Geol Survey Link")</f>
        <v>Geol Survey Link</v>
      </c>
      <c r="G4458" t="s">
        <v>2797</v>
      </c>
      <c r="I4458">
        <v>0</v>
      </c>
      <c r="J4458">
        <v>0</v>
      </c>
    </row>
    <row r="4459" spans="1:10" x14ac:dyDescent="0.25">
      <c r="A4459" t="str">
        <f>HYPERLINK("http://www.corstruth.com.au/NSW/DD13GC0007B_cs.png","DD13GC0007B_A4")</f>
        <v>DD13GC0007B_A4</v>
      </c>
      <c r="B4459" t="str">
        <f>HYPERLINK("http://www.corstruth.com.au/NSW/PNG2/DD13GC0007B_cs.png","DD13GC0007B_0.25m Bins")</f>
        <v>DD13GC0007B_0.25m Bins</v>
      </c>
      <c r="C4459" t="str">
        <f>HYPERLINK("http://www.corstruth.com.au/NSW/CSV/DD13GC0007B.csv","DD13GC0007B_CSV File 1m Bins")</f>
        <v>DD13GC0007B_CSV File 1m Bins</v>
      </c>
      <c r="D4459" t="s">
        <v>2798</v>
      </c>
      <c r="E4459" t="s">
        <v>2198</v>
      </c>
      <c r="F4459" t="str">
        <f>HYPERLINK("http://dwh.geoscience.nsw.gov.au/CI/warehouse/raw/drillhole?project=&amp;site_id=DD13GC0007B","Geol Survey Link")</f>
        <v>Geol Survey Link</v>
      </c>
      <c r="G4459" t="s">
        <v>2797</v>
      </c>
      <c r="I4459">
        <v>0</v>
      </c>
      <c r="J4459">
        <v>0</v>
      </c>
    </row>
    <row r="4460" spans="1:10" x14ac:dyDescent="0.25">
      <c r="A4460" t="str">
        <f>HYPERLINK("http://www.corstruth.com.au/NSW/DD16WG003_cs.png","DD16WG003_A4")</f>
        <v>DD16WG003_A4</v>
      </c>
      <c r="B4460" t="str">
        <f>HYPERLINK("http://www.corstruth.com.au/NSW/PNG2/DD16WG003_cs.png","DD16WG003_0.25m Bins")</f>
        <v>DD16WG003_0.25m Bins</v>
      </c>
      <c r="C4460" t="str">
        <f>HYPERLINK("http://www.corstruth.com.au/NSW/CSV/DD16WG003.csv","DD16WG003_CSV File 1m Bins")</f>
        <v>DD16WG003_CSV File 1m Bins</v>
      </c>
      <c r="D4460" t="s">
        <v>2799</v>
      </c>
      <c r="E4460" t="s">
        <v>2198</v>
      </c>
      <c r="F4460" t="str">
        <f>HYPERLINK("http://dwh.geoscience.nsw.gov.au/CI/warehouse/raw/drillhole?project=&amp;site_id=DD16WG003","Geol Survey Link")</f>
        <v>Geol Survey Link</v>
      </c>
      <c r="G4460" t="s">
        <v>2800</v>
      </c>
      <c r="I4460">
        <v>0</v>
      </c>
      <c r="J4460">
        <v>0</v>
      </c>
    </row>
    <row r="4461" spans="1:10" x14ac:dyDescent="0.25">
      <c r="A4461" t="str">
        <f>HYPERLINK("http://www.corstruth.com.au/NSW/DD16WG004_cs.png","DD16WG004_A4")</f>
        <v>DD16WG004_A4</v>
      </c>
      <c r="B4461" t="str">
        <f>HYPERLINK("http://www.corstruth.com.au/NSW/PNG2/DD16WG004_cs.png","DD16WG004_0.25m Bins")</f>
        <v>DD16WG004_0.25m Bins</v>
      </c>
      <c r="C4461" t="str">
        <f>HYPERLINK("http://www.corstruth.com.au/NSW/CSV/DD16WG004.csv","DD16WG004_CSV File 1m Bins")</f>
        <v>DD16WG004_CSV File 1m Bins</v>
      </c>
      <c r="D4461" t="s">
        <v>2801</v>
      </c>
      <c r="E4461" t="s">
        <v>2198</v>
      </c>
      <c r="F4461" t="str">
        <f>HYPERLINK("http://dwh.geoscience.nsw.gov.au/CI/warehouse/raw/drillhole?project=&amp;site_id=DD16WG004","Geol Survey Link")</f>
        <v>Geol Survey Link</v>
      </c>
      <c r="G4461" t="s">
        <v>2800</v>
      </c>
      <c r="I4461">
        <v>0</v>
      </c>
      <c r="J4461">
        <v>0</v>
      </c>
    </row>
    <row r="4462" spans="1:10" x14ac:dyDescent="0.25">
      <c r="A4462" t="str">
        <f>HYPERLINK("http://www.corstruth.com.au/NSW/DD3_cs.png","DD3_A4")</f>
        <v>DD3_A4</v>
      </c>
      <c r="B4462" t="str">
        <f>HYPERLINK("http://www.corstruth.com.au/NSW/PNG2/DD3_cs.png","DD3_0.25m Bins")</f>
        <v>DD3_0.25m Bins</v>
      </c>
      <c r="C4462" t="str">
        <f>HYPERLINK("http://www.corstruth.com.au/NSW/CSV/DD3.csv","DD3_CSV File 1m Bins")</f>
        <v>DD3_CSV File 1m Bins</v>
      </c>
      <c r="D4462" t="s">
        <v>2802</v>
      </c>
      <c r="E4462" t="s">
        <v>2198</v>
      </c>
      <c r="F4462" t="str">
        <f>HYPERLINK("http://dwh.geoscience.nsw.gov.au/CI/warehouse/raw/drillhole?project=&amp;site_id=DD3","Geol Survey Link")</f>
        <v>Geol Survey Link</v>
      </c>
      <c r="G4462" t="s">
        <v>2803</v>
      </c>
      <c r="I4462">
        <v>0</v>
      </c>
      <c r="J4462">
        <v>0</v>
      </c>
    </row>
    <row r="4463" spans="1:10" x14ac:dyDescent="0.25">
      <c r="A4463" t="str">
        <f>HYPERLINK("http://www.corstruth.com.au/NSW/DD71RD1_cs.png","DD71RD1_A4")</f>
        <v>DD71RD1_A4</v>
      </c>
      <c r="B4463" t="str">
        <f>HYPERLINK("http://www.corstruth.com.au/NSW/PNG2/DD71RD1_cs.png","DD71RD1_0.25m Bins")</f>
        <v>DD71RD1_0.25m Bins</v>
      </c>
      <c r="C4463" t="str">
        <f>HYPERLINK("http://www.corstruth.com.au/NSW/CSV/DD71RD1.csv","DD71RD1_CSV File 1m Bins")</f>
        <v>DD71RD1_CSV File 1m Bins</v>
      </c>
      <c r="E4463" t="s">
        <v>2198</v>
      </c>
      <c r="F4463" t="str">
        <f>HYPERLINK("http://dwh.geoscience.nsw.gov.au/CI/warehouse/raw/drillhole?project=&amp;site_id=","Geol Survey Link")</f>
        <v>Geol Survey Link</v>
      </c>
      <c r="G4463" t="s">
        <v>2804</v>
      </c>
      <c r="I4463">
        <v>0</v>
      </c>
      <c r="J4463">
        <v>0</v>
      </c>
    </row>
    <row r="4464" spans="1:10" x14ac:dyDescent="0.25">
      <c r="A4464" t="str">
        <f>HYPERLINK("http://www.corstruth.com.au/NSW/DD79EC1_cs.png","DD79EC1_A4")</f>
        <v>DD79EC1_A4</v>
      </c>
      <c r="B4464" t="str">
        <f>HYPERLINK("http://www.corstruth.com.au/NSW/PNG2/DD79EC1_cs.png","DD79EC1_0.25m Bins")</f>
        <v>DD79EC1_0.25m Bins</v>
      </c>
      <c r="C4464" t="str">
        <f>HYPERLINK("http://www.corstruth.com.au/NSW/CSV/DD79EC1.csv","DD79EC1_CSV File 1m Bins")</f>
        <v>DD79EC1_CSV File 1m Bins</v>
      </c>
      <c r="D4464" t="s">
        <v>2805</v>
      </c>
      <c r="E4464" t="s">
        <v>2198</v>
      </c>
      <c r="F4464" t="str">
        <f>HYPERLINK("http://dwh.geoscience.nsw.gov.au/CI/warehouse/raw/drillhole?project=&amp;site_id=DD79EC1","Geol Survey Link")</f>
        <v>Geol Survey Link</v>
      </c>
      <c r="I4464">
        <v>0</v>
      </c>
      <c r="J4464">
        <v>0</v>
      </c>
    </row>
    <row r="4465" spans="1:10" x14ac:dyDescent="0.25">
      <c r="A4465" t="str">
        <f>HYPERLINK("http://www.corstruth.com.au/NSW/DD80EC2_cs.png","DD80EC2_A4")</f>
        <v>DD80EC2_A4</v>
      </c>
      <c r="B4465" t="str">
        <f>HYPERLINK("http://www.corstruth.com.au/NSW/PNG2/DD80EC2_cs.png","DD80EC2_0.25m Bins")</f>
        <v>DD80EC2_0.25m Bins</v>
      </c>
      <c r="C4465" t="str">
        <f>HYPERLINK("http://www.corstruth.com.au/NSW/CSV/DD80EC2.csv","DD80EC2_CSV File 1m Bins")</f>
        <v>DD80EC2_CSV File 1m Bins</v>
      </c>
      <c r="E4465" t="s">
        <v>2198</v>
      </c>
      <c r="F4465" t="str">
        <f>HYPERLINK("http://dwh.geoscience.nsw.gov.au/CI/warehouse/raw/drillhole?project=&amp;site_id=","Geol Survey Link")</f>
        <v>Geol Survey Link</v>
      </c>
      <c r="G4465" t="s">
        <v>2739</v>
      </c>
      <c r="I4465">
        <v>0</v>
      </c>
      <c r="J4465">
        <v>0</v>
      </c>
    </row>
    <row r="4466" spans="1:10" x14ac:dyDescent="0.25">
      <c r="A4466" t="str">
        <f>HYPERLINK("http://www.corstruth.com.au/NSW/DD80RW2_1_cs.png","DD80RW2_1_A4")</f>
        <v>DD80RW2_1_A4</v>
      </c>
      <c r="B4466" t="str">
        <f>HYPERLINK("http://www.corstruth.com.au/NSW/PNG2/DD80RW2_1_cs.png","DD80RW2_1_0.25m Bins")</f>
        <v>DD80RW2_1_0.25m Bins</v>
      </c>
      <c r="C4466" t="str">
        <f>HYPERLINK("http://www.corstruth.com.au/NSW/CSV/DD80RW2_1.csv","DD80RW2_1_CSV File 1m Bins")</f>
        <v>DD80RW2_1_CSV File 1m Bins</v>
      </c>
      <c r="D4466" t="s">
        <v>2806</v>
      </c>
      <c r="E4466" t="s">
        <v>2198</v>
      </c>
      <c r="F4466" t="str">
        <f>HYPERLINK("http://dwh.geoscience.nsw.gov.au/CI/warehouse/raw/drillhole?project=DD80RW2&amp;site_id=1","Geol Survey Link")</f>
        <v>Geol Survey Link</v>
      </c>
      <c r="G4466" t="s">
        <v>2807</v>
      </c>
      <c r="I4466">
        <v>0</v>
      </c>
      <c r="J4466">
        <v>0</v>
      </c>
    </row>
    <row r="4467" spans="1:10" x14ac:dyDescent="0.25">
      <c r="A4467" t="str">
        <f>HYPERLINK("http://www.corstruth.com.au/NSW/DD81EC7_cs.png","DD81EC7_A4")</f>
        <v>DD81EC7_A4</v>
      </c>
      <c r="B4467" t="str">
        <f>HYPERLINK("http://www.corstruth.com.au/NSW/PNG2/DD81EC7_cs.png","DD81EC7_0.25m Bins")</f>
        <v>DD81EC7_0.25m Bins</v>
      </c>
      <c r="C4467" t="str">
        <f>HYPERLINK("http://www.corstruth.com.au/NSW/CSV/DD81EC7.csv","DD81EC7_CSV File 1m Bins")</f>
        <v>DD81EC7_CSV File 1m Bins</v>
      </c>
      <c r="D4467" t="s">
        <v>2808</v>
      </c>
      <c r="E4467" t="s">
        <v>2198</v>
      </c>
      <c r="F4467" t="str">
        <f>HYPERLINK("http://dwh.geoscience.nsw.gov.au/CI/warehouse/raw/drillhole?project=&amp;site_id=DD81EC7","Geol Survey Link")</f>
        <v>Geol Survey Link</v>
      </c>
      <c r="I4467">
        <v>0</v>
      </c>
      <c r="J4467">
        <v>0</v>
      </c>
    </row>
    <row r="4468" spans="1:10" x14ac:dyDescent="0.25">
      <c r="A4468" t="str">
        <f>HYPERLINK("http://www.corstruth.com.au/NSW/DD81RT1_cs.png","DD81RT1_A4")</f>
        <v>DD81RT1_A4</v>
      </c>
      <c r="B4468" t="str">
        <f>HYPERLINK("http://www.corstruth.com.au/NSW/PNG2/DD81RT1_cs.png","DD81RT1_0.25m Bins")</f>
        <v>DD81RT1_0.25m Bins</v>
      </c>
      <c r="C4468" t="str">
        <f>HYPERLINK("http://www.corstruth.com.au/NSW/CSV/DD81RT1.csv","DD81RT1_CSV File 1m Bins")</f>
        <v>DD81RT1_CSV File 1m Bins</v>
      </c>
      <c r="E4468" t="s">
        <v>2198</v>
      </c>
      <c r="F4468" t="str">
        <f>HYPERLINK("http://dwh.geoscience.nsw.gov.au/CI/warehouse/raw/drillhole?project=&amp;site_id=","Geol Survey Link")</f>
        <v>Geol Survey Link</v>
      </c>
      <c r="G4468" t="s">
        <v>2739</v>
      </c>
      <c r="I4468">
        <v>0</v>
      </c>
      <c r="J4468">
        <v>0</v>
      </c>
    </row>
    <row r="4469" spans="1:10" x14ac:dyDescent="0.25">
      <c r="A4469" t="str">
        <f>HYPERLINK("http://www.corstruth.com.au/NSW/DD85PK10B_cs.png","DD85PK10B_A4")</f>
        <v>DD85PK10B_A4</v>
      </c>
      <c r="B4469" t="str">
        <f>HYPERLINK("http://www.corstruth.com.au/NSW/PNG2/DD85PK10B_cs.png","DD85PK10B_0.25m Bins")</f>
        <v>DD85PK10B_0.25m Bins</v>
      </c>
      <c r="C4469" t="str">
        <f>HYPERLINK("http://www.corstruth.com.au/NSW/CSV/DD85PK10B.csv","DD85PK10B_CSV File 1m Bins")</f>
        <v>DD85PK10B_CSV File 1m Bins</v>
      </c>
      <c r="D4469" t="s">
        <v>2809</v>
      </c>
      <c r="E4469" t="s">
        <v>2198</v>
      </c>
      <c r="F4469" t="str">
        <f>HYPERLINK("http://dwh.geoscience.nsw.gov.au/CI/warehouse/raw/drillhole?project=&amp;site_id=DD85PK10B","Geol Survey Link")</f>
        <v>Geol Survey Link</v>
      </c>
      <c r="G4469" t="s">
        <v>2810</v>
      </c>
      <c r="I4469">
        <v>0</v>
      </c>
      <c r="J4469">
        <v>0</v>
      </c>
    </row>
    <row r="4470" spans="1:10" x14ac:dyDescent="0.25">
      <c r="A4470" t="str">
        <f>HYPERLINK("http://www.corstruth.com.au/NSW/DD87Tl1_cs.png","DD87Tl1_A4")</f>
        <v>DD87Tl1_A4</v>
      </c>
      <c r="B4470" t="str">
        <f>HYPERLINK("http://www.corstruth.com.au/NSW/PNG2/DD87Tl1_cs.png","DD87Tl1_0.25m Bins")</f>
        <v>DD87Tl1_0.25m Bins</v>
      </c>
      <c r="C4470" t="str">
        <f>HYPERLINK("http://www.corstruth.com.au/NSW/CSV/DD87Tl1.csv","DD87Tl1_CSV File 1m Bins")</f>
        <v>DD87Tl1_CSV File 1m Bins</v>
      </c>
      <c r="D4470" t="s">
        <v>2811</v>
      </c>
      <c r="E4470" t="s">
        <v>2198</v>
      </c>
      <c r="F4470" t="str">
        <f>HYPERLINK("http://dwh.geoscience.nsw.gov.au/CI/warehouse/raw/drillhole?project=&amp;site_id=DD87Tl1","Geol Survey Link")</f>
        <v>Geol Survey Link</v>
      </c>
      <c r="G4470" t="s">
        <v>2812</v>
      </c>
      <c r="I4470">
        <v>0</v>
      </c>
      <c r="J4470">
        <v>0</v>
      </c>
    </row>
    <row r="4471" spans="1:10" x14ac:dyDescent="0.25">
      <c r="A4471" t="str">
        <f>HYPERLINK("http://www.corstruth.com.au/NSW/DD90GR09_cs.png","DD90GR09_A4")</f>
        <v>DD90GR09_A4</v>
      </c>
      <c r="B4471" t="str">
        <f>HYPERLINK("http://www.corstruth.com.au/NSW/PNG2/DD90GR09_cs.png","DD90GR09_0.25m Bins")</f>
        <v>DD90GR09_0.25m Bins</v>
      </c>
      <c r="C4471" t="str">
        <f>HYPERLINK("http://www.corstruth.com.au/NSW/CSV/DD90GR09.csv","DD90GR09_CSV File 1m Bins")</f>
        <v>DD90GR09_CSV File 1m Bins</v>
      </c>
      <c r="D4471" t="s">
        <v>2813</v>
      </c>
      <c r="E4471" t="s">
        <v>2198</v>
      </c>
      <c r="F4471" t="str">
        <f>HYPERLINK("http://dwh.geoscience.nsw.gov.au/CI/warehouse/raw/drillhole?project=&amp;site_id=DD90GR09","Geol Survey Link")</f>
        <v>Geol Survey Link</v>
      </c>
      <c r="G4471" t="s">
        <v>2814</v>
      </c>
      <c r="I4471">
        <v>0</v>
      </c>
      <c r="J4471">
        <v>0</v>
      </c>
    </row>
    <row r="4472" spans="1:10" x14ac:dyDescent="0.25">
      <c r="A4472" t="str">
        <f>HYPERLINK("http://www.corstruth.com.au/NSW/DD91CRR2_cs.png","DD91CRR2_A4")</f>
        <v>DD91CRR2_A4</v>
      </c>
      <c r="B4472" t="str">
        <f>HYPERLINK("http://www.corstruth.com.au/NSW/PNG2/DD91CRR2_cs.png","DD91CRR2_0.25m Bins")</f>
        <v>DD91CRR2_0.25m Bins</v>
      </c>
      <c r="C4472" t="str">
        <f>HYPERLINK("http://www.corstruth.com.au/NSW/CSV/DD91CRR2.csv","DD91CRR2_CSV File 1m Bins")</f>
        <v>DD91CRR2_CSV File 1m Bins</v>
      </c>
      <c r="E4472" t="s">
        <v>2198</v>
      </c>
      <c r="F4472" t="str">
        <f>HYPERLINK("http://dwh.geoscience.nsw.gov.au/CI/warehouse/raw/drillhole?project=&amp;site_id=","Geol Survey Link")</f>
        <v>Geol Survey Link</v>
      </c>
      <c r="G4472" t="s">
        <v>2815</v>
      </c>
      <c r="I4472">
        <v>0</v>
      </c>
      <c r="J4472">
        <v>0</v>
      </c>
    </row>
    <row r="4473" spans="1:10" x14ac:dyDescent="0.25">
      <c r="A4473" t="str">
        <f>HYPERLINK("http://www.corstruth.com.au/NSW/DD92DL22_cs.png","DD92DL22_A4")</f>
        <v>DD92DL22_A4</v>
      </c>
      <c r="B4473" t="str">
        <f>HYPERLINK("http://www.corstruth.com.au/NSW/PNG2/DD92DL22_cs.png","DD92DL22_0.25m Bins")</f>
        <v>DD92DL22_0.25m Bins</v>
      </c>
      <c r="C4473" t="str">
        <f>HYPERLINK("http://www.corstruth.com.au/NSW/CSV/DD92DL22.csv","DD92DL22_CSV File 1m Bins")</f>
        <v>DD92DL22_CSV File 1m Bins</v>
      </c>
      <c r="D4473" t="s">
        <v>2816</v>
      </c>
      <c r="E4473" t="s">
        <v>2198</v>
      </c>
      <c r="F4473" t="str">
        <f>HYPERLINK("http://dwh.geoscience.nsw.gov.au/CI/warehouse/raw/drillhole?project=&amp;site_id=DD92DL22","Geol Survey Link")</f>
        <v>Geol Survey Link</v>
      </c>
      <c r="G4473" t="s">
        <v>2817</v>
      </c>
      <c r="I4473">
        <v>0</v>
      </c>
      <c r="J4473">
        <v>0</v>
      </c>
    </row>
    <row r="4474" spans="1:10" x14ac:dyDescent="0.25">
      <c r="A4474" t="str">
        <f>HYPERLINK("http://www.corstruth.com.au/NSW/DD92DL23_cs.png","DD92DL23_A4")</f>
        <v>DD92DL23_A4</v>
      </c>
      <c r="B4474" t="str">
        <f>HYPERLINK("http://www.corstruth.com.au/NSW/PNG2/DD92DL23_cs.png","DD92DL23_0.25m Bins")</f>
        <v>DD92DL23_0.25m Bins</v>
      </c>
      <c r="C4474" t="str">
        <f>HYPERLINK("http://www.corstruth.com.au/NSW/CSV/DD92DL23.csv","DD92DL23_CSV File 1m Bins")</f>
        <v>DD92DL23_CSV File 1m Bins</v>
      </c>
      <c r="D4474" t="s">
        <v>2818</v>
      </c>
      <c r="E4474" t="s">
        <v>2198</v>
      </c>
      <c r="F4474" t="str">
        <f>HYPERLINK("http://dwh.geoscience.nsw.gov.au/CI/warehouse/raw/drillhole?project=&amp;site_id=DD92DL23","Geol Survey Link")</f>
        <v>Geol Survey Link</v>
      </c>
      <c r="G4474" t="s">
        <v>2817</v>
      </c>
      <c r="I4474">
        <v>0</v>
      </c>
      <c r="J4474">
        <v>0</v>
      </c>
    </row>
    <row r="4475" spans="1:10" x14ac:dyDescent="0.25">
      <c r="A4475" t="str">
        <f>HYPERLINK("http://www.corstruth.com.au/NSW/DD94PK55_cs.png","DD94PK55_A4")</f>
        <v>DD94PK55_A4</v>
      </c>
      <c r="B4475" t="str">
        <f>HYPERLINK("http://www.corstruth.com.au/NSW/PNG2/DD94PK55_cs.png","DD94PK55_0.25m Bins")</f>
        <v>DD94PK55_0.25m Bins</v>
      </c>
      <c r="C4475" t="str">
        <f>HYPERLINK("http://www.corstruth.com.au/NSW/CSV/DD94PK55.csv","DD94PK55_CSV File 1m Bins")</f>
        <v>DD94PK55_CSV File 1m Bins</v>
      </c>
      <c r="D4475" t="s">
        <v>2819</v>
      </c>
      <c r="E4475" t="s">
        <v>2198</v>
      </c>
      <c r="F4475" t="str">
        <f>HYPERLINK("http://dwh.geoscience.nsw.gov.au/CI/warehouse/raw/drillhole?project=&amp;site_id=DD94PK55","Geol Survey Link")</f>
        <v>Geol Survey Link</v>
      </c>
      <c r="G4475" t="s">
        <v>2810</v>
      </c>
      <c r="I4475">
        <v>0</v>
      </c>
      <c r="J4475">
        <v>0</v>
      </c>
    </row>
    <row r="4476" spans="1:10" x14ac:dyDescent="0.25">
      <c r="A4476" t="str">
        <f>HYPERLINK("http://www.corstruth.com.au/NSW/DD95EHK1_cs.png","DD95EHK1_A4")</f>
        <v>DD95EHK1_A4</v>
      </c>
      <c r="B4476" t="str">
        <f>HYPERLINK("http://www.corstruth.com.au/NSW/PNG2/DD95EHK1_cs.png","DD95EHK1_0.25m Bins")</f>
        <v>DD95EHK1_0.25m Bins</v>
      </c>
      <c r="C4476" t="str">
        <f>HYPERLINK("http://www.corstruth.com.au/NSW/CSV/DD95EHK1.csv","DD95EHK1_CSV File 1m Bins")</f>
        <v>DD95EHK1_CSV File 1m Bins</v>
      </c>
      <c r="D4476" t="s">
        <v>2820</v>
      </c>
      <c r="E4476" t="s">
        <v>2198</v>
      </c>
      <c r="F4476" t="str">
        <f>HYPERLINK("http://dwh.geoscience.nsw.gov.au/CI/warehouse/raw/drillhole?project=&amp;site_id=DD95EHK1","Geol Survey Link")</f>
        <v>Geol Survey Link</v>
      </c>
      <c r="G4476" t="s">
        <v>2821</v>
      </c>
      <c r="I4476">
        <v>0</v>
      </c>
      <c r="J4476">
        <v>0</v>
      </c>
    </row>
    <row r="4477" spans="1:10" x14ac:dyDescent="0.25">
      <c r="A4477" t="str">
        <f>HYPERLINK("http://www.corstruth.com.au/NSW/DD95EHK2_cs.png","DD95EHK2_A4")</f>
        <v>DD95EHK2_A4</v>
      </c>
      <c r="B4477" t="str">
        <f>HYPERLINK("http://www.corstruth.com.au/NSW/PNG2/DD95EHK2_cs.png","DD95EHK2_0.25m Bins")</f>
        <v>DD95EHK2_0.25m Bins</v>
      </c>
      <c r="C4477" t="str">
        <f>HYPERLINK("http://www.corstruth.com.au/NSW/CSV/DD95EHK2.csv","DD95EHK2_CSV File 1m Bins")</f>
        <v>DD95EHK2_CSV File 1m Bins</v>
      </c>
      <c r="D4477" t="s">
        <v>2822</v>
      </c>
      <c r="E4477" t="s">
        <v>2198</v>
      </c>
      <c r="F4477" t="str">
        <f>HYPERLINK("http://dwh.geoscience.nsw.gov.au/CI/warehouse/raw/drillhole?project=&amp;site_id=DD95EHK2","Geol Survey Link")</f>
        <v>Geol Survey Link</v>
      </c>
      <c r="G4477" t="s">
        <v>2821</v>
      </c>
      <c r="I4477">
        <v>0</v>
      </c>
      <c r="J4477">
        <v>0</v>
      </c>
    </row>
    <row r="4478" spans="1:10" x14ac:dyDescent="0.25">
      <c r="A4478" t="str">
        <f>HYPERLINK("http://www.corstruth.com.au/NSW/DD95EHK3_cs.png","DD95EHK3_A4")</f>
        <v>DD95EHK3_A4</v>
      </c>
      <c r="B4478" t="str">
        <f>HYPERLINK("http://www.corstruth.com.au/NSW/PNG2/DD95EHK3_cs.png","DD95EHK3_0.25m Bins")</f>
        <v>DD95EHK3_0.25m Bins</v>
      </c>
      <c r="C4478" t="str">
        <f>HYPERLINK("http://www.corstruth.com.au/NSW/CSV/DD95EHK3.csv","DD95EHK3_CSV File 1m Bins")</f>
        <v>DD95EHK3_CSV File 1m Bins</v>
      </c>
      <c r="D4478" t="s">
        <v>2823</v>
      </c>
      <c r="E4478" t="s">
        <v>2198</v>
      </c>
      <c r="F4478" t="str">
        <f>HYPERLINK("http://dwh.geoscience.nsw.gov.au/CI/warehouse/raw/drillhole?project=&amp;site_id=DD95EHK3","Geol Survey Link")</f>
        <v>Geol Survey Link</v>
      </c>
      <c r="G4478" t="s">
        <v>2821</v>
      </c>
      <c r="I4478">
        <v>0</v>
      </c>
      <c r="J4478">
        <v>0</v>
      </c>
    </row>
    <row r="4479" spans="1:10" x14ac:dyDescent="0.25">
      <c r="A4479" t="str">
        <f>HYPERLINK("http://www.corstruth.com.au/NSW/DD95NO0001I_cs.png","DD95NO0001I_A4")</f>
        <v>DD95NO0001I_A4</v>
      </c>
      <c r="B4479" t="str">
        <f>HYPERLINK("http://www.corstruth.com.au/NSW/PNG2/DD95NO0001I_cs.png","DD95NO0001I_0.25m Bins")</f>
        <v>DD95NO0001I_0.25m Bins</v>
      </c>
      <c r="C4479" t="str">
        <f>HYPERLINK("http://www.corstruth.com.au/NSW/CSV/DD95NO0001I.csv","DD95NO0001I_CSV File 1m Bins")</f>
        <v>DD95NO0001I_CSV File 1m Bins</v>
      </c>
      <c r="D4479" t="s">
        <v>2824</v>
      </c>
      <c r="E4479" t="s">
        <v>2198</v>
      </c>
      <c r="F4479" t="str">
        <f>HYPERLINK("http://dwh.geoscience.nsw.gov.au/CI/warehouse/raw/drillhole?project=&amp;site_id=DD95NO1I","Geol Survey Link")</f>
        <v>Geol Survey Link</v>
      </c>
      <c r="G4479" t="s">
        <v>2825</v>
      </c>
      <c r="I4479">
        <v>0</v>
      </c>
      <c r="J4479">
        <v>0</v>
      </c>
    </row>
    <row r="4480" spans="1:10" x14ac:dyDescent="0.25">
      <c r="A4480" t="str">
        <f>HYPERLINK("http://www.corstruth.com.au/NSW/DD95NO1M_cs.png","DD95NO1M_A4")</f>
        <v>DD95NO1M_A4</v>
      </c>
      <c r="B4480" t="str">
        <f>HYPERLINK("http://www.corstruth.com.au/NSW/PNG2/DD95NO1M_cs.png","DD95NO1M_0.25m Bins")</f>
        <v>DD95NO1M_0.25m Bins</v>
      </c>
      <c r="C4480" t="str">
        <f>HYPERLINK("http://www.corstruth.com.au/NSW/CSV/DD95NO1M.csv","DD95NO1M_CSV File 1m Bins")</f>
        <v>DD95NO1M_CSV File 1m Bins</v>
      </c>
      <c r="D4480" t="s">
        <v>2826</v>
      </c>
      <c r="E4480" t="s">
        <v>2198</v>
      </c>
      <c r="F4480" t="str">
        <f>HYPERLINK("http://dwh.geoscience.nsw.gov.au/CI/warehouse/raw/drillhole?project=&amp;site_id=DD95NO0001M","Geol Survey Link")</f>
        <v>Geol Survey Link</v>
      </c>
      <c r="G4480" t="s">
        <v>2825</v>
      </c>
      <c r="I4480">
        <v>0</v>
      </c>
      <c r="J4480">
        <v>0</v>
      </c>
    </row>
    <row r="4481" spans="1:10" x14ac:dyDescent="0.25">
      <c r="A4481" t="str">
        <f>HYPERLINK("http://www.corstruth.com.au/NSW/DD96N012A_cs.png","DD96N012A_A4")</f>
        <v>DD96N012A_A4</v>
      </c>
      <c r="B4481" t="str">
        <f>HYPERLINK("http://www.corstruth.com.au/NSW/PNG2/DD96N012A_cs.png","DD96N012A_0.25m Bins")</f>
        <v>DD96N012A_0.25m Bins</v>
      </c>
      <c r="C4481" t="str">
        <f>HYPERLINK("http://www.corstruth.com.au/NSW/CSV/DD96N012A.csv","DD96N012A_CSV File 1m Bins")</f>
        <v>DD96N012A_CSV File 1m Bins</v>
      </c>
      <c r="D4481" t="s">
        <v>2827</v>
      </c>
      <c r="E4481" t="s">
        <v>2198</v>
      </c>
      <c r="F4481" t="str">
        <f>HYPERLINK("http://dwh.geoscience.nsw.gov.au/CI/warehouse/raw/drillhole?project=&amp;site_id=DD96NO12A","Geol Survey Link")</f>
        <v>Geol Survey Link</v>
      </c>
      <c r="G4481" t="s">
        <v>2825</v>
      </c>
      <c r="I4481">
        <v>0</v>
      </c>
      <c r="J4481">
        <v>0</v>
      </c>
    </row>
    <row r="4482" spans="1:10" x14ac:dyDescent="0.25">
      <c r="A4482" t="str">
        <f>HYPERLINK("http://www.corstruth.com.au/NSW/DD96WA3_cs.png","DD96WA3_A4")</f>
        <v>DD96WA3_A4</v>
      </c>
      <c r="B4482" t="str">
        <f>HYPERLINK("http://www.corstruth.com.au/NSW/PNG2/DD96WA3_cs.png","DD96WA3_0.25m Bins")</f>
        <v>DD96WA3_0.25m Bins</v>
      </c>
      <c r="C4482" t="str">
        <f>HYPERLINK("http://www.corstruth.com.au/NSW/CSV/DD96WA3.csv","DD96WA3_CSV File 1m Bins")</f>
        <v>DD96WA3_CSV File 1m Bins</v>
      </c>
      <c r="D4482" t="s">
        <v>2828</v>
      </c>
      <c r="E4482" t="s">
        <v>2198</v>
      </c>
      <c r="F4482" t="str">
        <f>HYPERLINK("http://dwh.geoscience.nsw.gov.au/CI/warehouse/raw/drillhole?project=&amp;site_id=DD96WA3","Geol Survey Link")</f>
        <v>Geol Survey Link</v>
      </c>
      <c r="G4482" t="s">
        <v>2829</v>
      </c>
      <c r="I4482">
        <v>0</v>
      </c>
      <c r="J4482">
        <v>0</v>
      </c>
    </row>
    <row r="4483" spans="1:10" x14ac:dyDescent="0.25">
      <c r="A4483" t="str">
        <f>HYPERLINK("http://www.corstruth.com.au/NSW/DDH09_cs.png","DDH09_A4")</f>
        <v>DDH09_A4</v>
      </c>
      <c r="B4483" t="str">
        <f>HYPERLINK("http://www.corstruth.com.au/NSW/PNG2/DDH09_cs.png","DDH09_0.25m Bins")</f>
        <v>DDH09_0.25m Bins</v>
      </c>
      <c r="C4483" t="str">
        <f>HYPERLINK("http://www.corstruth.com.au/NSW/CSV/DDH09.csv","DDH09_CSV File 1m Bins")</f>
        <v>DDH09_CSV File 1m Bins</v>
      </c>
      <c r="E4483" t="s">
        <v>2198</v>
      </c>
      <c r="F4483" t="str">
        <f>HYPERLINK("http://dwh.geoscience.nsw.gov.au/CI/warehouse/raw/drillhole?project=&amp;site_id=","Geol Survey Link")</f>
        <v>Geol Survey Link</v>
      </c>
      <c r="I4483">
        <v>0</v>
      </c>
      <c r="J4483">
        <v>0</v>
      </c>
    </row>
    <row r="4484" spans="1:10" x14ac:dyDescent="0.25">
      <c r="A4484" t="str">
        <f>HYPERLINK("http://www.corstruth.com.au/NSW/DDH1-Melrose_cs.png","DDH1-Melrose_A4")</f>
        <v>DDH1-Melrose_A4</v>
      </c>
      <c r="B4484" t="str">
        <f>HYPERLINK("http://www.corstruth.com.au/NSW/PNG2/DDH1-Melrose_cs.png","DDH1-Melrose_0.25m Bins")</f>
        <v>DDH1-Melrose_0.25m Bins</v>
      </c>
      <c r="C4484" t="str">
        <f>HYPERLINK("http://www.corstruth.com.au/NSW/CSV/DDH1-Melrose.csv","DDH1-Melrose_CSV File 1m Bins")</f>
        <v>DDH1-Melrose_CSV File 1m Bins</v>
      </c>
      <c r="D4484" t="s">
        <v>2830</v>
      </c>
      <c r="E4484" t="s">
        <v>2198</v>
      </c>
      <c r="F4484" t="str">
        <f>HYPERLINK("http://dwh.geoscience.nsw.gov.au/CI/warehouse/raw/drillhole?project=&amp;site_id=DDH1","Geol Survey Link")</f>
        <v>Geol Survey Link</v>
      </c>
      <c r="G4484" t="s">
        <v>2831</v>
      </c>
      <c r="I4484">
        <v>0</v>
      </c>
      <c r="J4484">
        <v>0</v>
      </c>
    </row>
    <row r="4485" spans="1:10" x14ac:dyDescent="0.25">
      <c r="A4485" t="str">
        <f>HYPERLINK("http://www.corstruth.com.au/NSW/DDH1-Woodlands_cs.png","DDH1-Woodlands_A4")</f>
        <v>DDH1-Woodlands_A4</v>
      </c>
      <c r="B4485" t="str">
        <f>HYPERLINK("http://www.corstruth.com.au/NSW/PNG2/DDH1-Woodlands_cs.png","DDH1-Woodlands_0.25m Bins")</f>
        <v>DDH1-Woodlands_0.25m Bins</v>
      </c>
      <c r="C4485" t="str">
        <f>HYPERLINK("http://www.corstruth.com.au/NSW/CSV/DDH1-Woodlands.csv","DDH1-Woodlands_CSV File 1m Bins")</f>
        <v>DDH1-Woodlands_CSV File 1m Bins</v>
      </c>
      <c r="D4485" t="s">
        <v>2832</v>
      </c>
      <c r="E4485" t="s">
        <v>2198</v>
      </c>
      <c r="F4485" t="str">
        <f>HYPERLINK("http://dwh.geoscience.nsw.gov.au/CI/warehouse/raw/drillhole?project=DDH1&amp;site_id=Woodlands","Geol Survey Link")</f>
        <v>Geol Survey Link</v>
      </c>
      <c r="I4485">
        <v>0</v>
      </c>
      <c r="J4485">
        <v>0</v>
      </c>
    </row>
    <row r="4486" spans="1:10" x14ac:dyDescent="0.25">
      <c r="A4486" t="str">
        <f>HYPERLINK("http://www.corstruth.com.au/NSW/DDH1-Yanda_cs.png","DDH1-Yanda_A4")</f>
        <v>DDH1-Yanda_A4</v>
      </c>
      <c r="B4486" t="str">
        <f>HYPERLINK("http://www.corstruth.com.au/NSW/PNG2/DDH1-Yanda_cs.png","DDH1-Yanda_0.25m Bins")</f>
        <v>DDH1-Yanda_0.25m Bins</v>
      </c>
      <c r="C4486" t="str">
        <f>HYPERLINK("http://www.corstruth.com.au/NSW/CSV/DDH1-Yanda.csv","DDH1-Yanda_CSV File 1m Bins")</f>
        <v>DDH1-Yanda_CSV File 1m Bins</v>
      </c>
      <c r="D4486" t="s">
        <v>2833</v>
      </c>
      <c r="E4486" t="s">
        <v>2198</v>
      </c>
      <c r="F4486" t="str">
        <f>HYPERLINK("http://dwh.geoscience.nsw.gov.au/CI/warehouse/raw/drillhole?project=DDH1&amp;site_id=Yanda","Geol Survey Link")</f>
        <v>Geol Survey Link</v>
      </c>
      <c r="I4486">
        <v>0</v>
      </c>
      <c r="J4486">
        <v>0</v>
      </c>
    </row>
    <row r="4487" spans="1:10" x14ac:dyDescent="0.25">
      <c r="A4487" t="str">
        <f>HYPERLINK("http://www.corstruth.com.au/NSW/DDH10_cs.png","DDH10_A4")</f>
        <v>DDH10_A4</v>
      </c>
      <c r="B4487" t="str">
        <f>HYPERLINK("http://www.corstruth.com.au/NSW/PNG2/DDH10_cs.png","DDH10_0.25m Bins")</f>
        <v>DDH10_0.25m Bins</v>
      </c>
      <c r="C4487" t="str">
        <f>HYPERLINK("http://www.corstruth.com.au/NSW/CSV/DDH10.csv","DDH10_CSV File 1m Bins")</f>
        <v>DDH10_CSV File 1m Bins</v>
      </c>
      <c r="E4487" t="s">
        <v>2198</v>
      </c>
      <c r="F4487" t="str">
        <f>HYPERLINK("http://dwh.geoscience.nsw.gov.au/CI/warehouse/raw/drillhole?project=&amp;site_id=","Geol Survey Link")</f>
        <v>Geol Survey Link</v>
      </c>
      <c r="I4487">
        <v>0</v>
      </c>
      <c r="J4487">
        <v>0</v>
      </c>
    </row>
    <row r="4488" spans="1:10" x14ac:dyDescent="0.25">
      <c r="A4488" t="str">
        <f>HYPERLINK("http://www.corstruth.com.au/NSW/DDH2-Deerina_cs.png","DDH2-Deerina_A4")</f>
        <v>DDH2-Deerina_A4</v>
      </c>
      <c r="B4488" t="str">
        <f>HYPERLINK("http://www.corstruth.com.au/NSW/PNG2/DDH2-Deerina_cs.png","DDH2-Deerina_0.25m Bins")</f>
        <v>DDH2-Deerina_0.25m Bins</v>
      </c>
      <c r="C4488" t="str">
        <f>HYPERLINK("http://www.corstruth.com.au/NSW/CSV/DDH2-Deerina.csv","DDH2-Deerina_CSV File 1m Bins")</f>
        <v>DDH2-Deerina_CSV File 1m Bins</v>
      </c>
      <c r="D4488" t="s">
        <v>2834</v>
      </c>
      <c r="E4488" t="s">
        <v>2198</v>
      </c>
      <c r="F4488" t="str">
        <f>HYPERLINK("http://dwh.geoscience.nsw.gov.au/CI/warehouse/raw/drillhole?project=DDH2&amp;site_id=Deerina","Geol Survey Link")</f>
        <v>Geol Survey Link</v>
      </c>
      <c r="I4488">
        <v>0</v>
      </c>
      <c r="J4488">
        <v>0</v>
      </c>
    </row>
    <row r="4489" spans="1:10" x14ac:dyDescent="0.25">
      <c r="A4489" t="str">
        <f>HYPERLINK("http://www.corstruth.com.au/NSW/DDH8_DDH8A_cs.png","DDH8_DDH8A_A4")</f>
        <v>DDH8_DDH8A_A4</v>
      </c>
      <c r="B4489" t="str">
        <f>HYPERLINK("http://www.corstruth.com.au/NSW/PNG2/DDH8_DDH8A_cs.png","DDH8_DDH8A_0.25m Bins")</f>
        <v>DDH8_DDH8A_0.25m Bins</v>
      </c>
      <c r="C4489" t="str">
        <f>HYPERLINK("http://www.corstruth.com.au/NSW/CSV/DDH8_DDH8A.csv","DDH8_DDH8A_CSV File 1m Bins")</f>
        <v>DDH8_DDH8A_CSV File 1m Bins</v>
      </c>
      <c r="E4489" t="s">
        <v>2198</v>
      </c>
      <c r="F4489" t="str">
        <f>HYPERLINK("http://dwh.geoscience.nsw.gov.au/CI/warehouse/raw/drillhole?project=&amp;site_id=","Geol Survey Link")</f>
        <v>Geol Survey Link</v>
      </c>
      <c r="I4489">
        <v>0</v>
      </c>
      <c r="J4489">
        <v>0</v>
      </c>
    </row>
    <row r="4490" spans="1:10" x14ac:dyDescent="0.25">
      <c r="A4490" t="str">
        <f>HYPERLINK("http://www.corstruth.com.au/NSW/DDHBDB-1_cs.png","DDHBDB-1_A4")</f>
        <v>DDHBDB-1_A4</v>
      </c>
      <c r="B4490" t="str">
        <f>HYPERLINK("http://www.corstruth.com.au/NSW/PNG2/DDHBDB-1_cs.png","DDHBDB-1_0.25m Bins")</f>
        <v>DDHBDB-1_0.25m Bins</v>
      </c>
      <c r="C4490" t="str">
        <f>HYPERLINK("http://www.corstruth.com.au/NSW/CSV/DDHBDB-1.csv","DDHBDB-1_CSV File 1m Bins")</f>
        <v>DDHBDB-1_CSV File 1m Bins</v>
      </c>
      <c r="D4490" t="s">
        <v>2835</v>
      </c>
      <c r="E4490" t="s">
        <v>2198</v>
      </c>
      <c r="F4490" t="str">
        <f>HYPERLINK("http://dwh.geoscience.nsw.gov.au/CI/warehouse/raw/drillhole?project=&amp;site_id=DDHBDB-1","Geol Survey Link")</f>
        <v>Geol Survey Link</v>
      </c>
      <c r="G4490" t="s">
        <v>2836</v>
      </c>
      <c r="I4490">
        <v>0</v>
      </c>
      <c r="J4490">
        <v>0</v>
      </c>
    </row>
    <row r="4491" spans="1:10" x14ac:dyDescent="0.25">
      <c r="A4491" t="str">
        <f>HYPERLINK("http://www.corstruth.com.au/NSW/DDHBDB-4_cs.png","DDHBDB-4_A4")</f>
        <v>DDHBDB-4_A4</v>
      </c>
      <c r="B4491" t="str">
        <f>HYPERLINK("http://www.corstruth.com.au/NSW/PNG2/DDHBDB-4_cs.png","DDHBDB-4_0.25m Bins")</f>
        <v>DDHBDB-4_0.25m Bins</v>
      </c>
      <c r="C4491" t="str">
        <f>HYPERLINK("http://www.corstruth.com.au/NSW/CSV/DDHBDB-4.csv","DDHBDB-4_CSV File 1m Bins")</f>
        <v>DDHBDB-4_CSV File 1m Bins</v>
      </c>
      <c r="D4491" t="s">
        <v>2837</v>
      </c>
      <c r="E4491" t="s">
        <v>2198</v>
      </c>
      <c r="F4491" t="str">
        <f>HYPERLINK("http://dwh.geoscience.nsw.gov.au/CI/warehouse/raw/drillhole?project=&amp;site_id=DDHBDB-4","Geol Survey Link")</f>
        <v>Geol Survey Link</v>
      </c>
      <c r="I4491">
        <v>0</v>
      </c>
      <c r="J4491">
        <v>0</v>
      </c>
    </row>
    <row r="4492" spans="1:10" x14ac:dyDescent="0.25">
      <c r="A4492" t="str">
        <f>HYPERLINK("http://www.corstruth.com.au/NSW/DDHBDB-6_cs.png","DDHBDB-6_A4")</f>
        <v>DDHBDB-6_A4</v>
      </c>
      <c r="B4492" t="str">
        <f>HYPERLINK("http://www.corstruth.com.au/NSW/PNG2/DDHBDB-6_cs.png","DDHBDB-6_0.25m Bins")</f>
        <v>DDHBDB-6_0.25m Bins</v>
      </c>
      <c r="C4492" t="str">
        <f>HYPERLINK("http://www.corstruth.com.au/NSW/CSV/DDHBDB-6.csv","DDHBDB-6_CSV File 1m Bins")</f>
        <v>DDHBDB-6_CSV File 1m Bins</v>
      </c>
      <c r="D4492" t="s">
        <v>2838</v>
      </c>
      <c r="E4492" t="s">
        <v>2198</v>
      </c>
      <c r="F4492" t="str">
        <f>HYPERLINK("http://dwh.geoscience.nsw.gov.au/CI/warehouse/raw/drillhole?project=&amp;site_id=DDHBDB-6","Geol Survey Link")</f>
        <v>Geol Survey Link</v>
      </c>
      <c r="I4492">
        <v>0</v>
      </c>
      <c r="J4492">
        <v>0</v>
      </c>
    </row>
    <row r="4493" spans="1:10" x14ac:dyDescent="0.25">
      <c r="A4493" t="str">
        <f>HYPERLINK("http://www.corstruth.com.au/NSW/DDHC-1_cs.png","DDHC-1_A4")</f>
        <v>DDHC-1_A4</v>
      </c>
      <c r="B4493" t="str">
        <f>HYPERLINK("http://www.corstruth.com.au/NSW/PNG2/DDHC-1_cs.png","DDHC-1_0.25m Bins")</f>
        <v>DDHC-1_0.25m Bins</v>
      </c>
      <c r="C4493" t="str">
        <f>HYPERLINK("http://www.corstruth.com.au/NSW/CSV/DDHC-1.csv","DDHC-1_CSV File 1m Bins")</f>
        <v>DDHC-1_CSV File 1m Bins</v>
      </c>
      <c r="D4493" t="s">
        <v>2839</v>
      </c>
      <c r="E4493" t="s">
        <v>2198</v>
      </c>
      <c r="F4493" t="str">
        <f>HYPERLINK("http://dwh.geoscience.nsw.gov.au/CI/warehouse/raw/drillhole?project=&amp;site_id=DDHC-1","Geol Survey Link")</f>
        <v>Geol Survey Link</v>
      </c>
      <c r="I4493">
        <v>0</v>
      </c>
      <c r="J4493">
        <v>0</v>
      </c>
    </row>
    <row r="4494" spans="1:10" x14ac:dyDescent="0.25">
      <c r="A4494" t="str">
        <f>HYPERLINK("http://www.corstruth.com.au/NSW/DDHG10_cs.png","DDHG10_A4")</f>
        <v>DDHG10_A4</v>
      </c>
      <c r="B4494" t="str">
        <f>HYPERLINK("http://www.corstruth.com.au/NSW/PNG2/DDHG10_cs.png","DDHG10_0.25m Bins")</f>
        <v>DDHG10_0.25m Bins</v>
      </c>
      <c r="C4494" t="str">
        <f>HYPERLINK("http://www.corstruth.com.au/NSW/CSV/DDHG10.csv","DDHG10_CSV File 1m Bins")</f>
        <v>DDHG10_CSV File 1m Bins</v>
      </c>
      <c r="E4494" t="s">
        <v>2198</v>
      </c>
      <c r="F4494" t="str">
        <f>HYPERLINK("http://dwh.geoscience.nsw.gov.au/CI/warehouse/raw/drillhole?project=&amp;site_id=","Geol Survey Link")</f>
        <v>Geol Survey Link</v>
      </c>
      <c r="G4494" t="s">
        <v>2840</v>
      </c>
      <c r="I4494">
        <v>0</v>
      </c>
      <c r="J4494">
        <v>0</v>
      </c>
    </row>
    <row r="4495" spans="1:10" x14ac:dyDescent="0.25">
      <c r="A4495" t="str">
        <f>HYPERLINK("http://www.corstruth.com.au/NSW/DDHG4_cs.png","DDHG4_A4")</f>
        <v>DDHG4_A4</v>
      </c>
      <c r="B4495" t="str">
        <f>HYPERLINK("http://www.corstruth.com.au/NSW/PNG2/DDHG4_cs.png","DDHG4_0.25m Bins")</f>
        <v>DDHG4_0.25m Bins</v>
      </c>
      <c r="C4495" t="str">
        <f>HYPERLINK("http://www.corstruth.com.au/NSW/CSV/DDHG4.csv","DDHG4_CSV File 1m Bins")</f>
        <v>DDHG4_CSV File 1m Bins</v>
      </c>
      <c r="E4495" t="s">
        <v>2198</v>
      </c>
      <c r="F4495" t="str">
        <f>HYPERLINK("http://dwh.geoscience.nsw.gov.au/CI/warehouse/raw/drillhole?project=&amp;site_id=","Geol Survey Link")</f>
        <v>Geol Survey Link</v>
      </c>
      <c r="G4495" t="s">
        <v>2840</v>
      </c>
      <c r="I4495">
        <v>0</v>
      </c>
      <c r="J4495">
        <v>0</v>
      </c>
    </row>
    <row r="4496" spans="1:10" x14ac:dyDescent="0.25">
      <c r="A4496" t="str">
        <f>HYPERLINK("http://www.corstruth.com.au/NSW/DDHOPH1_cs.png","DDHOPH1_A4")</f>
        <v>DDHOPH1_A4</v>
      </c>
      <c r="B4496" t="str">
        <f>HYPERLINK("http://www.corstruth.com.au/NSW/PNG2/DDHOPH1_cs.png","DDHOPH1_0.25m Bins")</f>
        <v>DDHOPH1_0.25m Bins</v>
      </c>
      <c r="C4496" t="str">
        <f>HYPERLINK("http://www.corstruth.com.au/NSW/CSV/DDHOPH1.csv","DDHOPH1_CSV File 1m Bins")</f>
        <v>DDHOPH1_CSV File 1m Bins</v>
      </c>
      <c r="D4496" t="s">
        <v>2841</v>
      </c>
      <c r="E4496" t="s">
        <v>2198</v>
      </c>
      <c r="F4496" t="str">
        <f>HYPERLINK("http://dwh.geoscience.nsw.gov.au/CI/warehouse/raw/drillhole?project=&amp;site_id=DDHOPH1","Geol Survey Link")</f>
        <v>Geol Survey Link</v>
      </c>
      <c r="G4496" t="s">
        <v>2842</v>
      </c>
      <c r="I4496">
        <v>0</v>
      </c>
      <c r="J4496">
        <v>0</v>
      </c>
    </row>
    <row r="4497" spans="1:10" x14ac:dyDescent="0.25">
      <c r="A4497" t="str">
        <f>HYPERLINK("http://www.corstruth.com.au/NSW/DDHOPH2_cs.png","DDHOPH2_A4")</f>
        <v>DDHOPH2_A4</v>
      </c>
      <c r="B4497" t="str">
        <f>HYPERLINK("http://www.corstruth.com.au/NSW/PNG2/DDHOPH2_cs.png","DDHOPH2_0.25m Bins")</f>
        <v>DDHOPH2_0.25m Bins</v>
      </c>
      <c r="C4497" t="str">
        <f>HYPERLINK("http://www.corstruth.com.au/NSW/CSV/DDHOPH2.csv","DDHOPH2_CSV File 1m Bins")</f>
        <v>DDHOPH2_CSV File 1m Bins</v>
      </c>
      <c r="D4497" t="s">
        <v>2843</v>
      </c>
      <c r="E4497" t="s">
        <v>2198</v>
      </c>
      <c r="F4497" t="str">
        <f>HYPERLINK("http://dwh.geoscience.nsw.gov.au/CI/warehouse/raw/drillhole?project=&amp;site_id=DDHOPH2","Geol Survey Link")</f>
        <v>Geol Survey Link</v>
      </c>
      <c r="G4497" t="s">
        <v>2842</v>
      </c>
      <c r="I4497">
        <v>0</v>
      </c>
      <c r="J4497">
        <v>0</v>
      </c>
    </row>
    <row r="4498" spans="1:10" x14ac:dyDescent="0.25">
      <c r="A4498" t="str">
        <f>HYPERLINK("http://www.corstruth.com.au/NSW/DDHPP4_cs.png","DDHPP4_A4")</f>
        <v>DDHPP4_A4</v>
      </c>
      <c r="B4498" t="str">
        <f>HYPERLINK("http://www.corstruth.com.au/NSW/PNG2/DDHPP4_cs.png","DDHPP4_0.25m Bins")</f>
        <v>DDHPP4_0.25m Bins</v>
      </c>
      <c r="C4498" t="str">
        <f>HYPERLINK("http://www.corstruth.com.au/NSW/CSV/DDHPP4.csv","DDHPP4_CSV File 1m Bins")</f>
        <v>DDHPP4_CSV File 1m Bins</v>
      </c>
      <c r="D4498" t="s">
        <v>2844</v>
      </c>
      <c r="E4498" t="s">
        <v>2198</v>
      </c>
      <c r="F4498" t="str">
        <f>HYPERLINK("http://dwh.geoscience.nsw.gov.au/CI/warehouse/raw/drillhole?project=&amp;site_id=DDHPP4","Geol Survey Link")</f>
        <v>Geol Survey Link</v>
      </c>
      <c r="I4498">
        <v>0</v>
      </c>
      <c r="J4498">
        <v>0</v>
      </c>
    </row>
    <row r="4499" spans="1:10" x14ac:dyDescent="0.25">
      <c r="A4499" t="str">
        <f>HYPERLINK("http://www.corstruth.com.au/NSW/DDHPP5_cs.png","DDHPP5_A4")</f>
        <v>DDHPP5_A4</v>
      </c>
      <c r="B4499" t="str">
        <f>HYPERLINK("http://www.corstruth.com.au/NSW/PNG2/DDHPP5_cs.png","DDHPP5_0.25m Bins")</f>
        <v>DDHPP5_0.25m Bins</v>
      </c>
      <c r="C4499" t="str">
        <f>HYPERLINK("http://www.corstruth.com.au/NSW/CSV/DDHPP5.csv","DDHPP5_CSV File 1m Bins")</f>
        <v>DDHPP5_CSV File 1m Bins</v>
      </c>
      <c r="D4499" t="s">
        <v>2845</v>
      </c>
      <c r="E4499" t="s">
        <v>2198</v>
      </c>
      <c r="F4499" t="str">
        <f>HYPERLINK("http://dwh.geoscience.nsw.gov.au/CI/warehouse/raw/drillhole?project=&amp;site_id=DDHPP5","Geol Survey Link")</f>
        <v>Geol Survey Link</v>
      </c>
      <c r="I4499">
        <v>0</v>
      </c>
      <c r="J4499">
        <v>0</v>
      </c>
    </row>
    <row r="4500" spans="1:10" x14ac:dyDescent="0.25">
      <c r="A4500" t="str">
        <f>HYPERLINK("http://www.corstruth.com.au/NSW/DDHRK1_cs.png","DDHRK1_A4")</f>
        <v>DDHRK1_A4</v>
      </c>
      <c r="B4500" t="str">
        <f>HYPERLINK("http://www.corstruth.com.au/NSW/PNG2/DDHRK1_cs.png","DDHRK1_0.25m Bins")</f>
        <v>DDHRK1_0.25m Bins</v>
      </c>
      <c r="C4500" t="str">
        <f>HYPERLINK("http://www.corstruth.com.au/NSW/CSV/DDHRK1.csv","DDHRK1_CSV File 1m Bins")</f>
        <v>DDHRK1_CSV File 1m Bins</v>
      </c>
      <c r="D4500" t="s">
        <v>2846</v>
      </c>
      <c r="E4500" t="s">
        <v>2198</v>
      </c>
      <c r="F4500" t="str">
        <f>HYPERLINK("http://dwh.geoscience.nsw.gov.au/CI/warehouse/raw/drillhole?project=&amp;site_id=DDRHK1","Geol Survey Link")</f>
        <v>Geol Survey Link</v>
      </c>
      <c r="I4500">
        <v>0</v>
      </c>
      <c r="J4500">
        <v>0</v>
      </c>
    </row>
    <row r="4501" spans="1:10" x14ac:dyDescent="0.25">
      <c r="A4501" t="str">
        <f>HYPERLINK("http://www.corstruth.com.au/NSW/DDHRW-15_cs.png","DDHRW-15_A4")</f>
        <v>DDHRW-15_A4</v>
      </c>
      <c r="B4501" t="str">
        <f>HYPERLINK("http://www.corstruth.com.au/NSW/PNG2/DDHRW-15_cs.png","DDHRW-15_0.25m Bins")</f>
        <v>DDHRW-15_0.25m Bins</v>
      </c>
      <c r="C4501" t="str">
        <f>HYPERLINK("http://www.corstruth.com.au/NSW/CSV/DDHRW-15.csv","DDHRW-15_CSV File 1m Bins")</f>
        <v>DDHRW-15_CSV File 1m Bins</v>
      </c>
      <c r="D4501" t="s">
        <v>2847</v>
      </c>
      <c r="E4501" t="s">
        <v>2198</v>
      </c>
      <c r="F4501" t="str">
        <f>HYPERLINK("http://dwh.geoscience.nsw.gov.au/CI/warehouse/raw/drillhole?project=&amp;site_id=DDHRW-15","Geol Survey Link")</f>
        <v>Geol Survey Link</v>
      </c>
      <c r="G4501" t="s">
        <v>2807</v>
      </c>
      <c r="I4501">
        <v>0</v>
      </c>
      <c r="J4501">
        <v>0</v>
      </c>
    </row>
    <row r="4502" spans="1:10" x14ac:dyDescent="0.25">
      <c r="A4502" t="str">
        <f>HYPERLINK("http://www.corstruth.com.au/NSW/DDHTS-3_cs.png","DDHTS-3_A4")</f>
        <v>DDHTS-3_A4</v>
      </c>
      <c r="B4502" t="str">
        <f>HYPERLINK("http://www.corstruth.com.au/NSW/PNG2/DDHTS-3_cs.png","DDHTS-3_0.25m Bins")</f>
        <v>DDHTS-3_0.25m Bins</v>
      </c>
      <c r="C4502" t="str">
        <f>HYPERLINK("http://www.corstruth.com.au/NSW/CSV/DDHTS-3.csv","DDHTS-3_CSV File 1m Bins")</f>
        <v>DDHTS-3_CSV File 1m Bins</v>
      </c>
      <c r="D4502" t="s">
        <v>2848</v>
      </c>
      <c r="E4502" t="s">
        <v>2198</v>
      </c>
      <c r="F4502" t="str">
        <f>HYPERLINK("http://dwh.geoscience.nsw.gov.au/CI/warehouse/raw/drillhole?project=&amp;site_id=DDHTS-3","Geol Survey Link")</f>
        <v>Geol Survey Link</v>
      </c>
      <c r="G4502" t="s">
        <v>2849</v>
      </c>
      <c r="I4502">
        <v>0</v>
      </c>
      <c r="J4502">
        <v>0</v>
      </c>
    </row>
    <row r="4503" spans="1:10" x14ac:dyDescent="0.25">
      <c r="A4503" t="str">
        <f>HYPERLINK("http://www.corstruth.com.au/NSW/DH119114_cs.png","DH119114_A4")</f>
        <v>DH119114_A4</v>
      </c>
      <c r="B4503" t="str">
        <f>HYPERLINK("http://www.corstruth.com.au/NSW/PNG2/DH119114_cs.png","DH119114_0.25m Bins")</f>
        <v>DH119114_0.25m Bins</v>
      </c>
      <c r="C4503" t="str">
        <f>HYPERLINK("http://www.corstruth.com.au/NSW/CSV/DH119114.csv","DH119114_CSV File 1m Bins")</f>
        <v>DH119114_CSV File 1m Bins</v>
      </c>
      <c r="D4503" t="s">
        <v>2850</v>
      </c>
      <c r="E4503" t="s">
        <v>2198</v>
      </c>
      <c r="F4503" t="str">
        <f>HYPERLINK("http://dwh.geoscience.nsw.gov.au/CI/warehouse/raw/drillhole?project=&amp;site_id=DH119114","Geol Survey Link")</f>
        <v>Geol Survey Link</v>
      </c>
      <c r="G4503" t="s">
        <v>2795</v>
      </c>
      <c r="I4503">
        <v>0</v>
      </c>
      <c r="J4503">
        <v>0</v>
      </c>
    </row>
    <row r="4504" spans="1:10" x14ac:dyDescent="0.25">
      <c r="A4504" t="str">
        <f>HYPERLINK("http://www.corstruth.com.au/NSW/DH119115_cs.png","DH119115_A4")</f>
        <v>DH119115_A4</v>
      </c>
      <c r="B4504" t="str">
        <f>HYPERLINK("http://www.corstruth.com.au/NSW/PNG2/DH119115_cs.png","DH119115_0.25m Bins")</f>
        <v>DH119115_0.25m Bins</v>
      </c>
      <c r="C4504" t="str">
        <f>HYPERLINK("http://www.corstruth.com.au/NSW/CSV/DH119115.csv","DH119115_CSV File 1m Bins")</f>
        <v>DH119115_CSV File 1m Bins</v>
      </c>
      <c r="D4504" t="s">
        <v>2851</v>
      </c>
      <c r="E4504" t="s">
        <v>2198</v>
      </c>
      <c r="F4504" t="str">
        <f>HYPERLINK("http://dwh.geoscience.nsw.gov.au/CI/warehouse/raw/drillhole?project=&amp;site_id=DH119115","Geol Survey Link")</f>
        <v>Geol Survey Link</v>
      </c>
      <c r="G4504" t="s">
        <v>2852</v>
      </c>
      <c r="I4504">
        <v>0</v>
      </c>
      <c r="J4504">
        <v>0</v>
      </c>
    </row>
    <row r="4505" spans="1:10" x14ac:dyDescent="0.25">
      <c r="A4505" t="str">
        <f>HYPERLINK("http://www.corstruth.com.au/NSW/DMNPDDH4_cs.png","DMNPDDH4_A4")</f>
        <v>DMNPDDH4_A4</v>
      </c>
      <c r="B4505" t="str">
        <f>HYPERLINK("http://www.corstruth.com.au/NSW/PNG2/DMNPDDH4_cs.png","DMNPDDH4_0.25m Bins")</f>
        <v>DMNPDDH4_0.25m Bins</v>
      </c>
      <c r="C4505" t="str">
        <f>HYPERLINK("http://www.corstruth.com.au/NSW/CSV/DMNPDDH4.csv","DMNPDDH4_CSV File 1m Bins")</f>
        <v>DMNPDDH4_CSV File 1m Bins</v>
      </c>
      <c r="E4505" t="s">
        <v>2198</v>
      </c>
      <c r="F4505" t="str">
        <f>HYPERLINK("http://dwh.geoscience.nsw.gov.au/CI/warehouse/raw/drillhole?project=&amp;site_id=","Geol Survey Link")</f>
        <v>Geol Survey Link</v>
      </c>
      <c r="I4505">
        <v>0</v>
      </c>
      <c r="J4505">
        <v>0</v>
      </c>
    </row>
    <row r="4506" spans="1:10" x14ac:dyDescent="0.25">
      <c r="A4506" t="str">
        <f>HYPERLINK("http://www.corstruth.com.au/NSW/DMNPDDH5_cs.png","DMNPDDH5_A4")</f>
        <v>DMNPDDH5_A4</v>
      </c>
      <c r="B4506" t="str">
        <f>HYPERLINK("http://www.corstruth.com.au/NSW/PNG2/DMNPDDH5_cs.png","DMNPDDH5_0.25m Bins")</f>
        <v>DMNPDDH5_0.25m Bins</v>
      </c>
      <c r="C4506" t="str">
        <f>HYPERLINK("http://www.corstruth.com.au/NSW/CSV/DMNPDDH5.csv","DMNPDDH5_CSV File 1m Bins")</f>
        <v>DMNPDDH5_CSV File 1m Bins</v>
      </c>
      <c r="E4506" t="s">
        <v>2198</v>
      </c>
      <c r="F4506" t="str">
        <f>HYPERLINK("http://dwh.geoscience.nsw.gov.au/CI/warehouse/raw/drillhole?project=&amp;site_id=","Geol Survey Link")</f>
        <v>Geol Survey Link</v>
      </c>
      <c r="I4506">
        <v>0</v>
      </c>
      <c r="J4506">
        <v>0</v>
      </c>
    </row>
    <row r="4507" spans="1:10" x14ac:dyDescent="0.25">
      <c r="A4507" t="str">
        <f>HYPERLINK("http://www.corstruth.com.au/NSW/DMNPDDH6_cs.png","DMNPDDH6_A4")</f>
        <v>DMNPDDH6_A4</v>
      </c>
      <c r="B4507" t="str">
        <f>HYPERLINK("http://www.corstruth.com.au/NSW/PNG2/DMNPDDH6_cs.png","DMNPDDH6_0.25m Bins")</f>
        <v>DMNPDDH6_0.25m Bins</v>
      </c>
      <c r="C4507" t="str">
        <f>HYPERLINK("http://www.corstruth.com.au/NSW/CSV/DMNPDDH6.csv","DMNPDDH6_CSV File 1m Bins")</f>
        <v>DMNPDDH6_CSV File 1m Bins</v>
      </c>
      <c r="E4507" t="s">
        <v>2198</v>
      </c>
      <c r="F4507" t="str">
        <f>HYPERLINK("http://dwh.geoscience.nsw.gov.au/CI/warehouse/raw/drillhole?project=&amp;site_id=","Geol Survey Link")</f>
        <v>Geol Survey Link</v>
      </c>
      <c r="I4507">
        <v>0</v>
      </c>
      <c r="J4507">
        <v>0</v>
      </c>
    </row>
    <row r="4508" spans="1:10" x14ac:dyDescent="0.25">
      <c r="A4508" t="str">
        <f>HYPERLINK("http://www.corstruth.com.au/NSW/DMNPDDH7_cs.png","DMNPDDH7_A4")</f>
        <v>DMNPDDH7_A4</v>
      </c>
      <c r="B4508" t="str">
        <f>HYPERLINK("http://www.corstruth.com.au/NSW/PNG2/DMNPDDH7_cs.png","DMNPDDH7_0.25m Bins")</f>
        <v>DMNPDDH7_0.25m Bins</v>
      </c>
      <c r="C4508" t="str">
        <f>HYPERLINK("http://www.corstruth.com.au/NSW/CSV/DMNPDDH7.csv","DMNPDDH7_CSV File 1m Bins")</f>
        <v>DMNPDDH7_CSV File 1m Bins</v>
      </c>
      <c r="E4508" t="s">
        <v>2198</v>
      </c>
      <c r="F4508" t="str">
        <f>HYPERLINK("http://dwh.geoscience.nsw.gov.au/CI/warehouse/raw/drillhole?project=&amp;site_id=","Geol Survey Link")</f>
        <v>Geol Survey Link</v>
      </c>
      <c r="I4508">
        <v>0</v>
      </c>
      <c r="J4508">
        <v>0</v>
      </c>
    </row>
    <row r="4509" spans="1:10" x14ac:dyDescent="0.25">
      <c r="A4509" t="str">
        <f>HYPERLINK("http://www.corstruth.com.au/NSW/DND001_cs.png","DND001_A4")</f>
        <v>DND001_A4</v>
      </c>
      <c r="B4509" t="str">
        <f>HYPERLINK("http://www.corstruth.com.au/NSW/PNG2/DND001_cs.png","DND001_0.25m Bins")</f>
        <v>DND001_0.25m Bins</v>
      </c>
      <c r="C4509" t="str">
        <f>HYPERLINK("http://www.corstruth.com.au/NSW/CSV/DND001.csv","DND001_CSV File 1m Bins")</f>
        <v>DND001_CSV File 1m Bins</v>
      </c>
      <c r="D4509" t="s">
        <v>2853</v>
      </c>
      <c r="E4509" t="s">
        <v>2198</v>
      </c>
      <c r="F4509" t="str">
        <f>HYPERLINK("http://dwh.geoscience.nsw.gov.au/CI/warehouse/raw/drillhole?project=&amp;site_id=DND001","Geol Survey Link")</f>
        <v>Geol Survey Link</v>
      </c>
      <c r="G4509" t="s">
        <v>2854</v>
      </c>
      <c r="I4509">
        <v>0</v>
      </c>
      <c r="J4509">
        <v>0</v>
      </c>
    </row>
    <row r="4510" spans="1:10" x14ac:dyDescent="0.25">
      <c r="A4510" t="str">
        <f>HYPERLINK("http://www.corstruth.com.au/NSW/DR33C_cs.png","DR33C_A4")</f>
        <v>DR33C_A4</v>
      </c>
      <c r="B4510" t="str">
        <f>HYPERLINK("http://www.corstruth.com.au/NSW/PNG2/DR33C_cs.png","DR33C_0.25m Bins")</f>
        <v>DR33C_0.25m Bins</v>
      </c>
      <c r="C4510" t="str">
        <f>HYPERLINK("http://www.corstruth.com.au/NSW/CSV/DR33C.csv","DR33C_CSV File 1m Bins")</f>
        <v>DR33C_CSV File 1m Bins</v>
      </c>
      <c r="D4510" t="s">
        <v>2855</v>
      </c>
      <c r="E4510" t="s">
        <v>2198</v>
      </c>
      <c r="F4510" t="str">
        <f>HYPERLINK("http://dwh.geoscience.nsw.gov.au/CI/warehouse/raw/drillhole?project=&amp;site_id=DR33C","Geol Survey Link")</f>
        <v>Geol Survey Link</v>
      </c>
      <c r="G4510" t="s">
        <v>2856</v>
      </c>
      <c r="I4510">
        <v>0</v>
      </c>
      <c r="J4510">
        <v>0</v>
      </c>
    </row>
    <row r="4511" spans="1:10" x14ac:dyDescent="0.25">
      <c r="A4511" t="str">
        <f>HYPERLINK("http://www.corstruth.com.au/NSW/Dan004_cs.png","Dan004_A4")</f>
        <v>Dan004_A4</v>
      </c>
      <c r="B4511" t="str">
        <f>HYPERLINK("http://www.corstruth.com.au/NSW/PNG2/Dan004_cs.png","Dan004_0.25m Bins")</f>
        <v>Dan004_0.25m Bins</v>
      </c>
      <c r="C4511" t="str">
        <f>HYPERLINK("http://www.corstruth.com.au/NSW/CSV/Dan004.csv","Dan004_CSV File 1m Bins")</f>
        <v>Dan004_CSV File 1m Bins</v>
      </c>
      <c r="D4511" t="s">
        <v>2857</v>
      </c>
      <c r="E4511" t="s">
        <v>2198</v>
      </c>
      <c r="F4511" t="str">
        <f>HYPERLINK("http://dwh.geoscience.nsw.gov.au/CI/warehouse/raw/drillhole?project=&amp;site_id=Dan004","Geol Survey Link")</f>
        <v>Geol Survey Link</v>
      </c>
      <c r="G4511" t="s">
        <v>2858</v>
      </c>
      <c r="I4511">
        <v>0</v>
      </c>
      <c r="J4511">
        <v>0</v>
      </c>
    </row>
    <row r="4512" spans="1:10" x14ac:dyDescent="0.25">
      <c r="A4512" t="str">
        <f>HYPERLINK("http://www.corstruth.com.au/NSW/Dan005_cs.png","Dan005_A4")</f>
        <v>Dan005_A4</v>
      </c>
      <c r="B4512" t="str">
        <f>HYPERLINK("http://www.corstruth.com.au/NSW/PNG2/Dan005_cs.png","Dan005_0.25m Bins")</f>
        <v>Dan005_0.25m Bins</v>
      </c>
      <c r="C4512" t="str">
        <f>HYPERLINK("http://www.corstruth.com.au/NSW/CSV/Dan005.csv","Dan005_CSV File 1m Bins")</f>
        <v>Dan005_CSV File 1m Bins</v>
      </c>
      <c r="D4512" t="s">
        <v>2859</v>
      </c>
      <c r="E4512" t="s">
        <v>2198</v>
      </c>
      <c r="F4512" t="str">
        <f>HYPERLINK("http://dwh.geoscience.nsw.gov.au/CI/warehouse/raw/drillhole?project=&amp;site_id=Dan005","Geol Survey Link")</f>
        <v>Geol Survey Link</v>
      </c>
      <c r="G4512" t="s">
        <v>2858</v>
      </c>
      <c r="I4512">
        <v>0</v>
      </c>
      <c r="J4512">
        <v>0</v>
      </c>
    </row>
    <row r="4513" spans="1:10" x14ac:dyDescent="0.25">
      <c r="A4513" t="str">
        <f>HYPERLINK("http://www.corstruth.com.au/NSW/E22D248_cs.png","E22D248_A4")</f>
        <v>E22D248_A4</v>
      </c>
      <c r="B4513" t="str">
        <f>HYPERLINK("http://www.corstruth.com.au/NSW/PNG2/E22D248_cs.png","E22D248_0.25m Bins")</f>
        <v>E22D248_0.25m Bins</v>
      </c>
      <c r="C4513" t="str">
        <f>HYPERLINK("http://www.corstruth.com.au/NSW/CSV/E22D248.csv","E22D248_CSV File 1m Bins")</f>
        <v>E22D248_CSV File 1m Bins</v>
      </c>
      <c r="E4513" t="s">
        <v>2198</v>
      </c>
      <c r="F4513" t="str">
        <f>HYPERLINK("http://dwh.geoscience.nsw.gov.au/CI/warehouse/raw/drillhole?project=&amp;site_id=","Geol Survey Link")</f>
        <v>Geol Survey Link</v>
      </c>
      <c r="I4513">
        <v>0</v>
      </c>
      <c r="J4513">
        <v>0</v>
      </c>
    </row>
    <row r="4514" spans="1:10" x14ac:dyDescent="0.25">
      <c r="A4514" t="str">
        <f>HYPERLINK("http://www.corstruth.com.au/NSW/E27D248_cs.png","E27D248_A4")</f>
        <v>E27D248_A4</v>
      </c>
      <c r="B4514" t="str">
        <f>HYPERLINK("http://www.corstruth.com.au/NSW/PNG2/E27D248_cs.png","E27D248_0.25m Bins")</f>
        <v>E27D248_0.25m Bins</v>
      </c>
      <c r="C4514" t="str">
        <f>HYPERLINK("http://www.corstruth.com.au/NSW/CSV/E27D248.csv","E27D248_CSV File 1m Bins")</f>
        <v>E27D248_CSV File 1m Bins</v>
      </c>
      <c r="D4514" t="s">
        <v>2860</v>
      </c>
      <c r="E4514" t="s">
        <v>2198</v>
      </c>
      <c r="F4514" t="str">
        <f>HYPERLINK("http://dwh.geoscience.nsw.gov.au/CI/warehouse/raw/drillhole?project=&amp;site_id=E27D248","Geol Survey Link")</f>
        <v>Geol Survey Link</v>
      </c>
      <c r="I4514">
        <v>0</v>
      </c>
      <c r="J4514">
        <v>0</v>
      </c>
    </row>
    <row r="4515" spans="1:10" x14ac:dyDescent="0.25">
      <c r="A4515" t="str">
        <f>HYPERLINK("http://www.corstruth.com.au/NSW/E41D2009_cs.png","E41D2009_A4")</f>
        <v>E41D2009_A4</v>
      </c>
      <c r="B4515" t="str">
        <f>HYPERLINK("http://www.corstruth.com.au/NSW/PNG2/E41D2009_cs.png","E41D2009_0.25m Bins")</f>
        <v>E41D2009_0.25m Bins</v>
      </c>
      <c r="C4515" t="str">
        <f>HYPERLINK("http://www.corstruth.com.au/NSW/CSV/E41D2009.csv","E41D2009_CSV File 1m Bins")</f>
        <v>E41D2009_CSV File 1m Bins</v>
      </c>
      <c r="E4515" t="s">
        <v>2198</v>
      </c>
      <c r="F4515" t="str">
        <f>HYPERLINK("http://dwh.geoscience.nsw.gov.au/CI/warehouse/raw/drillhole?project=&amp;site_id=","Geol Survey Link")</f>
        <v>Geol Survey Link</v>
      </c>
      <c r="G4515" t="s">
        <v>2861</v>
      </c>
      <c r="I4515">
        <v>0</v>
      </c>
      <c r="J4515">
        <v>0</v>
      </c>
    </row>
    <row r="4516" spans="1:10" x14ac:dyDescent="0.25">
      <c r="A4516" t="str">
        <f>HYPERLINK("http://www.corstruth.com.au/NSW/E41D2173_cs.png","E41D2173_A4")</f>
        <v>E41D2173_A4</v>
      </c>
      <c r="B4516" t="str">
        <f>HYPERLINK("http://www.corstruth.com.au/NSW/PNG2/E41D2173_cs.png","E41D2173_0.25m Bins")</f>
        <v>E41D2173_0.25m Bins</v>
      </c>
      <c r="C4516" t="str">
        <f>HYPERLINK("http://www.corstruth.com.au/NSW/CSV/E41D2173.csv","E41D2173_CSV File 1m Bins")</f>
        <v>E41D2173_CSV File 1m Bins</v>
      </c>
      <c r="E4516" t="s">
        <v>2198</v>
      </c>
      <c r="F4516" t="str">
        <f>HYPERLINK("http://dwh.geoscience.nsw.gov.au/CI/warehouse/raw/drillhole?project=&amp;site_id=","Geol Survey Link")</f>
        <v>Geol Survey Link</v>
      </c>
      <c r="G4516" t="s">
        <v>2738</v>
      </c>
      <c r="I4516">
        <v>0</v>
      </c>
      <c r="J4516">
        <v>0</v>
      </c>
    </row>
    <row r="4517" spans="1:10" x14ac:dyDescent="0.25">
      <c r="A4517" t="str">
        <f>HYPERLINK("http://www.corstruth.com.au/NSW/E42D1061_cs.png","E42D1061_A4")</f>
        <v>E42D1061_A4</v>
      </c>
      <c r="B4517" t="str">
        <f>HYPERLINK("http://www.corstruth.com.au/NSW/PNG2/E42D1061_cs.png","E42D1061_0.25m Bins")</f>
        <v>E42D1061_0.25m Bins</v>
      </c>
      <c r="C4517" t="str">
        <f>HYPERLINK("http://www.corstruth.com.au/NSW/CSV/E42D1061.csv","E42D1061_CSV File 1m Bins")</f>
        <v>E42D1061_CSV File 1m Bins</v>
      </c>
      <c r="E4517" t="s">
        <v>2198</v>
      </c>
      <c r="F4517" t="str">
        <f>HYPERLINK("http://dwh.geoscience.nsw.gov.au/CI/warehouse/raw/drillhole?project=&amp;site_id=","Geol Survey Link")</f>
        <v>Geol Survey Link</v>
      </c>
      <c r="G4517" t="s">
        <v>2862</v>
      </c>
      <c r="I4517">
        <v>0</v>
      </c>
      <c r="J4517">
        <v>0</v>
      </c>
    </row>
    <row r="4518" spans="1:10" x14ac:dyDescent="0.25">
      <c r="A4518" t="str">
        <f>HYPERLINK("http://www.corstruth.com.au/NSW/E48D58_cs.png","E48D58_A4")</f>
        <v>E48D58_A4</v>
      </c>
      <c r="B4518" t="str">
        <f>HYPERLINK("http://www.corstruth.com.au/NSW/PNG2/E48D58_cs.png","E48D58_0.25m Bins")</f>
        <v>E48D58_0.25m Bins</v>
      </c>
      <c r="C4518" t="str">
        <f>HYPERLINK("http://www.corstruth.com.au/NSW/CSV/E48D58.csv","E48D58_CSV File 1m Bins")</f>
        <v>E48D58_CSV File 1m Bins</v>
      </c>
      <c r="E4518" t="s">
        <v>2198</v>
      </c>
      <c r="F4518" t="str">
        <f>HYPERLINK("http://dwh.geoscience.nsw.gov.au/CI/warehouse/raw/drillhole?project=&amp;site_id=","Geol Survey Link")</f>
        <v>Geol Survey Link</v>
      </c>
      <c r="G4518" t="s">
        <v>2863</v>
      </c>
      <c r="I4518">
        <v>0</v>
      </c>
      <c r="J4518">
        <v>0</v>
      </c>
    </row>
    <row r="4519" spans="1:10" x14ac:dyDescent="0.25">
      <c r="A4519" t="str">
        <f>HYPERLINK("http://www.corstruth.com.au/NSW/ENRC-005_cs.png","ENRC-005_A4")</f>
        <v>ENRC-005_A4</v>
      </c>
      <c r="B4519" t="str">
        <f>HYPERLINK("http://www.corstruth.com.au/NSW/PNG2/ENRC-005_cs.png","ENRC-005_0.25m Bins")</f>
        <v>ENRC-005_0.25m Bins</v>
      </c>
      <c r="C4519" t="str">
        <f>HYPERLINK("http://www.corstruth.com.au/NSW/CSV/ENRC-005.csv","ENRC-005_CSV File 1m Bins")</f>
        <v>ENRC-005_CSV File 1m Bins</v>
      </c>
      <c r="D4519" t="s">
        <v>2864</v>
      </c>
      <c r="E4519" t="s">
        <v>2198</v>
      </c>
      <c r="F4519" t="str">
        <f>HYPERLINK("http://dwh.geoscience.nsw.gov.au/CI/warehouse/raw/drillhole?project=&amp;site_id=ENRC-005","Geol Survey Link")</f>
        <v>Geol Survey Link</v>
      </c>
      <c r="G4519" t="s">
        <v>2865</v>
      </c>
      <c r="I4519">
        <v>0</v>
      </c>
      <c r="J4519">
        <v>0</v>
      </c>
    </row>
    <row r="4520" spans="1:10" x14ac:dyDescent="0.25">
      <c r="A4520" t="str">
        <f>HYPERLINK("http://www.corstruth.com.au/NSW/FED002_RC__cs.png","FED002_RC__A4")</f>
        <v>FED002_RC__A4</v>
      </c>
      <c r="B4520" t="str">
        <f>HYPERLINK("http://www.corstruth.com.au/NSW/PNG2/FED002_RC__cs.png","FED002_RC__0.25m Bins")</f>
        <v>FED002_RC__0.25m Bins</v>
      </c>
      <c r="C4520" t="str">
        <f>HYPERLINK("http://www.corstruth.com.au/NSW/CSV/FED002_RC_.csv","FED002_RC__CSV File 1m Bins")</f>
        <v>FED002_RC__CSV File 1m Bins</v>
      </c>
      <c r="E4520" t="s">
        <v>2198</v>
      </c>
      <c r="F4520" t="str">
        <f>HYPERLINK("http://dwh.geoscience.nsw.gov.au/CI/warehouse/raw/drillhole?project=&amp;site_id=","Geol Survey Link")</f>
        <v>Geol Survey Link</v>
      </c>
      <c r="I4520">
        <v>0</v>
      </c>
      <c r="J4520">
        <v>0</v>
      </c>
    </row>
    <row r="4521" spans="1:10" x14ac:dyDescent="0.25">
      <c r="A4521" t="str">
        <f>HYPERLINK("http://www.corstruth.com.au/NSW/GD120_cs.png","GD120_A4")</f>
        <v>GD120_A4</v>
      </c>
      <c r="B4521" t="str">
        <f>HYPERLINK("http://www.corstruth.com.au/NSW/PNG2/GD120_cs.png","GD120_0.25m Bins")</f>
        <v>GD120_0.25m Bins</v>
      </c>
      <c r="C4521" t="str">
        <f>HYPERLINK("http://www.corstruth.com.au/NSW/CSV/GD120.csv","GD120_CSV File 1m Bins")</f>
        <v>GD120_CSV File 1m Bins</v>
      </c>
      <c r="D4521" t="s">
        <v>2866</v>
      </c>
      <c r="E4521" t="s">
        <v>2198</v>
      </c>
      <c r="F4521" t="str">
        <f>HYPERLINK("http://dwh.geoscience.nsw.gov.au/CI/warehouse/raw/drillhole?project=&amp;site_id=GD120","Geol Survey Link")</f>
        <v>Geol Survey Link</v>
      </c>
      <c r="I4521">
        <v>0</v>
      </c>
      <c r="J4521">
        <v>0</v>
      </c>
    </row>
    <row r="4522" spans="1:10" x14ac:dyDescent="0.25">
      <c r="A4522" t="str">
        <f>HYPERLINK("http://www.corstruth.com.au/NSW/GD121A_cs.png","GD121A_A4")</f>
        <v>GD121A_A4</v>
      </c>
      <c r="B4522" t="str">
        <f>HYPERLINK("http://www.corstruth.com.au/NSW/PNG2/GD121A_cs.png","GD121A_0.25m Bins")</f>
        <v>GD121A_0.25m Bins</v>
      </c>
      <c r="C4522" t="str">
        <f>HYPERLINK("http://www.corstruth.com.au/NSW/CSV/GD121A.csv","GD121A_CSV File 1m Bins")</f>
        <v>GD121A_CSV File 1m Bins</v>
      </c>
      <c r="E4522" t="s">
        <v>2198</v>
      </c>
      <c r="F4522" t="str">
        <f>HYPERLINK("http://dwh.geoscience.nsw.gov.au/CI/warehouse/raw/drillhole?project=&amp;site_id=","Geol Survey Link")</f>
        <v>Geol Survey Link</v>
      </c>
      <c r="I4522">
        <v>0</v>
      </c>
      <c r="J4522">
        <v>0</v>
      </c>
    </row>
    <row r="4523" spans="1:10" x14ac:dyDescent="0.25">
      <c r="A4523" t="str">
        <f>HYPERLINK("http://www.corstruth.com.au/NSW/GD129_cs.png","GD129_A4")</f>
        <v>GD129_A4</v>
      </c>
      <c r="B4523" t="str">
        <f>HYPERLINK("http://www.corstruth.com.au/NSW/PNG2/GD129_cs.png","GD129_0.25m Bins")</f>
        <v>GD129_0.25m Bins</v>
      </c>
      <c r="C4523" t="str">
        <f>HYPERLINK("http://www.corstruth.com.au/NSW/CSV/GD129.csv","GD129_CSV File 1m Bins")</f>
        <v>GD129_CSV File 1m Bins</v>
      </c>
      <c r="E4523" t="s">
        <v>2198</v>
      </c>
      <c r="F4523" t="str">
        <f>HYPERLINK("http://dwh.geoscience.nsw.gov.au/CI/warehouse/raw/drillhole?project=&amp;site_id=","Geol Survey Link")</f>
        <v>Geol Survey Link</v>
      </c>
      <c r="I4523">
        <v>0</v>
      </c>
      <c r="J4523">
        <v>0</v>
      </c>
    </row>
    <row r="4524" spans="1:10" x14ac:dyDescent="0.25">
      <c r="A4524" t="str">
        <f>HYPERLINK("http://www.corstruth.com.au/NSW/GD140_cs.png","GD140_A4")</f>
        <v>GD140_A4</v>
      </c>
      <c r="B4524" t="str">
        <f>HYPERLINK("http://www.corstruth.com.au/NSW/PNG2/GD140_cs.png","GD140_0.25m Bins")</f>
        <v>GD140_0.25m Bins</v>
      </c>
      <c r="C4524" t="str">
        <f>HYPERLINK("http://www.corstruth.com.au/NSW/CSV/GD140.csv","GD140_CSV File 1m Bins")</f>
        <v>GD140_CSV File 1m Bins</v>
      </c>
      <c r="D4524" t="s">
        <v>2867</v>
      </c>
      <c r="E4524" t="s">
        <v>2198</v>
      </c>
      <c r="F4524" t="str">
        <f>HYPERLINK("http://dwh.geoscience.nsw.gov.au/CI/warehouse/raw/drillhole?project=&amp;site_id=GD140","Geol Survey Link")</f>
        <v>Geol Survey Link</v>
      </c>
      <c r="I4524">
        <v>0</v>
      </c>
      <c r="J4524">
        <v>0</v>
      </c>
    </row>
    <row r="4525" spans="1:10" x14ac:dyDescent="0.25">
      <c r="A4525" t="str">
        <f>HYPERLINK("http://www.corstruth.com.au/NSW/GNBDD001_cs.png","GNBDD001_A4")</f>
        <v>GNBDD001_A4</v>
      </c>
      <c r="B4525" t="str">
        <f>HYPERLINK("http://www.corstruth.com.au/NSW/PNG2/GNBDD001_cs.png","GNBDD001_0.25m Bins")</f>
        <v>GNBDD001_0.25m Bins</v>
      </c>
      <c r="C4525" t="str">
        <f>HYPERLINK("http://www.corstruth.com.au/NSW/CSV/GNBDD001.csv","GNBDD001_CSV File 1m Bins")</f>
        <v>GNBDD001_CSV File 1m Bins</v>
      </c>
      <c r="E4525" t="s">
        <v>2198</v>
      </c>
      <c r="F4525" t="str">
        <f t="shared" ref="F4525:F4555" si="1">HYPERLINK("http://dwh.geoscience.nsw.gov.au/CI/warehouse/raw/drillhole?project=&amp;site_id=","Geol Survey Link")</f>
        <v>Geol Survey Link</v>
      </c>
      <c r="I4525">
        <v>0</v>
      </c>
      <c r="J4525">
        <v>0</v>
      </c>
    </row>
    <row r="4526" spans="1:10" x14ac:dyDescent="0.25">
      <c r="A4526" t="str">
        <f>HYPERLINK("http://www.corstruth.com.au/NSW/GNBDD002_cs.png","GNBDD002_A4")</f>
        <v>GNBDD002_A4</v>
      </c>
      <c r="B4526" t="str">
        <f>HYPERLINK("http://www.corstruth.com.au/NSW/PNG2/GNBDD002_cs.png","GNBDD002_0.25m Bins")</f>
        <v>GNBDD002_0.25m Bins</v>
      </c>
      <c r="C4526" t="str">
        <f>HYPERLINK("http://www.corstruth.com.au/NSW/CSV/GNBDD002.csv","GNBDD002_CSV File 1m Bins")</f>
        <v>GNBDD002_CSV File 1m Bins</v>
      </c>
      <c r="E4526" t="s">
        <v>2198</v>
      </c>
      <c r="F4526" t="str">
        <f t="shared" si="1"/>
        <v>Geol Survey Link</v>
      </c>
      <c r="I4526">
        <v>0</v>
      </c>
      <c r="J4526">
        <v>0</v>
      </c>
    </row>
    <row r="4527" spans="1:10" x14ac:dyDescent="0.25">
      <c r="A4527" t="str">
        <f>HYPERLINK("http://www.corstruth.com.au/NSW/GNBDD003_cs.png","GNBDD003_A4")</f>
        <v>GNBDD003_A4</v>
      </c>
      <c r="B4527" t="str">
        <f>HYPERLINK("http://www.corstruth.com.au/NSW/PNG2/GNBDD003_cs.png","GNBDD003_0.25m Bins")</f>
        <v>GNBDD003_0.25m Bins</v>
      </c>
      <c r="C4527" t="str">
        <f>HYPERLINK("http://www.corstruth.com.au/NSW/CSV/GNBDD003.csv","GNBDD003_CSV File 1m Bins")</f>
        <v>GNBDD003_CSV File 1m Bins</v>
      </c>
      <c r="E4527" t="s">
        <v>2198</v>
      </c>
      <c r="F4527" t="str">
        <f t="shared" si="1"/>
        <v>Geol Survey Link</v>
      </c>
      <c r="I4527">
        <v>0</v>
      </c>
      <c r="J4527">
        <v>0</v>
      </c>
    </row>
    <row r="4528" spans="1:10" x14ac:dyDescent="0.25">
      <c r="A4528" t="str">
        <f>HYPERLINK("http://www.corstruth.com.au/NSW/GNBDD004_cs.png","GNBDD004_A4")</f>
        <v>GNBDD004_A4</v>
      </c>
      <c r="B4528" t="str">
        <f>HYPERLINK("http://www.corstruth.com.au/NSW/PNG2/GNBDD004_cs.png","GNBDD004_0.25m Bins")</f>
        <v>GNBDD004_0.25m Bins</v>
      </c>
      <c r="C4528" t="str">
        <f>HYPERLINK("http://www.corstruth.com.au/NSW/CSV/GNBDD004.csv","GNBDD004_CSV File 1m Bins")</f>
        <v>GNBDD004_CSV File 1m Bins</v>
      </c>
      <c r="E4528" t="s">
        <v>2198</v>
      </c>
      <c r="F4528" t="str">
        <f t="shared" si="1"/>
        <v>Geol Survey Link</v>
      </c>
      <c r="I4528">
        <v>0</v>
      </c>
      <c r="J4528">
        <v>0</v>
      </c>
    </row>
    <row r="4529" spans="1:10" x14ac:dyDescent="0.25">
      <c r="A4529" t="str">
        <f>HYPERLINK("http://www.corstruth.com.au/NSW/GNBDD005_cs.png","GNBDD005_A4")</f>
        <v>GNBDD005_A4</v>
      </c>
      <c r="B4529" t="str">
        <f>HYPERLINK("http://www.corstruth.com.au/NSW/PNG2/GNBDD005_cs.png","GNBDD005_0.25m Bins")</f>
        <v>GNBDD005_0.25m Bins</v>
      </c>
      <c r="C4529" t="str">
        <f>HYPERLINK("http://www.corstruth.com.au/NSW/CSV/GNBDD005.csv","GNBDD005_CSV File 1m Bins")</f>
        <v>GNBDD005_CSV File 1m Bins</v>
      </c>
      <c r="E4529" t="s">
        <v>2198</v>
      </c>
      <c r="F4529" t="str">
        <f t="shared" si="1"/>
        <v>Geol Survey Link</v>
      </c>
      <c r="I4529">
        <v>0</v>
      </c>
      <c r="J4529">
        <v>0</v>
      </c>
    </row>
    <row r="4530" spans="1:10" x14ac:dyDescent="0.25">
      <c r="A4530" t="str">
        <f>HYPERLINK("http://www.corstruth.com.au/NSW/GNBDD006_cs.png","GNBDD006_A4")</f>
        <v>GNBDD006_A4</v>
      </c>
      <c r="B4530" t="str">
        <f>HYPERLINK("http://www.corstruth.com.au/NSW/PNG2/GNBDD006_cs.png","GNBDD006_0.25m Bins")</f>
        <v>GNBDD006_0.25m Bins</v>
      </c>
      <c r="C4530" t="str">
        <f>HYPERLINK("http://www.corstruth.com.au/NSW/CSV/GNBDD006.csv","GNBDD006_CSV File 1m Bins")</f>
        <v>GNBDD006_CSV File 1m Bins</v>
      </c>
      <c r="E4530" t="s">
        <v>2198</v>
      </c>
      <c r="F4530" t="str">
        <f t="shared" si="1"/>
        <v>Geol Survey Link</v>
      </c>
      <c r="I4530">
        <v>0</v>
      </c>
      <c r="J4530">
        <v>0</v>
      </c>
    </row>
    <row r="4531" spans="1:10" x14ac:dyDescent="0.25">
      <c r="A4531" t="str">
        <f>HYPERLINK("http://www.corstruth.com.au/NSW/GNBDD007_cs.png","GNBDD007_A4")</f>
        <v>GNBDD007_A4</v>
      </c>
      <c r="B4531" t="str">
        <f>HYPERLINK("http://www.corstruth.com.au/NSW/PNG2/GNBDD007_cs.png","GNBDD007_0.25m Bins")</f>
        <v>GNBDD007_0.25m Bins</v>
      </c>
      <c r="C4531" t="str">
        <f>HYPERLINK("http://www.corstruth.com.au/NSW/CSV/GNBDD007.csv","GNBDD007_CSV File 1m Bins")</f>
        <v>GNBDD007_CSV File 1m Bins</v>
      </c>
      <c r="E4531" t="s">
        <v>2198</v>
      </c>
      <c r="F4531" t="str">
        <f t="shared" si="1"/>
        <v>Geol Survey Link</v>
      </c>
      <c r="I4531">
        <v>0</v>
      </c>
      <c r="J4531">
        <v>0</v>
      </c>
    </row>
    <row r="4532" spans="1:10" x14ac:dyDescent="0.25">
      <c r="A4532" t="str">
        <f>HYPERLINK("http://www.corstruth.com.au/NSW/GNBDD008_cs.png","GNBDD008_A4")</f>
        <v>GNBDD008_A4</v>
      </c>
      <c r="B4532" t="str">
        <f>HYPERLINK("http://www.corstruth.com.au/NSW/PNG2/GNBDD008_cs.png","GNBDD008_0.25m Bins")</f>
        <v>GNBDD008_0.25m Bins</v>
      </c>
      <c r="C4532" t="str">
        <f>HYPERLINK("http://www.corstruth.com.au/NSW/CSV/GNBDD008.csv","GNBDD008_CSV File 1m Bins")</f>
        <v>GNBDD008_CSV File 1m Bins</v>
      </c>
      <c r="E4532" t="s">
        <v>2198</v>
      </c>
      <c r="F4532" t="str">
        <f t="shared" si="1"/>
        <v>Geol Survey Link</v>
      </c>
      <c r="I4532">
        <v>0</v>
      </c>
      <c r="J4532">
        <v>0</v>
      </c>
    </row>
    <row r="4533" spans="1:10" x14ac:dyDescent="0.25">
      <c r="A4533" t="str">
        <f>HYPERLINK("http://www.corstruth.com.au/NSW/GNBDD009_cs.png","GNBDD009_A4")</f>
        <v>GNBDD009_A4</v>
      </c>
      <c r="B4533" t="str">
        <f>HYPERLINK("http://www.corstruth.com.au/NSW/PNG2/GNBDD009_cs.png","GNBDD009_0.25m Bins")</f>
        <v>GNBDD009_0.25m Bins</v>
      </c>
      <c r="C4533" t="str">
        <f>HYPERLINK("http://www.corstruth.com.au/NSW/CSV/GNBDD009.csv","GNBDD009_CSV File 1m Bins")</f>
        <v>GNBDD009_CSV File 1m Bins</v>
      </c>
      <c r="E4533" t="s">
        <v>2198</v>
      </c>
      <c r="F4533" t="str">
        <f t="shared" si="1"/>
        <v>Geol Survey Link</v>
      </c>
      <c r="I4533">
        <v>0</v>
      </c>
      <c r="J4533">
        <v>0</v>
      </c>
    </row>
    <row r="4534" spans="1:10" x14ac:dyDescent="0.25">
      <c r="A4534" t="str">
        <f>HYPERLINK("http://www.corstruth.com.au/NSW/GNBDD010_cs.png","GNBDD010_A4")</f>
        <v>GNBDD010_A4</v>
      </c>
      <c r="B4534" t="str">
        <f>HYPERLINK("http://www.corstruth.com.au/NSW/PNG2/GNBDD010_cs.png","GNBDD010_0.25m Bins")</f>
        <v>GNBDD010_0.25m Bins</v>
      </c>
      <c r="C4534" t="str">
        <f>HYPERLINK("http://www.corstruth.com.au/NSW/CSV/GNBDD010.csv","GNBDD010_CSV File 1m Bins")</f>
        <v>GNBDD010_CSV File 1m Bins</v>
      </c>
      <c r="E4534" t="s">
        <v>2198</v>
      </c>
      <c r="F4534" t="str">
        <f t="shared" si="1"/>
        <v>Geol Survey Link</v>
      </c>
      <c r="I4534">
        <v>0</v>
      </c>
      <c r="J4534">
        <v>0</v>
      </c>
    </row>
    <row r="4535" spans="1:10" x14ac:dyDescent="0.25">
      <c r="A4535" t="str">
        <f>HYPERLINK("http://www.corstruth.com.au/NSW/GNBDD011_cs.png","GNBDD011_A4")</f>
        <v>GNBDD011_A4</v>
      </c>
      <c r="B4535" t="str">
        <f>HYPERLINK("http://www.corstruth.com.au/NSW/PNG2/GNBDD011_cs.png","GNBDD011_0.25m Bins")</f>
        <v>GNBDD011_0.25m Bins</v>
      </c>
      <c r="C4535" t="str">
        <f>HYPERLINK("http://www.corstruth.com.au/NSW/CSV/GNBDD011.csv","GNBDD011_CSV File 1m Bins")</f>
        <v>GNBDD011_CSV File 1m Bins</v>
      </c>
      <c r="E4535" t="s">
        <v>2198</v>
      </c>
      <c r="F4535" t="str">
        <f t="shared" si="1"/>
        <v>Geol Survey Link</v>
      </c>
      <c r="I4535">
        <v>0</v>
      </c>
      <c r="J4535">
        <v>0</v>
      </c>
    </row>
    <row r="4536" spans="1:10" x14ac:dyDescent="0.25">
      <c r="A4536" t="str">
        <f>HYPERLINK("http://www.corstruth.com.au/NSW/GNBDD012_cs.png","GNBDD012_A4")</f>
        <v>GNBDD012_A4</v>
      </c>
      <c r="B4536" t="str">
        <f>HYPERLINK("http://www.corstruth.com.au/NSW/PNG2/GNBDD012_cs.png","GNBDD012_0.25m Bins")</f>
        <v>GNBDD012_0.25m Bins</v>
      </c>
      <c r="C4536" t="str">
        <f>HYPERLINK("http://www.corstruth.com.au/NSW/CSV/GNBDD012.csv","GNBDD012_CSV File 1m Bins")</f>
        <v>GNBDD012_CSV File 1m Bins</v>
      </c>
      <c r="E4536" t="s">
        <v>2198</v>
      </c>
      <c r="F4536" t="str">
        <f t="shared" si="1"/>
        <v>Geol Survey Link</v>
      </c>
      <c r="I4536">
        <v>0</v>
      </c>
      <c r="J4536">
        <v>0</v>
      </c>
    </row>
    <row r="4537" spans="1:10" x14ac:dyDescent="0.25">
      <c r="A4537" t="str">
        <f>HYPERLINK("http://www.corstruth.com.au/NSW/GNBDD013_cs.png","GNBDD013_A4")</f>
        <v>GNBDD013_A4</v>
      </c>
      <c r="B4537" t="str">
        <f>HYPERLINK("http://www.corstruth.com.au/NSW/PNG2/GNBDD013_cs.png","GNBDD013_0.25m Bins")</f>
        <v>GNBDD013_0.25m Bins</v>
      </c>
      <c r="C4537" t="str">
        <f>HYPERLINK("http://www.corstruth.com.au/NSW/CSV/GNBDD013.csv","GNBDD013_CSV File 1m Bins")</f>
        <v>GNBDD013_CSV File 1m Bins</v>
      </c>
      <c r="E4537" t="s">
        <v>2198</v>
      </c>
      <c r="F4537" t="str">
        <f t="shared" si="1"/>
        <v>Geol Survey Link</v>
      </c>
      <c r="I4537">
        <v>0</v>
      </c>
      <c r="J4537">
        <v>0</v>
      </c>
    </row>
    <row r="4538" spans="1:10" x14ac:dyDescent="0.25">
      <c r="A4538" t="str">
        <f>HYPERLINK("http://www.corstruth.com.au/NSW/GNBDD014_cs.png","GNBDD014_A4")</f>
        <v>GNBDD014_A4</v>
      </c>
      <c r="B4538" t="str">
        <f>HYPERLINK("http://www.corstruth.com.au/NSW/PNG2/GNBDD014_cs.png","GNBDD014_0.25m Bins")</f>
        <v>GNBDD014_0.25m Bins</v>
      </c>
      <c r="C4538" t="str">
        <f>HYPERLINK("http://www.corstruth.com.au/NSW/CSV/GNBDD014.csv","GNBDD014_CSV File 1m Bins")</f>
        <v>GNBDD014_CSV File 1m Bins</v>
      </c>
      <c r="E4538" t="s">
        <v>2198</v>
      </c>
      <c r="F4538" t="str">
        <f t="shared" si="1"/>
        <v>Geol Survey Link</v>
      </c>
      <c r="I4538">
        <v>0</v>
      </c>
      <c r="J4538">
        <v>0</v>
      </c>
    </row>
    <row r="4539" spans="1:10" x14ac:dyDescent="0.25">
      <c r="A4539" t="str">
        <f>HYPERLINK("http://www.corstruth.com.au/NSW/GNBDD015_cs.png","GNBDD015_A4")</f>
        <v>GNBDD015_A4</v>
      </c>
      <c r="B4539" t="str">
        <f>HYPERLINK("http://www.corstruth.com.au/NSW/PNG2/GNBDD015_cs.png","GNBDD015_0.25m Bins")</f>
        <v>GNBDD015_0.25m Bins</v>
      </c>
      <c r="C4539" t="str">
        <f>HYPERLINK("http://www.corstruth.com.au/NSW/CSV/GNBDD015.csv","GNBDD015_CSV File 1m Bins")</f>
        <v>GNBDD015_CSV File 1m Bins</v>
      </c>
      <c r="E4539" t="s">
        <v>2198</v>
      </c>
      <c r="F4539" t="str">
        <f t="shared" si="1"/>
        <v>Geol Survey Link</v>
      </c>
      <c r="I4539">
        <v>0</v>
      </c>
      <c r="J4539">
        <v>0</v>
      </c>
    </row>
    <row r="4540" spans="1:10" x14ac:dyDescent="0.25">
      <c r="A4540" t="str">
        <f>HYPERLINK("http://www.corstruth.com.au/NSW/GNBDD016_cs.png","GNBDD016_A4")</f>
        <v>GNBDD016_A4</v>
      </c>
      <c r="B4540" t="str">
        <f>HYPERLINK("http://www.corstruth.com.au/NSW/PNG2/GNBDD016_cs.png","GNBDD016_0.25m Bins")</f>
        <v>GNBDD016_0.25m Bins</v>
      </c>
      <c r="C4540" t="str">
        <f>HYPERLINK("http://www.corstruth.com.au/NSW/CSV/GNBDD016.csv","GNBDD016_CSV File 1m Bins")</f>
        <v>GNBDD016_CSV File 1m Bins</v>
      </c>
      <c r="E4540" t="s">
        <v>2198</v>
      </c>
      <c r="F4540" t="str">
        <f t="shared" si="1"/>
        <v>Geol Survey Link</v>
      </c>
      <c r="I4540">
        <v>0</v>
      </c>
      <c r="J4540">
        <v>0</v>
      </c>
    </row>
    <row r="4541" spans="1:10" x14ac:dyDescent="0.25">
      <c r="A4541" t="str">
        <f>HYPERLINK("http://www.corstruth.com.au/NSW/GNBDD017_cs.png","GNBDD017_A4")</f>
        <v>GNBDD017_A4</v>
      </c>
      <c r="B4541" t="str">
        <f>HYPERLINK("http://www.corstruth.com.au/NSW/PNG2/GNBDD017_cs.png","GNBDD017_0.25m Bins")</f>
        <v>GNBDD017_0.25m Bins</v>
      </c>
      <c r="C4541" t="str">
        <f>HYPERLINK("http://www.corstruth.com.au/NSW/CSV/GNBDD017.csv","GNBDD017_CSV File 1m Bins")</f>
        <v>GNBDD017_CSV File 1m Bins</v>
      </c>
      <c r="E4541" t="s">
        <v>2198</v>
      </c>
      <c r="F4541" t="str">
        <f t="shared" si="1"/>
        <v>Geol Survey Link</v>
      </c>
      <c r="I4541">
        <v>0</v>
      </c>
      <c r="J4541">
        <v>0</v>
      </c>
    </row>
    <row r="4542" spans="1:10" x14ac:dyDescent="0.25">
      <c r="A4542" t="str">
        <f>HYPERLINK("http://www.corstruth.com.au/NSW/GNBDD018_cs.png","GNBDD018_A4")</f>
        <v>GNBDD018_A4</v>
      </c>
      <c r="B4542" t="str">
        <f>HYPERLINK("http://www.corstruth.com.au/NSW/PNG2/GNBDD018_cs.png","GNBDD018_0.25m Bins")</f>
        <v>GNBDD018_0.25m Bins</v>
      </c>
      <c r="C4542" t="str">
        <f>HYPERLINK("http://www.corstruth.com.au/NSW/CSV/GNBDD018.csv","GNBDD018_CSV File 1m Bins")</f>
        <v>GNBDD018_CSV File 1m Bins</v>
      </c>
      <c r="E4542" t="s">
        <v>2198</v>
      </c>
      <c r="F4542" t="str">
        <f t="shared" si="1"/>
        <v>Geol Survey Link</v>
      </c>
      <c r="I4542">
        <v>0</v>
      </c>
      <c r="J4542">
        <v>0</v>
      </c>
    </row>
    <row r="4543" spans="1:10" x14ac:dyDescent="0.25">
      <c r="A4543" t="str">
        <f>HYPERLINK("http://www.corstruth.com.au/NSW/GNBDD019_cs.png","GNBDD019_A4")</f>
        <v>GNBDD019_A4</v>
      </c>
      <c r="B4543" t="str">
        <f>HYPERLINK("http://www.corstruth.com.au/NSW/PNG2/GNBDD019_cs.png","GNBDD019_0.25m Bins")</f>
        <v>GNBDD019_0.25m Bins</v>
      </c>
      <c r="C4543" t="str">
        <f>HYPERLINK("http://www.corstruth.com.au/NSW/CSV/GNBDD019.csv","GNBDD019_CSV File 1m Bins")</f>
        <v>GNBDD019_CSV File 1m Bins</v>
      </c>
      <c r="E4543" t="s">
        <v>2198</v>
      </c>
      <c r="F4543" t="str">
        <f t="shared" si="1"/>
        <v>Geol Survey Link</v>
      </c>
      <c r="I4543">
        <v>0</v>
      </c>
      <c r="J4543">
        <v>0</v>
      </c>
    </row>
    <row r="4544" spans="1:10" x14ac:dyDescent="0.25">
      <c r="A4544" t="str">
        <f>HYPERLINK("http://www.corstruth.com.au/NSW/GNBDD020_cs.png","GNBDD020_A4")</f>
        <v>GNBDD020_A4</v>
      </c>
      <c r="B4544" t="str">
        <f>HYPERLINK("http://www.corstruth.com.au/NSW/PNG2/GNBDD020_cs.png","GNBDD020_0.25m Bins")</f>
        <v>GNBDD020_0.25m Bins</v>
      </c>
      <c r="C4544" t="str">
        <f>HYPERLINK("http://www.corstruth.com.au/NSW/CSV/GNBDD020.csv","GNBDD020_CSV File 1m Bins")</f>
        <v>GNBDD020_CSV File 1m Bins</v>
      </c>
      <c r="E4544" t="s">
        <v>2198</v>
      </c>
      <c r="F4544" t="str">
        <f t="shared" si="1"/>
        <v>Geol Survey Link</v>
      </c>
      <c r="I4544">
        <v>0</v>
      </c>
      <c r="J4544">
        <v>0</v>
      </c>
    </row>
    <row r="4545" spans="1:10" x14ac:dyDescent="0.25">
      <c r="A4545" t="str">
        <f>HYPERLINK("http://www.corstruth.com.au/NSW/GNBDD021_cs.png","GNBDD021_A4")</f>
        <v>GNBDD021_A4</v>
      </c>
      <c r="B4545" t="str">
        <f>HYPERLINK("http://www.corstruth.com.au/NSW/PNG2/GNBDD021_cs.png","GNBDD021_0.25m Bins")</f>
        <v>GNBDD021_0.25m Bins</v>
      </c>
      <c r="C4545" t="str">
        <f>HYPERLINK("http://www.corstruth.com.au/NSW/CSV/GNBDD021.csv","GNBDD021_CSV File 1m Bins")</f>
        <v>GNBDD021_CSV File 1m Bins</v>
      </c>
      <c r="E4545" t="s">
        <v>2198</v>
      </c>
      <c r="F4545" t="str">
        <f t="shared" si="1"/>
        <v>Geol Survey Link</v>
      </c>
      <c r="I4545">
        <v>0</v>
      </c>
      <c r="J4545">
        <v>0</v>
      </c>
    </row>
    <row r="4546" spans="1:10" x14ac:dyDescent="0.25">
      <c r="A4546" t="str">
        <f>HYPERLINK("http://www.corstruth.com.au/NSW/GNBDD022_cs.png","GNBDD022_A4")</f>
        <v>GNBDD022_A4</v>
      </c>
      <c r="B4546" t="str">
        <f>HYPERLINK("http://www.corstruth.com.au/NSW/PNG2/GNBDD022_cs.png","GNBDD022_0.25m Bins")</f>
        <v>GNBDD022_0.25m Bins</v>
      </c>
      <c r="C4546" t="str">
        <f>HYPERLINK("http://www.corstruth.com.au/NSW/CSV/GNBDD022.csv","GNBDD022_CSV File 1m Bins")</f>
        <v>GNBDD022_CSV File 1m Bins</v>
      </c>
      <c r="E4546" t="s">
        <v>2198</v>
      </c>
      <c r="F4546" t="str">
        <f t="shared" si="1"/>
        <v>Geol Survey Link</v>
      </c>
      <c r="I4546">
        <v>0</v>
      </c>
      <c r="J4546">
        <v>0</v>
      </c>
    </row>
    <row r="4547" spans="1:10" x14ac:dyDescent="0.25">
      <c r="A4547" t="str">
        <f>HYPERLINK("http://www.corstruth.com.au/NSW/GNBDD023_cs.png","GNBDD023_A4")</f>
        <v>GNBDD023_A4</v>
      </c>
      <c r="B4547" t="str">
        <f>HYPERLINK("http://www.corstruth.com.au/NSW/PNG2/GNBDD023_cs.png","GNBDD023_0.25m Bins")</f>
        <v>GNBDD023_0.25m Bins</v>
      </c>
      <c r="C4547" t="str">
        <f>HYPERLINK("http://www.corstruth.com.au/NSW/CSV/GNBDD023.csv","GNBDD023_CSV File 1m Bins")</f>
        <v>GNBDD023_CSV File 1m Bins</v>
      </c>
      <c r="E4547" t="s">
        <v>2198</v>
      </c>
      <c r="F4547" t="str">
        <f t="shared" si="1"/>
        <v>Geol Survey Link</v>
      </c>
      <c r="I4547">
        <v>0</v>
      </c>
      <c r="J4547">
        <v>0</v>
      </c>
    </row>
    <row r="4548" spans="1:10" x14ac:dyDescent="0.25">
      <c r="A4548" t="str">
        <f>HYPERLINK("http://www.corstruth.com.au/NSW/GNBDD024_cs.png","GNBDD024_A4")</f>
        <v>GNBDD024_A4</v>
      </c>
      <c r="B4548" t="str">
        <f>HYPERLINK("http://www.corstruth.com.au/NSW/PNG2/GNBDD024_cs.png","GNBDD024_0.25m Bins")</f>
        <v>GNBDD024_0.25m Bins</v>
      </c>
      <c r="C4548" t="str">
        <f>HYPERLINK("http://www.corstruth.com.au/NSW/CSV/GNBDD024.csv","GNBDD024_CSV File 1m Bins")</f>
        <v>GNBDD024_CSV File 1m Bins</v>
      </c>
      <c r="E4548" t="s">
        <v>2198</v>
      </c>
      <c r="F4548" t="str">
        <f t="shared" si="1"/>
        <v>Geol Survey Link</v>
      </c>
      <c r="I4548">
        <v>0</v>
      </c>
      <c r="J4548">
        <v>0</v>
      </c>
    </row>
    <row r="4549" spans="1:10" x14ac:dyDescent="0.25">
      <c r="A4549" t="str">
        <f>HYPERLINK("http://www.corstruth.com.au/NSW/GNBDD025_cs.png","GNBDD025_A4")</f>
        <v>GNBDD025_A4</v>
      </c>
      <c r="B4549" t="str">
        <f>HYPERLINK("http://www.corstruth.com.au/NSW/PNG2/GNBDD025_cs.png","GNBDD025_0.25m Bins")</f>
        <v>GNBDD025_0.25m Bins</v>
      </c>
      <c r="C4549" t="str">
        <f>HYPERLINK("http://www.corstruth.com.au/NSW/CSV/GNBDD025.csv","GNBDD025_CSV File 1m Bins")</f>
        <v>GNBDD025_CSV File 1m Bins</v>
      </c>
      <c r="E4549" t="s">
        <v>2198</v>
      </c>
      <c r="F4549" t="str">
        <f t="shared" si="1"/>
        <v>Geol Survey Link</v>
      </c>
      <c r="I4549">
        <v>0</v>
      </c>
      <c r="J4549">
        <v>0</v>
      </c>
    </row>
    <row r="4550" spans="1:10" x14ac:dyDescent="0.25">
      <c r="A4550" t="str">
        <f>HYPERLINK("http://www.corstruth.com.au/NSW/GNBDD026_cs.png","GNBDD026_A4")</f>
        <v>GNBDD026_A4</v>
      </c>
      <c r="B4550" t="str">
        <f>HYPERLINK("http://www.corstruth.com.au/NSW/PNG2/GNBDD026_cs.png","GNBDD026_0.25m Bins")</f>
        <v>GNBDD026_0.25m Bins</v>
      </c>
      <c r="C4550" t="str">
        <f>HYPERLINK("http://www.corstruth.com.au/NSW/CSV/GNBDD026.csv","GNBDD026_CSV File 1m Bins")</f>
        <v>GNBDD026_CSV File 1m Bins</v>
      </c>
      <c r="E4550" t="s">
        <v>2198</v>
      </c>
      <c r="F4550" t="str">
        <f t="shared" si="1"/>
        <v>Geol Survey Link</v>
      </c>
      <c r="I4550">
        <v>0</v>
      </c>
      <c r="J4550">
        <v>0</v>
      </c>
    </row>
    <row r="4551" spans="1:10" x14ac:dyDescent="0.25">
      <c r="A4551" t="str">
        <f>HYPERLINK("http://www.corstruth.com.au/NSW/GNBDD027_cs.png","GNBDD027_A4")</f>
        <v>GNBDD027_A4</v>
      </c>
      <c r="B4551" t="str">
        <f>HYPERLINK("http://www.corstruth.com.au/NSW/PNG2/GNBDD027_cs.png","GNBDD027_0.25m Bins")</f>
        <v>GNBDD027_0.25m Bins</v>
      </c>
      <c r="C4551" t="str">
        <f>HYPERLINK("http://www.corstruth.com.au/NSW/CSV/GNBDD027.csv","GNBDD027_CSV File 1m Bins")</f>
        <v>GNBDD027_CSV File 1m Bins</v>
      </c>
      <c r="E4551" t="s">
        <v>2198</v>
      </c>
      <c r="F4551" t="str">
        <f t="shared" si="1"/>
        <v>Geol Survey Link</v>
      </c>
      <c r="I4551">
        <v>0</v>
      </c>
      <c r="J4551">
        <v>0</v>
      </c>
    </row>
    <row r="4552" spans="1:10" x14ac:dyDescent="0.25">
      <c r="A4552" t="str">
        <f>HYPERLINK("http://www.corstruth.com.au/NSW/GNBDD028_cs.png","GNBDD028_A4")</f>
        <v>GNBDD028_A4</v>
      </c>
      <c r="B4552" t="str">
        <f>HYPERLINK("http://www.corstruth.com.au/NSW/PNG2/GNBDD028_cs.png","GNBDD028_0.25m Bins")</f>
        <v>GNBDD028_0.25m Bins</v>
      </c>
      <c r="C4552" t="str">
        <f>HYPERLINK("http://www.corstruth.com.au/NSW/CSV/GNBDD028.csv","GNBDD028_CSV File 1m Bins")</f>
        <v>GNBDD028_CSV File 1m Bins</v>
      </c>
      <c r="E4552" t="s">
        <v>2198</v>
      </c>
      <c r="F4552" t="str">
        <f t="shared" si="1"/>
        <v>Geol Survey Link</v>
      </c>
      <c r="I4552">
        <v>0</v>
      </c>
      <c r="J4552">
        <v>0</v>
      </c>
    </row>
    <row r="4553" spans="1:10" x14ac:dyDescent="0.25">
      <c r="A4553" t="str">
        <f>HYPERLINK("http://www.corstruth.com.au/NSW/GNBDD029_cs.png","GNBDD029_A4")</f>
        <v>GNBDD029_A4</v>
      </c>
      <c r="B4553" t="str">
        <f>HYPERLINK("http://www.corstruth.com.au/NSW/PNG2/GNBDD029_cs.png","GNBDD029_0.25m Bins")</f>
        <v>GNBDD029_0.25m Bins</v>
      </c>
      <c r="C4553" t="str">
        <f>HYPERLINK("http://www.corstruth.com.au/NSW/CSV/GNBDD029.csv","GNBDD029_CSV File 1m Bins")</f>
        <v>GNBDD029_CSV File 1m Bins</v>
      </c>
      <c r="E4553" t="s">
        <v>2198</v>
      </c>
      <c r="F4553" t="str">
        <f t="shared" si="1"/>
        <v>Geol Survey Link</v>
      </c>
      <c r="I4553">
        <v>0</v>
      </c>
      <c r="J4553">
        <v>0</v>
      </c>
    </row>
    <row r="4554" spans="1:10" x14ac:dyDescent="0.25">
      <c r="A4554" t="str">
        <f>HYPERLINK("http://www.corstruth.com.au/NSW/GNBDD030_cs.png","GNBDD030_A4")</f>
        <v>GNBDD030_A4</v>
      </c>
      <c r="B4554" t="str">
        <f>HYPERLINK("http://www.corstruth.com.au/NSW/PNG2/GNBDD030_cs.png","GNBDD030_0.25m Bins")</f>
        <v>GNBDD030_0.25m Bins</v>
      </c>
      <c r="C4554" t="str">
        <f>HYPERLINK("http://www.corstruth.com.au/NSW/CSV/GNBDD030.csv","GNBDD030_CSV File 1m Bins")</f>
        <v>GNBDD030_CSV File 1m Bins</v>
      </c>
      <c r="E4554" t="s">
        <v>2198</v>
      </c>
      <c r="F4554" t="str">
        <f t="shared" si="1"/>
        <v>Geol Survey Link</v>
      </c>
      <c r="I4554">
        <v>0</v>
      </c>
      <c r="J4554">
        <v>0</v>
      </c>
    </row>
    <row r="4555" spans="1:10" x14ac:dyDescent="0.25">
      <c r="A4555" t="str">
        <f>HYPERLINK("http://www.corstruth.com.au/NSW/GNBDD031_cs.png","GNBDD031_A4")</f>
        <v>GNBDD031_A4</v>
      </c>
      <c r="B4555" t="str">
        <f>HYPERLINK("http://www.corstruth.com.au/NSW/PNG2/GNBDD031_cs.png","GNBDD031_0.25m Bins")</f>
        <v>GNBDD031_0.25m Bins</v>
      </c>
      <c r="C4555" t="str">
        <f>HYPERLINK("http://www.corstruth.com.au/NSW/CSV/GNBDD031.csv","GNBDD031_CSV File 1m Bins")</f>
        <v>GNBDD031_CSV File 1m Bins</v>
      </c>
      <c r="E4555" t="s">
        <v>2198</v>
      </c>
      <c r="F4555" t="str">
        <f t="shared" si="1"/>
        <v>Geol Survey Link</v>
      </c>
      <c r="I4555">
        <v>0</v>
      </c>
      <c r="J4555">
        <v>0</v>
      </c>
    </row>
    <row r="4556" spans="1:10" x14ac:dyDescent="0.25">
      <c r="A4556" t="str">
        <f>HYPERLINK("http://www.corstruth.com.au/NSW/GRDD01_cs.png","GRDD01_A4")</f>
        <v>GRDD01_A4</v>
      </c>
      <c r="B4556" t="str">
        <f>HYPERLINK("http://www.corstruth.com.au/NSW/PNG2/GRDD01_cs.png","GRDD01_0.25m Bins")</f>
        <v>GRDD01_0.25m Bins</v>
      </c>
      <c r="C4556" t="str">
        <f>HYPERLINK("http://www.corstruth.com.au/NSW/CSV/GRDD01.csv","GRDD01_CSV File 1m Bins")</f>
        <v>GRDD01_CSV File 1m Bins</v>
      </c>
      <c r="D4556" t="s">
        <v>2868</v>
      </c>
      <c r="E4556" t="s">
        <v>2198</v>
      </c>
      <c r="F4556" t="str">
        <f>HYPERLINK("http://dwh.geoscience.nsw.gov.au/CI/warehouse/raw/drillhole?project=&amp;site_id=GRDD01","Geol Survey Link")</f>
        <v>Geol Survey Link</v>
      </c>
      <c r="G4556" t="s">
        <v>2869</v>
      </c>
      <c r="I4556">
        <v>0</v>
      </c>
      <c r="J4556">
        <v>0</v>
      </c>
    </row>
    <row r="4557" spans="1:10" x14ac:dyDescent="0.25">
      <c r="A4557" t="str">
        <f>HYPERLINK("http://www.corstruth.com.au/NSW/GRDD02_cs.png","GRDD02_A4")</f>
        <v>GRDD02_A4</v>
      </c>
      <c r="B4557" t="str">
        <f>HYPERLINK("http://www.corstruth.com.au/NSW/PNG2/GRDD02_cs.png","GRDD02_0.25m Bins")</f>
        <v>GRDD02_0.25m Bins</v>
      </c>
      <c r="C4557" t="str">
        <f>HYPERLINK("http://www.corstruth.com.au/NSW/CSV/GRDD02.csv","GRDD02_CSV File 1m Bins")</f>
        <v>GRDD02_CSV File 1m Bins</v>
      </c>
      <c r="D4557" t="s">
        <v>2870</v>
      </c>
      <c r="E4557" t="s">
        <v>2198</v>
      </c>
      <c r="F4557" t="str">
        <f>HYPERLINK("http://dwh.geoscience.nsw.gov.au/CI/warehouse/raw/drillhole?project=&amp;site_id=GRDD02","Geol Survey Link")</f>
        <v>Geol Survey Link</v>
      </c>
      <c r="G4557" t="s">
        <v>2869</v>
      </c>
      <c r="I4557">
        <v>0</v>
      </c>
      <c r="J4557">
        <v>0</v>
      </c>
    </row>
    <row r="4558" spans="1:10" x14ac:dyDescent="0.25">
      <c r="A4558" t="str">
        <f>HYPERLINK("http://www.corstruth.com.au/NSW/GRDD03_cs.png","GRDD03_A4")</f>
        <v>GRDD03_A4</v>
      </c>
      <c r="B4558" t="str">
        <f>HYPERLINK("http://www.corstruth.com.au/NSW/PNG2/GRDD03_cs.png","GRDD03_0.25m Bins")</f>
        <v>GRDD03_0.25m Bins</v>
      </c>
      <c r="C4558" t="str">
        <f>HYPERLINK("http://www.corstruth.com.au/NSW/CSV/GRDD03.csv","GRDD03_CSV File 1m Bins")</f>
        <v>GRDD03_CSV File 1m Bins</v>
      </c>
      <c r="D4558" t="s">
        <v>2871</v>
      </c>
      <c r="E4558" t="s">
        <v>2198</v>
      </c>
      <c r="F4558" t="str">
        <f>HYPERLINK("http://dwh.geoscience.nsw.gov.au/CI/warehouse/raw/drillhole?project=&amp;site_id=GRDD03","Geol Survey Link")</f>
        <v>Geol Survey Link</v>
      </c>
      <c r="G4558" t="s">
        <v>2869</v>
      </c>
      <c r="I4558">
        <v>0</v>
      </c>
      <c r="J4558">
        <v>0</v>
      </c>
    </row>
    <row r="4559" spans="1:10" x14ac:dyDescent="0.25">
      <c r="A4559" t="str">
        <f>HYPERLINK("http://www.corstruth.com.au/NSW/GRDD04_cs.png","GRDD04_A4")</f>
        <v>GRDD04_A4</v>
      </c>
      <c r="B4559" t="str">
        <f>HYPERLINK("http://www.corstruth.com.au/NSW/PNG2/GRDD04_cs.png","GRDD04_0.25m Bins")</f>
        <v>GRDD04_0.25m Bins</v>
      </c>
      <c r="C4559" t="str">
        <f>HYPERLINK("http://www.corstruth.com.au/NSW/CSV/GRDD04.csv","GRDD04_CSV File 1m Bins")</f>
        <v>GRDD04_CSV File 1m Bins</v>
      </c>
      <c r="D4559" t="s">
        <v>2872</v>
      </c>
      <c r="E4559" t="s">
        <v>2198</v>
      </c>
      <c r="F4559" t="str">
        <f>HYPERLINK("http://dwh.geoscience.nsw.gov.au/CI/warehouse/raw/drillhole?project=&amp;site_id=GRDD04","Geol Survey Link")</f>
        <v>Geol Survey Link</v>
      </c>
      <c r="G4559" t="s">
        <v>2869</v>
      </c>
      <c r="I4559">
        <v>0</v>
      </c>
      <c r="J4559">
        <v>0</v>
      </c>
    </row>
    <row r="4560" spans="1:10" x14ac:dyDescent="0.25">
      <c r="A4560" t="str">
        <f>HYPERLINK("http://www.corstruth.com.au/NSW/GRDD05_cs.png","GRDD05_A4")</f>
        <v>GRDD05_A4</v>
      </c>
      <c r="B4560" t="str">
        <f>HYPERLINK("http://www.corstruth.com.au/NSW/PNG2/GRDD05_cs.png","GRDD05_0.25m Bins")</f>
        <v>GRDD05_0.25m Bins</v>
      </c>
      <c r="C4560" t="str">
        <f>HYPERLINK("http://www.corstruth.com.au/NSW/CSV/GRDD05.csv","GRDD05_CSV File 1m Bins")</f>
        <v>GRDD05_CSV File 1m Bins</v>
      </c>
      <c r="D4560" t="s">
        <v>2873</v>
      </c>
      <c r="E4560" t="s">
        <v>2198</v>
      </c>
      <c r="F4560" t="str">
        <f>HYPERLINK("http://dwh.geoscience.nsw.gov.au/CI/warehouse/raw/drillhole?project=&amp;site_id=GRDD05","Geol Survey Link")</f>
        <v>Geol Survey Link</v>
      </c>
      <c r="G4560" t="s">
        <v>2869</v>
      </c>
      <c r="I4560">
        <v>0</v>
      </c>
      <c r="J4560">
        <v>0</v>
      </c>
    </row>
    <row r="4561" spans="1:10" x14ac:dyDescent="0.25">
      <c r="A4561" t="str">
        <f>HYPERLINK("http://www.corstruth.com.au/NSW/GRDD06_cs.png","GRDD06_A4")</f>
        <v>GRDD06_A4</v>
      </c>
      <c r="B4561" t="str">
        <f>HYPERLINK("http://www.corstruth.com.au/NSW/PNG2/GRDD06_cs.png","GRDD06_0.25m Bins")</f>
        <v>GRDD06_0.25m Bins</v>
      </c>
      <c r="C4561" t="str">
        <f>HYPERLINK("http://www.corstruth.com.au/NSW/CSV/GRDD06.csv","GRDD06_CSV File 1m Bins")</f>
        <v>GRDD06_CSV File 1m Bins</v>
      </c>
      <c r="D4561" t="s">
        <v>2874</v>
      </c>
      <c r="E4561" t="s">
        <v>2198</v>
      </c>
      <c r="F4561" t="str">
        <f>HYPERLINK("http://dwh.geoscience.nsw.gov.au/CI/warehouse/raw/drillhole?project=&amp;site_id=GRDD06","Geol Survey Link")</f>
        <v>Geol Survey Link</v>
      </c>
      <c r="G4561" t="s">
        <v>2869</v>
      </c>
      <c r="I4561">
        <v>0</v>
      </c>
      <c r="J4561">
        <v>0</v>
      </c>
    </row>
    <row r="4562" spans="1:10" x14ac:dyDescent="0.25">
      <c r="A4562" t="str">
        <f>HYPERLINK("http://www.corstruth.com.au/NSW/GRDD07_cs.png","GRDD07_A4")</f>
        <v>GRDD07_A4</v>
      </c>
      <c r="B4562" t="str">
        <f>HYPERLINK("http://www.corstruth.com.au/NSW/PNG2/GRDD07_cs.png","GRDD07_0.25m Bins")</f>
        <v>GRDD07_0.25m Bins</v>
      </c>
      <c r="C4562" t="str">
        <f>HYPERLINK("http://www.corstruth.com.au/NSW/CSV/GRDD07.csv","GRDD07_CSV File 1m Bins")</f>
        <v>GRDD07_CSV File 1m Bins</v>
      </c>
      <c r="D4562" t="s">
        <v>2875</v>
      </c>
      <c r="E4562" t="s">
        <v>2198</v>
      </c>
      <c r="F4562" t="str">
        <f>HYPERLINK("http://dwh.geoscience.nsw.gov.au/CI/warehouse/raw/drillhole?project=&amp;site_id=GRDD07","Geol Survey Link")</f>
        <v>Geol Survey Link</v>
      </c>
      <c r="G4562" t="s">
        <v>2876</v>
      </c>
      <c r="I4562">
        <v>0</v>
      </c>
      <c r="J4562">
        <v>0</v>
      </c>
    </row>
    <row r="4563" spans="1:10" x14ac:dyDescent="0.25">
      <c r="A4563" t="str">
        <f>HYPERLINK("http://www.corstruth.com.au/NSW/GRRC03_cs.png","GRRC03_A4")</f>
        <v>GRRC03_A4</v>
      </c>
      <c r="B4563" t="str">
        <f>HYPERLINK("http://www.corstruth.com.au/NSW/PNG2/GRRC03_cs.png","GRRC03_0.25m Bins")</f>
        <v>GRRC03_0.25m Bins</v>
      </c>
      <c r="C4563" t="str">
        <f>HYPERLINK("http://www.corstruth.com.au/NSW/CSV/GRRC03.csv","GRRC03_CSV File 1m Bins")</f>
        <v>GRRC03_CSV File 1m Bins</v>
      </c>
      <c r="D4563" t="s">
        <v>2877</v>
      </c>
      <c r="E4563" t="s">
        <v>2198</v>
      </c>
      <c r="F4563" t="str">
        <f>HYPERLINK("http://dwh.geoscience.nsw.gov.au/CI/warehouse/raw/drillhole?project=&amp;site_id=GRRC03","Geol Survey Link")</f>
        <v>Geol Survey Link</v>
      </c>
      <c r="G4563" t="s">
        <v>2878</v>
      </c>
      <c r="I4563">
        <v>0</v>
      </c>
      <c r="J4563">
        <v>0</v>
      </c>
    </row>
    <row r="4564" spans="1:10" x14ac:dyDescent="0.25">
      <c r="A4564" t="str">
        <f>HYPERLINK("http://www.corstruth.com.au/NSW/GRUD0125_cs.png","GRUD0125_A4")</f>
        <v>GRUD0125_A4</v>
      </c>
      <c r="B4564" t="str">
        <f>HYPERLINK("http://www.corstruth.com.au/NSW/PNG2/GRUD0125_cs.png","GRUD0125_0.25m Bins")</f>
        <v>GRUD0125_0.25m Bins</v>
      </c>
      <c r="C4564" t="str">
        <f>HYPERLINK("http://www.corstruth.com.au/NSW/CSV/GRUD0125.csv","GRUD0125_CSV File 1m Bins")</f>
        <v>GRUD0125_CSV File 1m Bins</v>
      </c>
      <c r="E4564" t="s">
        <v>2198</v>
      </c>
      <c r="F4564" t="str">
        <f t="shared" ref="F4564:F4569" si="2">HYPERLINK("http://dwh.geoscience.nsw.gov.au/CI/warehouse/raw/drillhole?project=&amp;site_id=","Geol Survey Link")</f>
        <v>Geol Survey Link</v>
      </c>
      <c r="G4564" t="s">
        <v>2738</v>
      </c>
      <c r="I4564">
        <v>0</v>
      </c>
      <c r="J4564">
        <v>0</v>
      </c>
    </row>
    <row r="4565" spans="1:10" x14ac:dyDescent="0.25">
      <c r="A4565" t="str">
        <f>HYPERLINK("http://www.corstruth.com.au/NSW/GRUD0146_cs.png","GRUD0146_A4")</f>
        <v>GRUD0146_A4</v>
      </c>
      <c r="B4565" t="str">
        <f>HYPERLINK("http://www.corstruth.com.au/NSW/PNG2/GRUD0146_cs.png","GRUD0146_0.25m Bins")</f>
        <v>GRUD0146_0.25m Bins</v>
      </c>
      <c r="C4565" t="str">
        <f>HYPERLINK("http://www.corstruth.com.au/NSW/CSV/GRUD0146.csv","GRUD0146_CSV File 1m Bins")</f>
        <v>GRUD0146_CSV File 1m Bins</v>
      </c>
      <c r="E4565" t="s">
        <v>2198</v>
      </c>
      <c r="F4565" t="str">
        <f t="shared" si="2"/>
        <v>Geol Survey Link</v>
      </c>
      <c r="G4565" t="s">
        <v>2738</v>
      </c>
      <c r="I4565">
        <v>0</v>
      </c>
      <c r="J4565">
        <v>0</v>
      </c>
    </row>
    <row r="4566" spans="1:10" x14ac:dyDescent="0.25">
      <c r="A4566" t="str">
        <f>HYPERLINK("http://www.corstruth.com.au/NSW/GRUD0147_cs.png","GRUD0147_A4")</f>
        <v>GRUD0147_A4</v>
      </c>
      <c r="B4566" t="str">
        <f>HYPERLINK("http://www.corstruth.com.au/NSW/PNG2/GRUD0147_cs.png","GRUD0147_0.25m Bins")</f>
        <v>GRUD0147_0.25m Bins</v>
      </c>
      <c r="C4566" t="str">
        <f>HYPERLINK("http://www.corstruth.com.au/NSW/CSV/GRUD0147.csv","GRUD0147_CSV File 1m Bins")</f>
        <v>GRUD0147_CSV File 1m Bins</v>
      </c>
      <c r="E4566" t="s">
        <v>2198</v>
      </c>
      <c r="F4566" t="str">
        <f t="shared" si="2"/>
        <v>Geol Survey Link</v>
      </c>
      <c r="G4566" t="s">
        <v>2738</v>
      </c>
      <c r="I4566">
        <v>0</v>
      </c>
      <c r="J4566">
        <v>0</v>
      </c>
    </row>
    <row r="4567" spans="1:10" x14ac:dyDescent="0.25">
      <c r="A4567" t="str">
        <f>HYPERLINK("http://www.corstruth.com.au/NSW/GRUD0172_cs.png","GRUD0172_A4")</f>
        <v>GRUD0172_A4</v>
      </c>
      <c r="B4567" t="str">
        <f>HYPERLINK("http://www.corstruth.com.au/NSW/PNG2/GRUD0172_cs.png","GRUD0172_0.25m Bins")</f>
        <v>GRUD0172_0.25m Bins</v>
      </c>
      <c r="C4567" t="str">
        <f>HYPERLINK("http://www.corstruth.com.au/NSW/CSV/GRUD0172.csv","GRUD0172_CSV File 1m Bins")</f>
        <v>GRUD0172_CSV File 1m Bins</v>
      </c>
      <c r="E4567" t="s">
        <v>2198</v>
      </c>
      <c r="F4567" t="str">
        <f t="shared" si="2"/>
        <v>Geol Survey Link</v>
      </c>
      <c r="G4567" t="s">
        <v>2738</v>
      </c>
      <c r="I4567">
        <v>0</v>
      </c>
      <c r="J4567">
        <v>0</v>
      </c>
    </row>
    <row r="4568" spans="1:10" x14ac:dyDescent="0.25">
      <c r="A4568" t="str">
        <f>HYPERLINK("http://www.corstruth.com.au/NSW/GRUD0207_cs.png","GRUD0207_A4")</f>
        <v>GRUD0207_A4</v>
      </c>
      <c r="B4568" t="str">
        <f>HYPERLINK("http://www.corstruth.com.au/NSW/PNG2/GRUD0207_cs.png","GRUD0207_0.25m Bins")</f>
        <v>GRUD0207_0.25m Bins</v>
      </c>
      <c r="C4568" t="str">
        <f>HYPERLINK("http://www.corstruth.com.au/NSW/CSV/GRUD0207.csv","GRUD0207_CSV File 1m Bins")</f>
        <v>GRUD0207_CSV File 1m Bins</v>
      </c>
      <c r="E4568" t="s">
        <v>2198</v>
      </c>
      <c r="F4568" t="str">
        <f t="shared" si="2"/>
        <v>Geol Survey Link</v>
      </c>
      <c r="G4568" t="s">
        <v>2738</v>
      </c>
      <c r="I4568">
        <v>0</v>
      </c>
      <c r="J4568">
        <v>0</v>
      </c>
    </row>
    <row r="4569" spans="1:10" x14ac:dyDescent="0.25">
      <c r="A4569" t="str">
        <f>HYPERLINK("http://www.corstruth.com.au/NSW/GRUD0241_cs.png","GRUD0241_A4")</f>
        <v>GRUD0241_A4</v>
      </c>
      <c r="B4569" t="str">
        <f>HYPERLINK("http://www.corstruth.com.au/NSW/PNG2/GRUD0241_cs.png","GRUD0241_0.25m Bins")</f>
        <v>GRUD0241_0.25m Bins</v>
      </c>
      <c r="C4569" t="str">
        <f>HYPERLINK("http://www.corstruth.com.au/NSW/CSV/GRUD0241.csv","GRUD0241_CSV File 1m Bins")</f>
        <v>GRUD0241_CSV File 1m Bins</v>
      </c>
      <c r="E4569" t="s">
        <v>2198</v>
      </c>
      <c r="F4569" t="str">
        <f t="shared" si="2"/>
        <v>Geol Survey Link</v>
      </c>
      <c r="G4569" t="s">
        <v>2879</v>
      </c>
      <c r="I4569">
        <v>0</v>
      </c>
      <c r="J4569">
        <v>0</v>
      </c>
    </row>
    <row r="4570" spans="1:10" x14ac:dyDescent="0.25">
      <c r="A4570" t="str">
        <f>HYPERLINK("http://www.corstruth.com.au/NSW/GSRD054_cs.png","GSRD054_A4")</f>
        <v>GSRD054_A4</v>
      </c>
      <c r="B4570" t="str">
        <f>HYPERLINK("http://www.corstruth.com.au/NSW/PNG2/GSRD054_cs.png","GSRD054_0.25m Bins")</f>
        <v>GSRD054_0.25m Bins</v>
      </c>
      <c r="C4570" t="str">
        <f>HYPERLINK("http://www.corstruth.com.au/NSW/CSV/GSRD054.csv","GSRD054_CSV File 1m Bins")</f>
        <v>GSRD054_CSV File 1m Bins</v>
      </c>
      <c r="D4570" t="s">
        <v>2880</v>
      </c>
      <c r="E4570" t="s">
        <v>2198</v>
      </c>
      <c r="F4570" t="str">
        <f>HYPERLINK("http://dwh.geoscience.nsw.gov.au/CI/warehouse/raw/drillhole?project=&amp;site_id=GSRD054","Geol Survey Link")</f>
        <v>Geol Survey Link</v>
      </c>
      <c r="G4570" t="s">
        <v>2814</v>
      </c>
      <c r="I4570">
        <v>0</v>
      </c>
      <c r="J4570">
        <v>0</v>
      </c>
    </row>
    <row r="4571" spans="1:10" x14ac:dyDescent="0.25">
      <c r="A4571" t="str">
        <f>HYPERLINK("http://www.corstruth.com.au/NSW/GSRD073_cs.png","GSRD073_A4")</f>
        <v>GSRD073_A4</v>
      </c>
      <c r="B4571" t="str">
        <f>HYPERLINK("http://www.corstruth.com.au/NSW/PNG2/GSRD073_cs.png","GSRD073_0.25m Bins")</f>
        <v>GSRD073_0.25m Bins</v>
      </c>
      <c r="C4571" t="str">
        <f>HYPERLINK("http://www.corstruth.com.au/NSW/CSV/GSRD073.csv","GSRD073_CSV File 1m Bins")</f>
        <v>GSRD073_CSV File 1m Bins</v>
      </c>
      <c r="D4571" t="s">
        <v>2881</v>
      </c>
      <c r="E4571" t="s">
        <v>2198</v>
      </c>
      <c r="F4571" t="str">
        <f>HYPERLINK("http://dwh.geoscience.nsw.gov.au/CI/warehouse/raw/drillhole?project=&amp;site_id=GSRD073","Geol Survey Link")</f>
        <v>Geol Survey Link</v>
      </c>
      <c r="G4571" t="s">
        <v>2814</v>
      </c>
      <c r="I4571">
        <v>0</v>
      </c>
      <c r="J4571">
        <v>0</v>
      </c>
    </row>
    <row r="4572" spans="1:10" x14ac:dyDescent="0.25">
      <c r="A4572" t="str">
        <f>HYPERLINK("http://www.corstruth.com.au/NSW/GXD001_cs.png","GXD001_A4")</f>
        <v>GXD001_A4</v>
      </c>
      <c r="B4572" t="str">
        <f>HYPERLINK("http://www.corstruth.com.au/NSW/PNG2/GXD001_cs.png","GXD001_0.25m Bins")</f>
        <v>GXD001_0.25m Bins</v>
      </c>
      <c r="C4572" t="str">
        <f>HYPERLINK("http://www.corstruth.com.au/NSW/CSV/GXD001.csv","GXD001_CSV File 1m Bins")</f>
        <v>GXD001_CSV File 1m Bins</v>
      </c>
      <c r="D4572" t="s">
        <v>2882</v>
      </c>
      <c r="E4572" t="s">
        <v>2198</v>
      </c>
      <c r="F4572" t="str">
        <f>HYPERLINK("http://dwh.geoscience.nsw.gov.au/CI/warehouse/raw/drillhole?project=&amp;site_id=GXD001","Geol Survey Link")</f>
        <v>Geol Survey Link</v>
      </c>
      <c r="G4572" t="s">
        <v>2883</v>
      </c>
      <c r="I4572">
        <v>0</v>
      </c>
      <c r="J4572">
        <v>0</v>
      </c>
    </row>
    <row r="4573" spans="1:10" x14ac:dyDescent="0.25">
      <c r="A4573" t="str">
        <f>HYPERLINK("http://www.corstruth.com.au/NSW/HRD003_L1C_cs.png","HRD003 L1C_A4")</f>
        <v>HRD003 L1C_A4</v>
      </c>
      <c r="B4573" t="str">
        <f>HYPERLINK("http://www.corstruth.com.au/NSW/PNG2/HRD003_L1C_cs.png","HRD003 L1C_0.25m Bins")</f>
        <v>HRD003 L1C_0.25m Bins</v>
      </c>
      <c r="C4573" t="str">
        <f>HYPERLINK("http://www.corstruth.com.au/NSW/CSV/HRD003_L1C.csv","HRD003 L1C_CSV File 1m Bins")</f>
        <v>HRD003 L1C_CSV File 1m Bins</v>
      </c>
      <c r="D4573" t="s">
        <v>2884</v>
      </c>
      <c r="E4573" t="s">
        <v>2198</v>
      </c>
      <c r="F4573" t="str">
        <f>HYPERLINK("http://dwh.geoscience.nsw.gov.au/CI/warehouse/raw/drillhole?project=&amp;site_id=HRD003","Geol Survey Link")</f>
        <v>Geol Survey Link</v>
      </c>
      <c r="G4573" t="s">
        <v>2885</v>
      </c>
      <c r="I4573">
        <v>0</v>
      </c>
      <c r="J4573">
        <v>0</v>
      </c>
    </row>
    <row r="4574" spans="1:10" x14ac:dyDescent="0.25">
      <c r="A4574" t="str">
        <f>HYPERLINK("http://www.corstruth.com.au/NSW/HRD019_L1F_cs.png","HRD019 L1F_A4")</f>
        <v>HRD019 L1F_A4</v>
      </c>
      <c r="B4574" t="str">
        <f>HYPERLINK("http://www.corstruth.com.au/NSW/PNG2/HRD019_L1F_cs.png","HRD019 L1F_0.25m Bins")</f>
        <v>HRD019 L1F_0.25m Bins</v>
      </c>
      <c r="C4574" t="str">
        <f>HYPERLINK("http://www.corstruth.com.au/NSW/CSV/HRD019_L1F.csv","HRD019 L1F_CSV File 1m Bins")</f>
        <v>HRD019 L1F_CSV File 1m Bins</v>
      </c>
      <c r="D4574" t="s">
        <v>2886</v>
      </c>
      <c r="E4574" t="s">
        <v>2198</v>
      </c>
      <c r="F4574" t="str">
        <f>HYPERLINK("http://dwh.geoscience.nsw.gov.au/CI/warehouse/raw/drillhole?project=&amp;site_id=HRD019","Geol Survey Link")</f>
        <v>Geol Survey Link</v>
      </c>
      <c r="G4574" t="s">
        <v>2637</v>
      </c>
      <c r="I4574">
        <v>0</v>
      </c>
      <c r="J4574">
        <v>0</v>
      </c>
    </row>
    <row r="4575" spans="1:10" x14ac:dyDescent="0.25">
      <c r="A4575" t="str">
        <f>HYPERLINK("http://www.corstruth.com.au/NSW/Hampton1_RC_cs.png","Hampton1_RC_A4")</f>
        <v>Hampton1_RC_A4</v>
      </c>
      <c r="B4575" t="str">
        <f>HYPERLINK("http://www.corstruth.com.au/NSW/PNG2/Hampton1_RC_cs.png","Hampton1_RC_0.25m Bins")</f>
        <v>Hampton1_RC_0.25m Bins</v>
      </c>
      <c r="C4575" t="str">
        <f>HYPERLINK("http://www.corstruth.com.au/NSW/CSV/Hampton1_RC.csv","Hampton1_RC_CSV File 1m Bins")</f>
        <v>Hampton1_RC_CSV File 1m Bins</v>
      </c>
      <c r="E4575" t="s">
        <v>2198</v>
      </c>
      <c r="F4575" t="str">
        <f>HYPERLINK("http://dwh.geoscience.nsw.gov.au/CI/warehouse/raw/drillhole?project=&amp;site_id=","Geol Survey Link")</f>
        <v>Geol Survey Link</v>
      </c>
      <c r="I4575">
        <v>0</v>
      </c>
      <c r="J4575">
        <v>0</v>
      </c>
    </row>
    <row r="4576" spans="1:10" x14ac:dyDescent="0.25">
      <c r="A4576" t="str">
        <f>HYPERLINK("http://www.corstruth.com.au/NSW/KB1_cs.png","KB1_A4")</f>
        <v>KB1_A4</v>
      </c>
      <c r="B4576" t="str">
        <f>HYPERLINK("http://www.corstruth.com.au/NSW/PNG2/KB1_cs.png","KB1_0.25m Bins")</f>
        <v>KB1_0.25m Bins</v>
      </c>
      <c r="C4576" t="str">
        <f>HYPERLINK("http://www.corstruth.com.au/NSW/CSV/KB1.csv","KB1_CSV File 1m Bins")</f>
        <v>KB1_CSV File 1m Bins</v>
      </c>
      <c r="D4576" t="s">
        <v>2887</v>
      </c>
      <c r="E4576" t="s">
        <v>2198</v>
      </c>
      <c r="F4576" t="str">
        <f>HYPERLINK("http://dwh.geoscience.nsw.gov.au/CI/warehouse/raw/drillhole?project=&amp;site_id=KB1","Geol Survey Link")</f>
        <v>Geol Survey Link</v>
      </c>
      <c r="G4576" t="s">
        <v>2869</v>
      </c>
      <c r="I4576">
        <v>0</v>
      </c>
      <c r="J4576">
        <v>0</v>
      </c>
    </row>
    <row r="4577" spans="1:10" x14ac:dyDescent="0.25">
      <c r="A4577" t="str">
        <f>HYPERLINK("http://www.corstruth.com.au/NSW/KD1_cs.png","KD1_A4")</f>
        <v>KD1_A4</v>
      </c>
      <c r="B4577" t="str">
        <f>HYPERLINK("http://www.corstruth.com.au/NSW/PNG2/KD1_cs.png","KD1_0.25m Bins")</f>
        <v>KD1_0.25m Bins</v>
      </c>
      <c r="C4577" t="str">
        <f>HYPERLINK("http://www.corstruth.com.au/NSW/CSV/KD1.csv","KD1_CSV File 1m Bins")</f>
        <v>KD1_CSV File 1m Bins</v>
      </c>
      <c r="D4577" t="s">
        <v>2888</v>
      </c>
      <c r="E4577" t="s">
        <v>2198</v>
      </c>
      <c r="F4577" t="str">
        <f>HYPERLINK("http://dwh.geoscience.nsw.gov.au/CI/warehouse/raw/drillhole?project=&amp;site_id=KD-1","Geol Survey Link")</f>
        <v>Geol Survey Link</v>
      </c>
      <c r="G4577" t="s">
        <v>2889</v>
      </c>
      <c r="I4577">
        <v>0</v>
      </c>
      <c r="J4577">
        <v>0</v>
      </c>
    </row>
    <row r="4578" spans="1:10" x14ac:dyDescent="0.25">
      <c r="A4578" t="str">
        <f>HYPERLINK("http://www.corstruth.com.au/NSW/KD2_cs.png","KD2_A4")</f>
        <v>KD2_A4</v>
      </c>
      <c r="B4578" t="str">
        <f>HYPERLINK("http://www.corstruth.com.au/NSW/PNG2/KD2_cs.png","KD2_0.25m Bins")</f>
        <v>KD2_0.25m Bins</v>
      </c>
      <c r="C4578" t="str">
        <f>HYPERLINK("http://www.corstruth.com.au/NSW/CSV/KD2.csv","KD2_CSV File 1m Bins")</f>
        <v>KD2_CSV File 1m Bins</v>
      </c>
      <c r="D4578" t="s">
        <v>2890</v>
      </c>
      <c r="E4578" t="s">
        <v>2198</v>
      </c>
      <c r="F4578" t="str">
        <f>HYPERLINK("http://dwh.geoscience.nsw.gov.au/CI/warehouse/raw/drillhole?project=&amp;site_id=KD-2","Geol Survey Link")</f>
        <v>Geol Survey Link</v>
      </c>
      <c r="G4578" t="s">
        <v>2889</v>
      </c>
      <c r="I4578">
        <v>0</v>
      </c>
      <c r="J4578">
        <v>0</v>
      </c>
    </row>
    <row r="4579" spans="1:10" x14ac:dyDescent="0.25">
      <c r="A4579" t="str">
        <f>HYPERLINK("http://www.corstruth.com.au/NSW/L5_cs.png","L5_A4")</f>
        <v>L5_A4</v>
      </c>
      <c r="B4579" t="str">
        <f>HYPERLINK("http://www.corstruth.com.au/NSW/PNG2/L5_cs.png","L5_0.25m Bins")</f>
        <v>L5_0.25m Bins</v>
      </c>
      <c r="C4579" t="str">
        <f>HYPERLINK("http://www.corstruth.com.au/NSW/CSV/L5.csv","L5_CSV File 1m Bins")</f>
        <v>L5_CSV File 1m Bins</v>
      </c>
      <c r="E4579" t="s">
        <v>2198</v>
      </c>
      <c r="F4579" t="str">
        <f>HYPERLINK("http://dwh.geoscience.nsw.gov.au/CI/warehouse/raw/drillhole?project=&amp;site_id=","Geol Survey Link")</f>
        <v>Geol Survey Link</v>
      </c>
      <c r="G4579" t="s">
        <v>2739</v>
      </c>
      <c r="I4579">
        <v>0</v>
      </c>
      <c r="J4579">
        <v>0</v>
      </c>
    </row>
    <row r="4580" spans="1:10" x14ac:dyDescent="0.25">
      <c r="A4580" t="str">
        <f>HYPERLINK("http://www.corstruth.com.au/NSW/MGD1_cs.png","MGD1_A4")</f>
        <v>MGD1_A4</v>
      </c>
      <c r="B4580" t="str">
        <f>HYPERLINK("http://www.corstruth.com.au/NSW/PNG2/MGD1_cs.png","MGD1_0.25m Bins")</f>
        <v>MGD1_0.25m Bins</v>
      </c>
      <c r="C4580" t="str">
        <f>HYPERLINK("http://www.corstruth.com.au/NSW/CSV/MGD1.csv","MGD1_CSV File 1m Bins")</f>
        <v>MGD1_CSV File 1m Bins</v>
      </c>
      <c r="E4580" t="s">
        <v>2198</v>
      </c>
      <c r="F4580" t="str">
        <f>HYPERLINK("http://dwh.geoscience.nsw.gov.au/CI/warehouse/raw/drillhole?project=&amp;site_id=","Geol Survey Link")</f>
        <v>Geol Survey Link</v>
      </c>
      <c r="G4580" t="s">
        <v>2739</v>
      </c>
      <c r="I4580">
        <v>0</v>
      </c>
      <c r="J4580">
        <v>0</v>
      </c>
    </row>
    <row r="4581" spans="1:10" x14ac:dyDescent="0.25">
      <c r="A4581" t="str">
        <f>HYPERLINK("http://www.corstruth.com.au/NSW/MGD2_cs.png","MGD2_A4")</f>
        <v>MGD2_A4</v>
      </c>
      <c r="B4581" t="str">
        <f>HYPERLINK("http://www.corstruth.com.au/NSW/PNG2/MGD2_cs.png","MGD2_0.25m Bins")</f>
        <v>MGD2_0.25m Bins</v>
      </c>
      <c r="C4581" t="str">
        <f>HYPERLINK("http://www.corstruth.com.au/NSW/CSV/MGD2.csv","MGD2_CSV File 1m Bins")</f>
        <v>MGD2_CSV File 1m Bins</v>
      </c>
      <c r="E4581" t="s">
        <v>2198</v>
      </c>
      <c r="F4581" t="str">
        <f>HYPERLINK("http://dwh.geoscience.nsw.gov.au/CI/warehouse/raw/drillhole?project=&amp;site_id=","Geol Survey Link")</f>
        <v>Geol Survey Link</v>
      </c>
      <c r="G4581" t="s">
        <v>2891</v>
      </c>
      <c r="I4581">
        <v>0</v>
      </c>
      <c r="J4581">
        <v>0</v>
      </c>
    </row>
    <row r="4582" spans="1:10" x14ac:dyDescent="0.25">
      <c r="A4582" t="str">
        <f>HYPERLINK("http://www.corstruth.com.au/NSW/MKD29_cs.png","MKD29_A4")</f>
        <v>MKD29_A4</v>
      </c>
      <c r="B4582" t="str">
        <f>HYPERLINK("http://www.corstruth.com.au/NSW/PNG2/MKD29_cs.png","MKD29_0.25m Bins")</f>
        <v>MKD29_0.25m Bins</v>
      </c>
      <c r="C4582" t="str">
        <f>HYPERLINK("http://www.corstruth.com.au/NSW/CSV/MKD29.csv","MKD29_CSV File 1m Bins")</f>
        <v>MKD29_CSV File 1m Bins</v>
      </c>
      <c r="D4582" t="s">
        <v>2892</v>
      </c>
      <c r="E4582" t="s">
        <v>2198</v>
      </c>
      <c r="F4582" t="str">
        <f>HYPERLINK("http://dwh.geoscience.nsw.gov.au/CI/warehouse/raw/drillhole?project=&amp;site_id=MKD-29","Geol Survey Link")</f>
        <v>Geol Survey Link</v>
      </c>
      <c r="G4582" t="s">
        <v>2893</v>
      </c>
      <c r="I4582">
        <v>0</v>
      </c>
      <c r="J4582">
        <v>0</v>
      </c>
    </row>
    <row r="4583" spans="1:10" x14ac:dyDescent="0.25">
      <c r="A4583" t="str">
        <f>HYPERLINK("http://www.corstruth.com.au/NSW/MKD34_cs.png","MKD34_A4")</f>
        <v>MKD34_A4</v>
      </c>
      <c r="B4583" t="str">
        <f>HYPERLINK("http://www.corstruth.com.au/NSW/PNG2/MKD34_cs.png","MKD34_0.25m Bins")</f>
        <v>MKD34_0.25m Bins</v>
      </c>
      <c r="C4583" t="str">
        <f>HYPERLINK("http://www.corstruth.com.au/NSW/CSV/MKD34.csv","MKD34_CSV File 1m Bins")</f>
        <v>MKD34_CSV File 1m Bins</v>
      </c>
      <c r="D4583" t="s">
        <v>2894</v>
      </c>
      <c r="E4583" t="s">
        <v>2198</v>
      </c>
      <c r="F4583" t="str">
        <f>HYPERLINK("http://dwh.geoscience.nsw.gov.au/CI/warehouse/raw/drillhole?project=&amp;site_id=MKD34","Geol Survey Link")</f>
        <v>Geol Survey Link</v>
      </c>
      <c r="G4583" t="s">
        <v>2893</v>
      </c>
      <c r="I4583">
        <v>0</v>
      </c>
      <c r="J4583">
        <v>0</v>
      </c>
    </row>
    <row r="4584" spans="1:10" x14ac:dyDescent="0.25">
      <c r="A4584" t="str">
        <f>HYPERLINK("http://www.corstruth.com.au/NSW/MKD68_cs.png","MKD68_A4")</f>
        <v>MKD68_A4</v>
      </c>
      <c r="B4584" t="str">
        <f>HYPERLINK("http://www.corstruth.com.au/NSW/PNG2/MKD68_cs.png","MKD68_0.25m Bins")</f>
        <v>MKD68_0.25m Bins</v>
      </c>
      <c r="C4584" t="str">
        <f>HYPERLINK("http://www.corstruth.com.au/NSW/CSV/MKD68.csv","MKD68_CSV File 1m Bins")</f>
        <v>MKD68_CSV File 1m Bins</v>
      </c>
      <c r="D4584" t="s">
        <v>2895</v>
      </c>
      <c r="E4584" t="s">
        <v>2198</v>
      </c>
      <c r="F4584" t="str">
        <f>HYPERLINK("http://dwh.geoscience.nsw.gov.au/CI/warehouse/raw/drillhole?project=&amp;site_id=MKD68","Geol Survey Link")</f>
        <v>Geol Survey Link</v>
      </c>
      <c r="G4584" t="s">
        <v>2893</v>
      </c>
      <c r="I4584">
        <v>0</v>
      </c>
      <c r="J4584">
        <v>0</v>
      </c>
    </row>
    <row r="4585" spans="1:10" x14ac:dyDescent="0.25">
      <c r="A4585" t="str">
        <f>HYPERLINK("http://www.corstruth.com.au/NSW/MKD69_cs.png","MKD69_A4")</f>
        <v>MKD69_A4</v>
      </c>
      <c r="B4585" t="str">
        <f>HYPERLINK("http://www.corstruth.com.au/NSW/PNG2/MKD69_cs.png","MKD69_0.25m Bins")</f>
        <v>MKD69_0.25m Bins</v>
      </c>
      <c r="C4585" t="str">
        <f>HYPERLINK("http://www.corstruth.com.au/NSW/CSV/MKD69.csv","MKD69_CSV File 1m Bins")</f>
        <v>MKD69_CSV File 1m Bins</v>
      </c>
      <c r="D4585" t="s">
        <v>2896</v>
      </c>
      <c r="E4585" t="s">
        <v>2198</v>
      </c>
      <c r="F4585" t="str">
        <f>HYPERLINK("http://dwh.geoscience.nsw.gov.au/CI/warehouse/raw/drillhole?project=&amp;site_id=MKD69","Geol Survey Link")</f>
        <v>Geol Survey Link</v>
      </c>
      <c r="G4585" t="s">
        <v>2893</v>
      </c>
      <c r="I4585">
        <v>0</v>
      </c>
      <c r="J4585">
        <v>0</v>
      </c>
    </row>
    <row r="4586" spans="1:10" x14ac:dyDescent="0.25">
      <c r="A4586" t="str">
        <f>HYPERLINK("http://www.corstruth.com.au/NSW/MKD731_cs.png","MKD731_A4")</f>
        <v>MKD731_A4</v>
      </c>
      <c r="B4586" t="str">
        <f>HYPERLINK("http://www.corstruth.com.au/NSW/PNG2/MKD731_cs.png","MKD731_0.25m Bins")</f>
        <v>MKD731_0.25m Bins</v>
      </c>
      <c r="C4586" t="str">
        <f>HYPERLINK("http://www.corstruth.com.au/NSW/CSV/MKD731.csv","MKD731_CSV File 1m Bins")</f>
        <v>MKD731_CSV File 1m Bins</v>
      </c>
      <c r="D4586" t="s">
        <v>2897</v>
      </c>
      <c r="E4586" t="s">
        <v>2198</v>
      </c>
      <c r="F4586" t="str">
        <f>HYPERLINK("http://dwh.geoscience.nsw.gov.au/CI/warehouse/raw/drillhole?project=&amp;site_id=MKD731","Geol Survey Link")</f>
        <v>Geol Survey Link</v>
      </c>
      <c r="G4586" t="s">
        <v>2893</v>
      </c>
      <c r="I4586">
        <v>0</v>
      </c>
      <c r="J4586">
        <v>0</v>
      </c>
    </row>
    <row r="4587" spans="1:10" x14ac:dyDescent="0.25">
      <c r="A4587" t="str">
        <f>HYPERLINK("http://www.corstruth.com.au/NSW/NBH004_cs.png","NBH004_A4")</f>
        <v>NBH004_A4</v>
      </c>
      <c r="B4587" t="str">
        <f>HYPERLINK("http://www.corstruth.com.au/NSW/PNG2/NBH004_cs.png","NBH004_0.25m Bins")</f>
        <v>NBH004_0.25m Bins</v>
      </c>
      <c r="C4587" t="str">
        <f>HYPERLINK("http://www.corstruth.com.au/NSW/CSV/NBH004.csv","NBH004_CSV File 1m Bins")</f>
        <v>NBH004_CSV File 1m Bins</v>
      </c>
      <c r="D4587" t="s">
        <v>2898</v>
      </c>
      <c r="E4587" t="s">
        <v>2198</v>
      </c>
      <c r="F4587" t="str">
        <f>HYPERLINK("http://dwh.geoscience.nsw.gov.au/CI/warehouse/raw/drillhole?project=&amp;site_id=NBH004","Geol Survey Link")</f>
        <v>Geol Survey Link</v>
      </c>
      <c r="I4587">
        <v>0</v>
      </c>
      <c r="J4587">
        <v>0</v>
      </c>
    </row>
    <row r="4588" spans="1:10" x14ac:dyDescent="0.25">
      <c r="A4588" t="str">
        <f>HYPERLINK("http://www.corstruth.com.au/NSW/NBH005_cs.png","NBH005_A4")</f>
        <v>NBH005_A4</v>
      </c>
      <c r="B4588" t="str">
        <f>HYPERLINK("http://www.corstruth.com.au/NSW/PNG2/NBH005_cs.png","NBH005_0.25m Bins")</f>
        <v>NBH005_0.25m Bins</v>
      </c>
      <c r="C4588" t="str">
        <f>HYPERLINK("http://www.corstruth.com.au/NSW/CSV/NBH005.csv","NBH005_CSV File 1m Bins")</f>
        <v>NBH005_CSV File 1m Bins</v>
      </c>
      <c r="D4588" t="s">
        <v>2899</v>
      </c>
      <c r="E4588" t="s">
        <v>2198</v>
      </c>
      <c r="F4588" t="str">
        <f>HYPERLINK("http://dwh.geoscience.nsw.gov.au/CI/warehouse/raw/drillhole?project=&amp;site_id=NBH005","Geol Survey Link")</f>
        <v>Geol Survey Link</v>
      </c>
      <c r="I4588">
        <v>0</v>
      </c>
      <c r="J4588">
        <v>0</v>
      </c>
    </row>
    <row r="4589" spans="1:10" x14ac:dyDescent="0.25">
      <c r="A4589" t="str">
        <f>HYPERLINK("http://www.corstruth.com.au/NSW/NBH007_cs.png","NBH007_A4")</f>
        <v>NBH007_A4</v>
      </c>
      <c r="B4589" t="str">
        <f>HYPERLINK("http://www.corstruth.com.au/NSW/PNG2/NBH007_cs.png","NBH007_0.25m Bins")</f>
        <v>NBH007_0.25m Bins</v>
      </c>
      <c r="C4589" t="str">
        <f>HYPERLINK("http://www.corstruth.com.au/NSW/CSV/NBH007.csv","NBH007_CSV File 1m Bins")</f>
        <v>NBH007_CSV File 1m Bins</v>
      </c>
      <c r="D4589" t="s">
        <v>2900</v>
      </c>
      <c r="E4589" t="s">
        <v>2198</v>
      </c>
      <c r="F4589" t="str">
        <f>HYPERLINK("http://dwh.geoscience.nsw.gov.au/CI/warehouse/raw/drillhole?project=&amp;site_id=NBH007","Geol Survey Link")</f>
        <v>Geol Survey Link</v>
      </c>
      <c r="I4589">
        <v>0</v>
      </c>
      <c r="J4589">
        <v>0</v>
      </c>
    </row>
    <row r="4590" spans="1:10" x14ac:dyDescent="0.25">
      <c r="A4590" t="str">
        <f>HYPERLINK("http://www.corstruth.com.au/NSW/NBH009_cs.png","NBH009_A4")</f>
        <v>NBH009_A4</v>
      </c>
      <c r="B4590" t="str">
        <f>HYPERLINK("http://www.corstruth.com.au/NSW/PNG2/NBH009_cs.png","NBH009_0.25m Bins")</f>
        <v>NBH009_0.25m Bins</v>
      </c>
      <c r="C4590" t="str">
        <f>HYPERLINK("http://www.corstruth.com.au/NSW/CSV/NBH009.csv","NBH009_CSV File 1m Bins")</f>
        <v>NBH009_CSV File 1m Bins</v>
      </c>
      <c r="D4590" t="s">
        <v>2901</v>
      </c>
      <c r="E4590" t="s">
        <v>2198</v>
      </c>
      <c r="F4590" t="str">
        <f>HYPERLINK("http://dwh.geoscience.nsw.gov.au/CI/warehouse/raw/drillhole?project=&amp;site_id=NBH009","Geol Survey Link")</f>
        <v>Geol Survey Link</v>
      </c>
      <c r="I4590">
        <v>0</v>
      </c>
      <c r="J4590">
        <v>0</v>
      </c>
    </row>
    <row r="4591" spans="1:10" x14ac:dyDescent="0.25">
      <c r="A4591" t="str">
        <f>HYPERLINK("http://www.corstruth.com.au/NSW/NBH010_cs.png","NBH010_A4")</f>
        <v>NBH010_A4</v>
      </c>
      <c r="B4591" t="str">
        <f>HYPERLINK("http://www.corstruth.com.au/NSW/PNG2/NBH010_cs.png","NBH010_0.25m Bins")</f>
        <v>NBH010_0.25m Bins</v>
      </c>
      <c r="C4591" t="str">
        <f>HYPERLINK("http://www.corstruth.com.au/NSW/CSV/NBH010.csv","NBH010_CSV File 1m Bins")</f>
        <v>NBH010_CSV File 1m Bins</v>
      </c>
      <c r="D4591" t="s">
        <v>2902</v>
      </c>
      <c r="E4591" t="s">
        <v>2198</v>
      </c>
      <c r="F4591" t="str">
        <f>HYPERLINK("http://dwh.geoscience.nsw.gov.au/CI/warehouse/raw/drillhole?project=&amp;site_id=NBH010","Geol Survey Link")</f>
        <v>Geol Survey Link</v>
      </c>
      <c r="I4591">
        <v>0</v>
      </c>
      <c r="J4591">
        <v>0</v>
      </c>
    </row>
    <row r="4592" spans="1:10" x14ac:dyDescent="0.25">
      <c r="A4592" t="str">
        <f>HYPERLINK("http://www.corstruth.com.au/NSW/NBH011_cs.png","NBH011_A4")</f>
        <v>NBH011_A4</v>
      </c>
      <c r="B4592" t="str">
        <f>HYPERLINK("http://www.corstruth.com.au/NSW/PNG2/NBH011_cs.png","NBH011_0.25m Bins")</f>
        <v>NBH011_0.25m Bins</v>
      </c>
      <c r="C4592" t="str">
        <f>HYPERLINK("http://www.corstruth.com.au/NSW/CSV/NBH011.csv","NBH011_CSV File 1m Bins")</f>
        <v>NBH011_CSV File 1m Bins</v>
      </c>
      <c r="D4592" t="s">
        <v>2903</v>
      </c>
      <c r="E4592" t="s">
        <v>2198</v>
      </c>
      <c r="F4592" t="str">
        <f>HYPERLINK("http://dwh.geoscience.nsw.gov.au/CI/warehouse/raw/drillhole?project=&amp;site_id=NBH011","Geol Survey Link")</f>
        <v>Geol Survey Link</v>
      </c>
      <c r="I4592">
        <v>0</v>
      </c>
      <c r="J4592">
        <v>0</v>
      </c>
    </row>
    <row r="4593" spans="1:10" x14ac:dyDescent="0.25">
      <c r="A4593" t="str">
        <f>HYPERLINK("http://www.corstruth.com.au/NSW/NBH012_cs.png","NBH012_A4")</f>
        <v>NBH012_A4</v>
      </c>
      <c r="B4593" t="str">
        <f>HYPERLINK("http://www.corstruth.com.au/NSW/PNG2/NBH012_cs.png","NBH012_0.25m Bins")</f>
        <v>NBH012_0.25m Bins</v>
      </c>
      <c r="C4593" t="str">
        <f>HYPERLINK("http://www.corstruth.com.au/NSW/CSV/NBH012.csv","NBH012_CSV File 1m Bins")</f>
        <v>NBH012_CSV File 1m Bins</v>
      </c>
      <c r="D4593" t="s">
        <v>2904</v>
      </c>
      <c r="E4593" t="s">
        <v>2198</v>
      </c>
      <c r="F4593" t="str">
        <f>HYPERLINK("http://dwh.geoscience.nsw.gov.au/CI/warehouse/raw/drillhole?project=&amp;site_id=NBH012","Geol Survey Link")</f>
        <v>Geol Survey Link</v>
      </c>
      <c r="I4593">
        <v>0</v>
      </c>
      <c r="J4593">
        <v>0</v>
      </c>
    </row>
    <row r="4594" spans="1:10" x14ac:dyDescent="0.25">
      <c r="A4594" t="str">
        <f>HYPERLINK("http://www.corstruth.com.au/NSW/NC2_cs.png","NC2_A4")</f>
        <v>NC2_A4</v>
      </c>
      <c r="B4594" t="str">
        <f>HYPERLINK("http://www.corstruth.com.au/NSW/PNG2/NC2_cs.png","NC2_0.25m Bins")</f>
        <v>NC2_0.25m Bins</v>
      </c>
      <c r="C4594" t="str">
        <f>HYPERLINK("http://www.corstruth.com.au/NSW/CSV/NC2.csv","NC2_CSV File 1m Bins")</f>
        <v>NC2_CSV File 1m Bins</v>
      </c>
      <c r="D4594" t="s">
        <v>2905</v>
      </c>
      <c r="E4594" t="s">
        <v>2198</v>
      </c>
      <c r="F4594" t="str">
        <f>HYPERLINK("http://dwh.geoscience.nsw.gov.au/CI/warehouse/raw/drillhole?project=&amp;site_id=NC2","Geol Survey Link")</f>
        <v>Geol Survey Link</v>
      </c>
      <c r="I4594">
        <v>0</v>
      </c>
      <c r="J4594">
        <v>0</v>
      </c>
    </row>
    <row r="4595" spans="1:10" x14ac:dyDescent="0.25">
      <c r="A4595" t="str">
        <f>HYPERLINK("http://www.corstruth.com.au/NSW/NC6_cs.png","NC6_A4")</f>
        <v>NC6_A4</v>
      </c>
      <c r="B4595" t="str">
        <f>HYPERLINK("http://www.corstruth.com.au/NSW/PNG2/NC6_cs.png","NC6_0.25m Bins")</f>
        <v>NC6_0.25m Bins</v>
      </c>
      <c r="C4595" t="str">
        <f>HYPERLINK("http://www.corstruth.com.au/NSW/CSV/NC6.csv","NC6_CSV File 1m Bins")</f>
        <v>NC6_CSV File 1m Bins</v>
      </c>
      <c r="E4595" t="s">
        <v>2198</v>
      </c>
      <c r="F4595" t="str">
        <f t="shared" ref="F4595:F4613" si="3">HYPERLINK("http://dwh.geoscience.nsw.gov.au/CI/warehouse/raw/drillhole?project=&amp;site_id=","Geol Survey Link")</f>
        <v>Geol Survey Link</v>
      </c>
      <c r="G4595" t="s">
        <v>2739</v>
      </c>
      <c r="I4595">
        <v>0</v>
      </c>
      <c r="J4595">
        <v>0</v>
      </c>
    </row>
    <row r="4596" spans="1:10" x14ac:dyDescent="0.25">
      <c r="A4596" t="str">
        <f>HYPERLINK("http://www.corstruth.com.au/NSW/NDILLK01Chips_cs.png","NDILLK01Chips_A4")</f>
        <v>NDILLK01Chips_A4</v>
      </c>
      <c r="B4596" t="str">
        <f>HYPERLINK("http://www.corstruth.com.au/NSW/PNG2/NDILLK01Chips_cs.png","NDILLK01Chips_0.25m Bins")</f>
        <v>NDILLK01Chips_0.25m Bins</v>
      </c>
      <c r="C4596" t="str">
        <f>HYPERLINK("http://www.corstruth.com.au/NSW/CSV/NDILLK01Chips.csv","NDILLK01Chips_CSV File 1m Bins")</f>
        <v>NDILLK01Chips_CSV File 1m Bins</v>
      </c>
      <c r="E4596" t="s">
        <v>2198</v>
      </c>
      <c r="F4596" t="str">
        <f t="shared" si="3"/>
        <v>Geol Survey Link</v>
      </c>
      <c r="I4596">
        <v>0</v>
      </c>
      <c r="J4596">
        <v>0</v>
      </c>
    </row>
    <row r="4597" spans="1:10" x14ac:dyDescent="0.25">
      <c r="A4597" t="str">
        <f>HYPERLINK("http://www.corstruth.com.au/NSW/NDILLK02_RC_cs.png","NDILLK02_RC_A4")</f>
        <v>NDILLK02_RC_A4</v>
      </c>
      <c r="B4597" t="str">
        <f>HYPERLINK("http://www.corstruth.com.au/NSW/PNG2/NDILLK02_RC_cs.png","NDILLK02_RC_0.25m Bins")</f>
        <v>NDILLK02_RC_0.25m Bins</v>
      </c>
      <c r="C4597" t="str">
        <f>HYPERLINK("http://www.corstruth.com.au/NSW/CSV/NDILLK02_RC.csv","NDILLK02_RC_CSV File 1m Bins")</f>
        <v>NDILLK02_RC_CSV File 1m Bins</v>
      </c>
      <c r="E4597" t="s">
        <v>2198</v>
      </c>
      <c r="F4597" t="str">
        <f t="shared" si="3"/>
        <v>Geol Survey Link</v>
      </c>
      <c r="I4597">
        <v>0</v>
      </c>
      <c r="J4597">
        <v>0</v>
      </c>
    </row>
    <row r="4598" spans="1:10" x14ac:dyDescent="0.25">
      <c r="A4598" t="str">
        <f>HYPERLINK("http://www.corstruth.com.au/NSW/NDILLK03_RC_cs.png","NDILLK03_RC_A4")</f>
        <v>NDILLK03_RC_A4</v>
      </c>
      <c r="B4598" t="str">
        <f>HYPERLINK("http://www.corstruth.com.au/NSW/PNG2/NDILLK03_RC_cs.png","NDILLK03_RC_0.25m Bins")</f>
        <v>NDILLK03_RC_0.25m Bins</v>
      </c>
      <c r="C4598" t="str">
        <f>HYPERLINK("http://www.corstruth.com.au/NSW/CSV/NDILLK03_RC.csv","NDILLK03_RC_CSV File 1m Bins")</f>
        <v>NDILLK03_RC_CSV File 1m Bins</v>
      </c>
      <c r="E4598" t="s">
        <v>2198</v>
      </c>
      <c r="F4598" t="str">
        <f t="shared" si="3"/>
        <v>Geol Survey Link</v>
      </c>
      <c r="I4598">
        <v>0</v>
      </c>
      <c r="J4598">
        <v>0</v>
      </c>
    </row>
    <row r="4599" spans="1:10" x14ac:dyDescent="0.25">
      <c r="A4599" t="str">
        <f>HYPERLINK("http://www.corstruth.com.au/NSW/NDILLK04_RC_cs.png","NDILLK04_RC_A4")</f>
        <v>NDILLK04_RC_A4</v>
      </c>
      <c r="B4599" t="str">
        <f>HYPERLINK("http://www.corstruth.com.au/NSW/PNG2/NDILLK04_RC_cs.png","NDILLK04_RC_0.25m Bins")</f>
        <v>NDILLK04_RC_0.25m Bins</v>
      </c>
      <c r="C4599" t="str">
        <f>HYPERLINK("http://www.corstruth.com.au/NSW/CSV/NDILLK04_RC.csv","NDILLK04_RC_CSV File 1m Bins")</f>
        <v>NDILLK04_RC_CSV File 1m Bins</v>
      </c>
      <c r="E4599" t="s">
        <v>2198</v>
      </c>
      <c r="F4599" t="str">
        <f t="shared" si="3"/>
        <v>Geol Survey Link</v>
      </c>
      <c r="I4599">
        <v>0</v>
      </c>
      <c r="J4599">
        <v>0</v>
      </c>
    </row>
    <row r="4600" spans="1:10" x14ac:dyDescent="0.25">
      <c r="A4600" t="str">
        <f>HYPERLINK("http://www.corstruth.com.au/NSW/NDILLK05_RC_cs.png","NDILLK05_RC_A4")</f>
        <v>NDILLK05_RC_A4</v>
      </c>
      <c r="B4600" t="str">
        <f>HYPERLINK("http://www.corstruth.com.au/NSW/PNG2/NDILLK05_RC_cs.png","NDILLK05_RC_0.25m Bins")</f>
        <v>NDILLK05_RC_0.25m Bins</v>
      </c>
      <c r="C4600" t="str">
        <f>HYPERLINK("http://www.corstruth.com.au/NSW/CSV/NDILLK05_RC.csv","NDILLK05_RC_CSV File 1m Bins")</f>
        <v>NDILLK05_RC_CSV File 1m Bins</v>
      </c>
      <c r="E4600" t="s">
        <v>2198</v>
      </c>
      <c r="F4600" t="str">
        <f t="shared" si="3"/>
        <v>Geol Survey Link</v>
      </c>
      <c r="I4600">
        <v>0</v>
      </c>
      <c r="J4600">
        <v>0</v>
      </c>
    </row>
    <row r="4601" spans="1:10" x14ac:dyDescent="0.25">
      <c r="A4601" t="str">
        <f>HYPERLINK("http://www.corstruth.com.au/NSW/NDILLK06_RC_cs.png","NDILLK06_RC_A4")</f>
        <v>NDILLK06_RC_A4</v>
      </c>
      <c r="B4601" t="str">
        <f>HYPERLINK("http://www.corstruth.com.au/NSW/PNG2/NDILLK06_RC_cs.png","NDILLK06_RC_0.25m Bins")</f>
        <v>NDILLK06_RC_0.25m Bins</v>
      </c>
      <c r="C4601" t="str">
        <f>HYPERLINK("http://www.corstruth.com.au/NSW/CSV/NDILLK06_RC.csv","NDILLK06_RC_CSV File 1m Bins")</f>
        <v>NDILLK06_RC_CSV File 1m Bins</v>
      </c>
      <c r="E4601" t="s">
        <v>2198</v>
      </c>
      <c r="F4601" t="str">
        <f t="shared" si="3"/>
        <v>Geol Survey Link</v>
      </c>
      <c r="I4601">
        <v>0</v>
      </c>
      <c r="J4601">
        <v>0</v>
      </c>
    </row>
    <row r="4602" spans="1:10" x14ac:dyDescent="0.25">
      <c r="A4602" t="str">
        <f>HYPERLINK("http://www.corstruth.com.au/NSW/NDILLK07_RC_cs.png","NDILLK07_RC_A4")</f>
        <v>NDILLK07_RC_A4</v>
      </c>
      <c r="B4602" t="str">
        <f>HYPERLINK("http://www.corstruth.com.au/NSW/PNG2/NDILLK07_RC_cs.png","NDILLK07_RC_0.25m Bins")</f>
        <v>NDILLK07_RC_0.25m Bins</v>
      </c>
      <c r="C4602" t="str">
        <f>HYPERLINK("http://www.corstruth.com.au/NSW/CSV/NDILLK07_RC.csv","NDILLK07_RC_CSV File 1m Bins")</f>
        <v>NDILLK07_RC_CSV File 1m Bins</v>
      </c>
      <c r="E4602" t="s">
        <v>2198</v>
      </c>
      <c r="F4602" t="str">
        <f t="shared" si="3"/>
        <v>Geol Survey Link</v>
      </c>
      <c r="I4602">
        <v>0</v>
      </c>
      <c r="J4602">
        <v>0</v>
      </c>
    </row>
    <row r="4603" spans="1:10" x14ac:dyDescent="0.25">
      <c r="A4603" t="str">
        <f>HYPERLINK("http://www.corstruth.com.au/NSW/NDILLK08_RC_cs.png","NDILLK08_RC_A4")</f>
        <v>NDILLK08_RC_A4</v>
      </c>
      <c r="B4603" t="str">
        <f>HYPERLINK("http://www.corstruth.com.au/NSW/PNG2/NDILLK08_RC_cs.png","NDILLK08_RC_0.25m Bins")</f>
        <v>NDILLK08_RC_0.25m Bins</v>
      </c>
      <c r="C4603" t="str">
        <f>HYPERLINK("http://www.corstruth.com.au/NSW/CSV/NDILLK08_RC.csv","NDILLK08_RC_CSV File 1m Bins")</f>
        <v>NDILLK08_RC_CSV File 1m Bins</v>
      </c>
      <c r="E4603" t="s">
        <v>2198</v>
      </c>
      <c r="F4603" t="str">
        <f t="shared" si="3"/>
        <v>Geol Survey Link</v>
      </c>
      <c r="I4603">
        <v>0</v>
      </c>
      <c r="J4603">
        <v>0</v>
      </c>
    </row>
    <row r="4604" spans="1:10" x14ac:dyDescent="0.25">
      <c r="A4604" t="str">
        <f>HYPERLINK("http://www.corstruth.com.au/NSW/NDILLK09_RC_cs.png","NDILLK09_RC_A4")</f>
        <v>NDILLK09_RC_A4</v>
      </c>
      <c r="B4604" t="str">
        <f>HYPERLINK("http://www.corstruth.com.au/NSW/PNG2/NDILLK09_RC_cs.png","NDILLK09_RC_0.25m Bins")</f>
        <v>NDILLK09_RC_0.25m Bins</v>
      </c>
      <c r="C4604" t="str">
        <f>HYPERLINK("http://www.corstruth.com.au/NSW/CSV/NDILLK09_RC.csv","NDILLK09_RC_CSV File 1m Bins")</f>
        <v>NDILLK09_RC_CSV File 1m Bins</v>
      </c>
      <c r="E4604" t="s">
        <v>2198</v>
      </c>
      <c r="F4604" t="str">
        <f t="shared" si="3"/>
        <v>Geol Survey Link</v>
      </c>
      <c r="I4604">
        <v>0</v>
      </c>
      <c r="J4604">
        <v>0</v>
      </c>
    </row>
    <row r="4605" spans="1:10" x14ac:dyDescent="0.25">
      <c r="A4605" t="str">
        <f>HYPERLINK("http://www.corstruth.com.au/NSW/NDILLK10_RC_cs.png","NDILLK10_RC_A4")</f>
        <v>NDILLK10_RC_A4</v>
      </c>
      <c r="B4605" t="str">
        <f>HYPERLINK("http://www.corstruth.com.au/NSW/PNG2/NDILLK10_RC_cs.png","NDILLK10_RC_0.25m Bins")</f>
        <v>NDILLK10_RC_0.25m Bins</v>
      </c>
      <c r="C4605" t="str">
        <f>HYPERLINK("http://www.corstruth.com.au/NSW/CSV/NDILLK10_RC.csv","NDILLK10_RC_CSV File 1m Bins")</f>
        <v>NDILLK10_RC_CSV File 1m Bins</v>
      </c>
      <c r="E4605" t="s">
        <v>2198</v>
      </c>
      <c r="F4605" t="str">
        <f t="shared" si="3"/>
        <v>Geol Survey Link</v>
      </c>
      <c r="I4605">
        <v>0</v>
      </c>
      <c r="J4605">
        <v>0</v>
      </c>
    </row>
    <row r="4606" spans="1:10" x14ac:dyDescent="0.25">
      <c r="A4606" t="str">
        <f>HYPERLINK("http://www.corstruth.com.au/NSW/NDILLK11_RC_cs.png","NDILLK11_RC_A4")</f>
        <v>NDILLK11_RC_A4</v>
      </c>
      <c r="B4606" t="str">
        <f>HYPERLINK("http://www.corstruth.com.au/NSW/PNG2/NDILLK11_RC_cs.png","NDILLK11_RC_0.25m Bins")</f>
        <v>NDILLK11_RC_0.25m Bins</v>
      </c>
      <c r="C4606" t="str">
        <f>HYPERLINK("http://www.corstruth.com.au/NSW/CSV/NDILLK11_RC.csv","NDILLK11_RC_CSV File 1m Bins")</f>
        <v>NDILLK11_RC_CSV File 1m Bins</v>
      </c>
      <c r="E4606" t="s">
        <v>2198</v>
      </c>
      <c r="F4606" t="str">
        <f t="shared" si="3"/>
        <v>Geol Survey Link</v>
      </c>
      <c r="I4606">
        <v>0</v>
      </c>
      <c r="J4606">
        <v>0</v>
      </c>
    </row>
    <row r="4607" spans="1:10" x14ac:dyDescent="0.25">
      <c r="A4607" t="str">
        <f>HYPERLINK("http://www.corstruth.com.au/NSW/NDILLK11_RC_CORE_cs.png","NDILLK11_RC_CORE_A4")</f>
        <v>NDILLK11_RC_CORE_A4</v>
      </c>
      <c r="B4607" t="str">
        <f>HYPERLINK("http://www.corstruth.com.au/NSW/PNG2/NDILLK11_RC_CORE_cs.png","NDILLK11_RC_CORE_0.25m Bins")</f>
        <v>NDILLK11_RC_CORE_0.25m Bins</v>
      </c>
      <c r="C4607" t="str">
        <f>HYPERLINK("http://www.corstruth.com.au/NSW/CSV/NDILLK11_RC_CORE.csv","NDILLK11_RC_CORE_CSV File 1m Bins")</f>
        <v>NDILLK11_RC_CORE_CSV File 1m Bins</v>
      </c>
      <c r="E4607" t="s">
        <v>2198</v>
      </c>
      <c r="F4607" t="str">
        <f t="shared" si="3"/>
        <v>Geol Survey Link</v>
      </c>
      <c r="I4607">
        <v>0</v>
      </c>
      <c r="J4607">
        <v>0</v>
      </c>
    </row>
    <row r="4608" spans="1:10" x14ac:dyDescent="0.25">
      <c r="A4608" t="str">
        <f>HYPERLINK("http://www.corstruth.com.au/NSW/NDILLK12_RC_CORE_cs.png","NDILLK12_RC_CORE_A4")</f>
        <v>NDILLK12_RC_CORE_A4</v>
      </c>
      <c r="B4608" t="str">
        <f>HYPERLINK("http://www.corstruth.com.au/NSW/PNG2/NDILLK12_RC_CORE_cs.png","NDILLK12_RC_CORE_0.25m Bins")</f>
        <v>NDILLK12_RC_CORE_0.25m Bins</v>
      </c>
      <c r="C4608" t="str">
        <f>HYPERLINK("http://www.corstruth.com.au/NSW/CSV/NDILLK12_RC_CORE.csv","NDILLK12_RC_CORE_CSV File 1m Bins")</f>
        <v>NDILLK12_RC_CORE_CSV File 1m Bins</v>
      </c>
      <c r="E4608" t="s">
        <v>2198</v>
      </c>
      <c r="F4608" t="str">
        <f t="shared" si="3"/>
        <v>Geol Survey Link</v>
      </c>
      <c r="I4608">
        <v>0</v>
      </c>
      <c r="J4608">
        <v>0</v>
      </c>
    </row>
    <row r="4609" spans="1:10" x14ac:dyDescent="0.25">
      <c r="A4609" t="str">
        <f>HYPERLINK("http://www.corstruth.com.au/NSW/NDILLK13_RC_CORE_cs.png","NDILLK13_RC_CORE_A4")</f>
        <v>NDILLK13_RC_CORE_A4</v>
      </c>
      <c r="B4609" t="str">
        <f>HYPERLINK("http://www.corstruth.com.au/NSW/PNG2/NDILLK13_RC_CORE_cs.png","NDILLK13_RC_CORE_0.25m Bins")</f>
        <v>NDILLK13_RC_CORE_0.25m Bins</v>
      </c>
      <c r="C4609" t="str">
        <f>HYPERLINK("http://www.corstruth.com.au/NSW/CSV/NDILLK13_RC_CORE.csv","NDILLK13_RC_CORE_CSV File 1m Bins")</f>
        <v>NDILLK13_RC_CORE_CSV File 1m Bins</v>
      </c>
      <c r="E4609" t="s">
        <v>2198</v>
      </c>
      <c r="F4609" t="str">
        <f t="shared" si="3"/>
        <v>Geol Survey Link</v>
      </c>
      <c r="I4609">
        <v>0</v>
      </c>
      <c r="J4609">
        <v>0</v>
      </c>
    </row>
    <row r="4610" spans="1:10" x14ac:dyDescent="0.25">
      <c r="A4610" t="str">
        <f>HYPERLINK("http://www.corstruth.com.au/NSW/NDILLK14_RC_CORE_cs.png","NDILLK14_RC_CORE_A4")</f>
        <v>NDILLK14_RC_CORE_A4</v>
      </c>
      <c r="B4610" t="str">
        <f>HYPERLINK("http://www.corstruth.com.au/NSW/PNG2/NDILLK14_RC_CORE_cs.png","NDILLK14_RC_CORE_0.25m Bins")</f>
        <v>NDILLK14_RC_CORE_0.25m Bins</v>
      </c>
      <c r="C4610" t="str">
        <f>HYPERLINK("http://www.corstruth.com.au/NSW/CSV/NDILLK14_RC_CORE.csv","NDILLK14_RC_CORE_CSV File 1m Bins")</f>
        <v>NDILLK14_RC_CORE_CSV File 1m Bins</v>
      </c>
      <c r="E4610" t="s">
        <v>2198</v>
      </c>
      <c r="F4610" t="str">
        <f t="shared" si="3"/>
        <v>Geol Survey Link</v>
      </c>
      <c r="I4610">
        <v>0</v>
      </c>
      <c r="J4610">
        <v>0</v>
      </c>
    </row>
    <row r="4611" spans="1:10" x14ac:dyDescent="0.25">
      <c r="A4611" t="str">
        <f>HYPERLINK("http://www.corstruth.com.au/NSW/NDIWMP02_RC_CORE_cs.png","NDIWMP02_RC_CORE_A4")</f>
        <v>NDIWMP02_RC_CORE_A4</v>
      </c>
      <c r="B4611" t="str">
        <f>HYPERLINK("http://www.corstruth.com.au/NSW/PNG2/NDIWMP02_RC_CORE_cs.png","NDIWMP02_RC_CORE_0.25m Bins")</f>
        <v>NDIWMP02_RC_CORE_0.25m Bins</v>
      </c>
      <c r="C4611" t="str">
        <f>HYPERLINK("http://www.corstruth.com.au/NSW/CSV/NDIWMP02_RC_CORE.csv","NDIWMP02_RC_CORE_CSV File 1m Bins")</f>
        <v>NDIWMP02_RC_CORE_CSV File 1m Bins</v>
      </c>
      <c r="E4611" t="s">
        <v>2198</v>
      </c>
      <c r="F4611" t="str">
        <f t="shared" si="3"/>
        <v>Geol Survey Link</v>
      </c>
      <c r="I4611">
        <v>0</v>
      </c>
      <c r="J4611">
        <v>0</v>
      </c>
    </row>
    <row r="4612" spans="1:10" x14ac:dyDescent="0.25">
      <c r="A4612" t="str">
        <f>HYPERLINK("http://www.corstruth.com.au/NSW/NDIWMP03_RC_CORE_cs.png","NDIWMP03_RC_CORE_A4")</f>
        <v>NDIWMP03_RC_CORE_A4</v>
      </c>
      <c r="B4612" t="str">
        <f>HYPERLINK("http://www.corstruth.com.au/NSW/PNG2/NDIWMP03_RC_CORE_cs.png","NDIWMP03_RC_CORE_0.25m Bins")</f>
        <v>NDIWMP03_RC_CORE_0.25m Bins</v>
      </c>
      <c r="C4612" t="str">
        <f>HYPERLINK("http://www.corstruth.com.au/NSW/CSV/NDIWMP03_RC_CORE.csv","NDIWMP03_RC_CORE_CSV File 1m Bins")</f>
        <v>NDIWMP03_RC_CORE_CSV File 1m Bins</v>
      </c>
      <c r="E4612" t="s">
        <v>2198</v>
      </c>
      <c r="F4612" t="str">
        <f t="shared" si="3"/>
        <v>Geol Survey Link</v>
      </c>
      <c r="I4612">
        <v>0</v>
      </c>
      <c r="J4612">
        <v>0</v>
      </c>
    </row>
    <row r="4613" spans="1:10" x14ac:dyDescent="0.25">
      <c r="A4613" t="str">
        <f>HYPERLINK("http://www.corstruth.com.au/NSW/NEWELD0018_l2_cs.png","NEWELD0018_l2_A4")</f>
        <v>NEWELD0018_l2_A4</v>
      </c>
      <c r="B4613" t="str">
        <f>HYPERLINK("http://www.corstruth.com.au/NSW/PNG2/NEWELD0018_l2_cs.png","NEWELD0018_l2_0.25m Bins")</f>
        <v>NEWELD0018_l2_0.25m Bins</v>
      </c>
      <c r="C4613" t="str">
        <f>HYPERLINK("http://www.corstruth.com.au/NSW/CSV/NEWELD0018_l2.csv","NEWELD0018_l2_CSV File 1m Bins")</f>
        <v>NEWELD0018_l2_CSV File 1m Bins</v>
      </c>
      <c r="E4613" t="s">
        <v>2198</v>
      </c>
      <c r="F4613" t="str">
        <f t="shared" si="3"/>
        <v>Geol Survey Link</v>
      </c>
      <c r="I4613">
        <v>0</v>
      </c>
      <c r="J4613">
        <v>0</v>
      </c>
    </row>
    <row r="4614" spans="1:10" x14ac:dyDescent="0.25">
      <c r="A4614" t="str">
        <f>HYPERLINK("http://www.corstruth.com.au/NSW/Nulla_Nulla_1_cs.png","Nulla_Nulla_1_A4")</f>
        <v>Nulla_Nulla_1_A4</v>
      </c>
      <c r="B4614" t="str">
        <f>HYPERLINK("http://www.corstruth.com.au/NSW/PNG2/Nulla_Nulla_1_cs.png","Nulla_Nulla_1_0.25m Bins")</f>
        <v>Nulla_Nulla_1_0.25m Bins</v>
      </c>
      <c r="C4614" t="str">
        <f>HYPERLINK("http://www.corstruth.com.au/NSW/CSV/Nulla_Nulla_1.csv","Nulla_Nulla_1_CSV File 1m Bins")</f>
        <v>Nulla_Nulla_1_CSV File 1m Bins</v>
      </c>
      <c r="D4614" t="s">
        <v>2906</v>
      </c>
      <c r="E4614" t="s">
        <v>2198</v>
      </c>
      <c r="F4614" t="str">
        <f>HYPERLINK("http://dwh.geoscience.nsw.gov.au/CI/warehouse/raw/drillhole?project=Nulla&amp;site_id=Nulla_1","Geol Survey Link")</f>
        <v>Geol Survey Link</v>
      </c>
      <c r="G4614" t="s">
        <v>2907</v>
      </c>
      <c r="I4614">
        <v>0</v>
      </c>
      <c r="J4614">
        <v>0</v>
      </c>
    </row>
    <row r="4615" spans="1:10" x14ac:dyDescent="0.25">
      <c r="A4615" t="str">
        <f>HYPERLINK("http://www.corstruth.com.au/NSW/ORD006_cs.png","ORD006_A4")</f>
        <v>ORD006_A4</v>
      </c>
      <c r="B4615" t="str">
        <f>HYPERLINK("http://www.corstruth.com.au/NSW/PNG2/ORD006_cs.png","ORD006_0.25m Bins")</f>
        <v>ORD006_0.25m Bins</v>
      </c>
      <c r="C4615" t="str">
        <f>HYPERLINK("http://www.corstruth.com.au/NSW/CSV/ORD006.csv","ORD006_CSV File 1m Bins")</f>
        <v>ORD006_CSV File 1m Bins</v>
      </c>
      <c r="D4615" t="s">
        <v>2908</v>
      </c>
      <c r="E4615" t="s">
        <v>2198</v>
      </c>
      <c r="F4615" t="str">
        <f>HYPERLINK("http://dwh.geoscience.nsw.gov.au/CI/warehouse/raw/drillhole?project=&amp;site_id=ORD006","Geol Survey Link")</f>
        <v>Geol Survey Link</v>
      </c>
      <c r="I4615">
        <v>0</v>
      </c>
      <c r="J4615">
        <v>0</v>
      </c>
    </row>
    <row r="4616" spans="1:10" x14ac:dyDescent="0.25">
      <c r="A4616" t="str">
        <f>HYPERLINK("http://www.corstruth.com.au/NSW/ORD006-ORD006W1_cs.png","ORD006-ORD006W1_A4")</f>
        <v>ORD006-ORD006W1_A4</v>
      </c>
      <c r="E4616" t="s">
        <v>2198</v>
      </c>
      <c r="F4616" t="str">
        <f>HYPERLINK("http://dwh.geoscience.nsw.gov.au/CI/warehouse/raw/drillhole?project=&amp;site_id=","Geol Survey Link")</f>
        <v>Geol Survey Link</v>
      </c>
      <c r="I4616">
        <v>0</v>
      </c>
      <c r="J4616">
        <v>0</v>
      </c>
    </row>
    <row r="4617" spans="1:10" x14ac:dyDescent="0.25">
      <c r="A4617" t="str">
        <f>HYPERLINK("http://www.corstruth.com.au/NSW/ORD006_W1_cs.png","ORD006_W1_A4")</f>
        <v>ORD006_W1_A4</v>
      </c>
      <c r="B4617" t="str">
        <f>HYPERLINK("http://www.corstruth.com.au/NSW/PNG2/ORD006_W1_cs.png","ORD006_W1_0.25m Bins")</f>
        <v>ORD006_W1_0.25m Bins</v>
      </c>
      <c r="C4617" t="str">
        <f>HYPERLINK("http://www.corstruth.com.au/NSW/CSV/ORD006_W1.csv","ORD006_W1_CSV File 1m Bins")</f>
        <v>ORD006_W1_CSV File 1m Bins</v>
      </c>
      <c r="E4617" t="s">
        <v>2198</v>
      </c>
      <c r="F4617" t="str">
        <f>HYPERLINK("http://dwh.geoscience.nsw.gov.au/CI/warehouse/raw/drillhole?project=&amp;site_id=","Geol Survey Link")</f>
        <v>Geol Survey Link</v>
      </c>
      <c r="G4617" t="s">
        <v>2909</v>
      </c>
      <c r="I4617">
        <v>0</v>
      </c>
      <c r="J4617">
        <v>0</v>
      </c>
    </row>
    <row r="4618" spans="1:10" x14ac:dyDescent="0.25">
      <c r="A4618" t="str">
        <f>HYPERLINK("http://www.corstruth.com.au/NSW/ORD008_cs.png","ORD008_A4")</f>
        <v>ORD008_A4</v>
      </c>
      <c r="B4618" t="str">
        <f>HYPERLINK("http://www.corstruth.com.au/NSW/PNG2/ORD008_cs.png","ORD008_0.25m Bins")</f>
        <v>ORD008_0.25m Bins</v>
      </c>
      <c r="C4618" t="str">
        <f>HYPERLINK("http://www.corstruth.com.au/NSW/CSV/ORD008.csv","ORD008_CSV File 1m Bins")</f>
        <v>ORD008_CSV File 1m Bins</v>
      </c>
      <c r="E4618" t="s">
        <v>2198</v>
      </c>
      <c r="F4618" t="str">
        <f>HYPERLINK("http://dwh.geoscience.nsw.gov.au/CI/warehouse/raw/drillhole?project=&amp;site_id=","Geol Survey Link")</f>
        <v>Geol Survey Link</v>
      </c>
      <c r="I4618">
        <v>0</v>
      </c>
      <c r="J4618">
        <v>0</v>
      </c>
    </row>
    <row r="4619" spans="1:10" x14ac:dyDescent="0.25">
      <c r="A4619" t="str">
        <f>HYPERLINK("http://www.corstruth.com.au/NSW/ORW1_cs.png","ORW1_A4")</f>
        <v>ORW1_A4</v>
      </c>
      <c r="B4619" t="str">
        <f>HYPERLINK("http://www.corstruth.com.au/NSW/PNG2/ORW1_cs.png","ORW1_0.25m Bins")</f>
        <v>ORW1_0.25m Bins</v>
      </c>
      <c r="C4619" t="str">
        <f>HYPERLINK("http://www.corstruth.com.au/NSW/CSV/ORW1.csv","ORW1_CSV File 1m Bins")</f>
        <v>ORW1_CSV File 1m Bins</v>
      </c>
      <c r="D4619" t="s">
        <v>2910</v>
      </c>
      <c r="E4619" t="s">
        <v>2198</v>
      </c>
      <c r="F4619" t="str">
        <f>HYPERLINK("http://dwh.geoscience.nsw.gov.au/CI/warehouse/raw/drillhole?project=&amp;site_id=ORW1","Geol Survey Link")</f>
        <v>Geol Survey Link</v>
      </c>
      <c r="I4619">
        <v>0</v>
      </c>
      <c r="J4619">
        <v>0</v>
      </c>
    </row>
    <row r="4620" spans="1:10" x14ac:dyDescent="0.25">
      <c r="A4620" t="str">
        <f>HYPERLINK("http://www.corstruth.com.au/NSW/PC402_cs.png","PC402_A4")</f>
        <v>PC402_A4</v>
      </c>
      <c r="B4620" t="str">
        <f>HYPERLINK("http://www.corstruth.com.au/NSW/PNG2/PC402_cs.png","PC402_0.25m Bins")</f>
        <v>PC402_0.25m Bins</v>
      </c>
      <c r="C4620" t="str">
        <f>HYPERLINK("http://www.corstruth.com.au/NSW/CSV/PC402.csv","PC402_CSV File 1m Bins")</f>
        <v>PC402_CSV File 1m Bins</v>
      </c>
      <c r="D4620" t="s">
        <v>2911</v>
      </c>
      <c r="E4620" t="s">
        <v>2198</v>
      </c>
      <c r="F4620" t="str">
        <f>HYPERLINK("http://dwh.geoscience.nsw.gov.au/CI/warehouse/raw/drillhole?project=&amp;site_id=PC402","Geol Survey Link")</f>
        <v>Geol Survey Link</v>
      </c>
      <c r="I4620">
        <v>0</v>
      </c>
      <c r="J4620">
        <v>0</v>
      </c>
    </row>
    <row r="4621" spans="1:10" x14ac:dyDescent="0.25">
      <c r="A4621" t="str">
        <f>HYPERLINK("http://www.corstruth.com.au/NSW/PC408_cs.png","PC408_A4")</f>
        <v>PC408_A4</v>
      </c>
      <c r="B4621" t="str">
        <f>HYPERLINK("http://www.corstruth.com.au/NSW/PNG2/PC408_cs.png","PC408_0.25m Bins")</f>
        <v>PC408_0.25m Bins</v>
      </c>
      <c r="C4621" t="str">
        <f>HYPERLINK("http://www.corstruth.com.au/NSW/CSV/PC408.csv","PC408_CSV File 1m Bins")</f>
        <v>PC408_CSV File 1m Bins</v>
      </c>
      <c r="D4621" t="s">
        <v>2912</v>
      </c>
      <c r="E4621" t="s">
        <v>2198</v>
      </c>
      <c r="F4621" t="str">
        <f>HYPERLINK("http://dwh.geoscience.nsw.gov.au/CI/warehouse/raw/drillhole?project=&amp;site_id=PC408","Geol Survey Link")</f>
        <v>Geol Survey Link</v>
      </c>
      <c r="I4621">
        <v>0</v>
      </c>
      <c r="J4621">
        <v>0</v>
      </c>
    </row>
    <row r="4622" spans="1:10" x14ac:dyDescent="0.25">
      <c r="A4622" t="str">
        <f>HYPERLINK("http://www.corstruth.com.au/NSW/PD2_cs.png","PD2_A4")</f>
        <v>PD2_A4</v>
      </c>
      <c r="B4622" t="str">
        <f>HYPERLINK("http://www.corstruth.com.au/NSW/PNG2/PD2_cs.png","PD2_0.25m Bins")</f>
        <v>PD2_0.25m Bins</v>
      </c>
      <c r="C4622" t="str">
        <f>HYPERLINK("http://www.corstruth.com.au/NSW/CSV/PD2.csv","PD2_CSV File 1m Bins")</f>
        <v>PD2_CSV File 1m Bins</v>
      </c>
      <c r="E4622" t="s">
        <v>2198</v>
      </c>
      <c r="F4622" t="str">
        <f t="shared" ref="F4622:F4630" si="4">HYPERLINK("http://dwh.geoscience.nsw.gov.au/CI/warehouse/raw/drillhole?project=&amp;site_id=","Geol Survey Link")</f>
        <v>Geol Survey Link</v>
      </c>
      <c r="G4622" t="s">
        <v>2913</v>
      </c>
      <c r="I4622">
        <v>0</v>
      </c>
      <c r="J4622">
        <v>0</v>
      </c>
    </row>
    <row r="4623" spans="1:10" x14ac:dyDescent="0.25">
      <c r="A4623" t="str">
        <f>HYPERLINK("http://www.corstruth.com.au/NSW/PDH1_1A_cs.png","PDH1_1A_A4")</f>
        <v>PDH1_1A_A4</v>
      </c>
      <c r="B4623" t="str">
        <f>HYPERLINK("http://www.corstruth.com.au/NSW/PNG2/PDH1_1A_cs.png","PDH1_1A_0.25m Bins")</f>
        <v>PDH1_1A_0.25m Bins</v>
      </c>
      <c r="C4623" t="str">
        <f>HYPERLINK("http://www.corstruth.com.au/NSW/CSV/PDH1_1A.csv","PDH1_1A_CSV File 1m Bins")</f>
        <v>PDH1_1A_CSV File 1m Bins</v>
      </c>
      <c r="E4623" t="s">
        <v>2198</v>
      </c>
      <c r="F4623" t="str">
        <f t="shared" si="4"/>
        <v>Geol Survey Link</v>
      </c>
      <c r="G4623" t="s">
        <v>2831</v>
      </c>
      <c r="I4623">
        <v>0</v>
      </c>
      <c r="J4623">
        <v>0</v>
      </c>
    </row>
    <row r="4624" spans="1:10" x14ac:dyDescent="0.25">
      <c r="A4624" t="str">
        <f>HYPERLINK("http://www.corstruth.com.au/NSW/PDH2_2A_cs.png","PDH2_2A_A4")</f>
        <v>PDH2_2A_A4</v>
      </c>
      <c r="B4624" t="str">
        <f>HYPERLINK("http://www.corstruth.com.au/NSW/PNG2/PDH2_2A_cs.png","PDH2_2A_0.25m Bins")</f>
        <v>PDH2_2A_0.25m Bins</v>
      </c>
      <c r="C4624" t="str">
        <f>HYPERLINK("http://www.corstruth.com.au/NSW/CSV/PDH2_2A.csv","PDH2_2A_CSV File 1m Bins")</f>
        <v>PDH2_2A_CSV File 1m Bins</v>
      </c>
      <c r="E4624" t="s">
        <v>2198</v>
      </c>
      <c r="F4624" t="str">
        <f t="shared" si="4"/>
        <v>Geol Survey Link</v>
      </c>
      <c r="I4624">
        <v>0</v>
      </c>
      <c r="J4624">
        <v>0</v>
      </c>
    </row>
    <row r="4625" spans="1:10" x14ac:dyDescent="0.25">
      <c r="A4625" t="str">
        <f>HYPERLINK("http://www.corstruth.com.au/NSW/PDH3_3A_cs.png","PDH3_3A_A4")</f>
        <v>PDH3_3A_A4</v>
      </c>
      <c r="B4625" t="str">
        <f>HYPERLINK("http://www.corstruth.com.au/NSW/PNG2/PDH3_3A_cs.png","PDH3_3A_0.25m Bins")</f>
        <v>PDH3_3A_0.25m Bins</v>
      </c>
      <c r="C4625" t="str">
        <f>HYPERLINK("http://www.corstruth.com.au/NSW/CSV/PDH3_3A.csv","PDH3_3A_CSV File 1m Bins")</f>
        <v>PDH3_3A_CSV File 1m Bins</v>
      </c>
      <c r="E4625" t="s">
        <v>2198</v>
      </c>
      <c r="F4625" t="str">
        <f t="shared" si="4"/>
        <v>Geol Survey Link</v>
      </c>
      <c r="I4625">
        <v>0</v>
      </c>
      <c r="J4625">
        <v>0</v>
      </c>
    </row>
    <row r="4626" spans="1:10" x14ac:dyDescent="0.25">
      <c r="A4626" t="str">
        <f>HYPERLINK("http://www.corstruth.com.au/NSW/PDH6_6A_cs.png","PDH6_6A_A4")</f>
        <v>PDH6_6A_A4</v>
      </c>
      <c r="B4626" t="str">
        <f>HYPERLINK("http://www.corstruth.com.au/NSW/PNG2/PDH6_6A_cs.png","PDH6_6A_0.25m Bins")</f>
        <v>PDH6_6A_0.25m Bins</v>
      </c>
      <c r="C4626" t="str">
        <f>HYPERLINK("http://www.corstruth.com.au/NSW/CSV/PDH6_6A.csv","PDH6_6A_CSV File 1m Bins")</f>
        <v>PDH6_6A_CSV File 1m Bins</v>
      </c>
      <c r="E4626" t="s">
        <v>2198</v>
      </c>
      <c r="F4626" t="str">
        <f t="shared" si="4"/>
        <v>Geol Survey Link</v>
      </c>
      <c r="I4626">
        <v>0</v>
      </c>
      <c r="J4626">
        <v>0</v>
      </c>
    </row>
    <row r="4627" spans="1:10" x14ac:dyDescent="0.25">
      <c r="A4627" t="str">
        <f>HYPERLINK("http://www.corstruth.com.au/NSW/PE178_cs.png","PE178_A4")</f>
        <v>PE178_A4</v>
      </c>
      <c r="B4627" t="str">
        <f>HYPERLINK("http://www.corstruth.com.au/NSW/PNG2/PE178_cs.png","PE178_0.25m Bins")</f>
        <v>PE178_0.25m Bins</v>
      </c>
      <c r="C4627" t="str">
        <f>HYPERLINK("http://www.corstruth.com.au/NSW/CSV/PE178.csv","PE178_CSV File 1m Bins")</f>
        <v>PE178_CSV File 1m Bins</v>
      </c>
      <c r="E4627" t="s">
        <v>2198</v>
      </c>
      <c r="F4627" t="str">
        <f t="shared" si="4"/>
        <v>Geol Survey Link</v>
      </c>
      <c r="I4627">
        <v>0</v>
      </c>
      <c r="J4627">
        <v>0</v>
      </c>
    </row>
    <row r="4628" spans="1:10" x14ac:dyDescent="0.25">
      <c r="A4628" t="str">
        <f>HYPERLINK("http://www.corstruth.com.au/NSW/PE648D_cs.png","PE648D_A4")</f>
        <v>PE648D_A4</v>
      </c>
      <c r="B4628" t="str">
        <f>HYPERLINK("http://www.corstruth.com.au/NSW/PNG2/PE648D_cs.png","PE648D_0.25m Bins")</f>
        <v>PE648D_0.25m Bins</v>
      </c>
      <c r="C4628" t="str">
        <f>HYPERLINK("http://www.corstruth.com.au/NSW/CSV/PE648D.csv","PE648D_CSV File 1m Bins")</f>
        <v>PE648D_CSV File 1m Bins</v>
      </c>
      <c r="E4628" t="s">
        <v>2198</v>
      </c>
      <c r="F4628" t="str">
        <f t="shared" si="4"/>
        <v>Geol Survey Link</v>
      </c>
      <c r="I4628">
        <v>0</v>
      </c>
      <c r="J4628">
        <v>0</v>
      </c>
    </row>
    <row r="4629" spans="1:10" x14ac:dyDescent="0.25">
      <c r="A4629" t="str">
        <f>HYPERLINK("http://www.corstruth.com.au/NSW/PE799_cs.png","PE799_A4")</f>
        <v>PE799_A4</v>
      </c>
      <c r="B4629" t="str">
        <f>HYPERLINK("http://www.corstruth.com.au/NSW/PNG2/PE799_cs.png","PE799_0.25m Bins")</f>
        <v>PE799_0.25m Bins</v>
      </c>
      <c r="C4629" t="str">
        <f>HYPERLINK("http://www.corstruth.com.au/NSW/CSV/PE799.csv","PE799_CSV File 1m Bins")</f>
        <v>PE799_CSV File 1m Bins</v>
      </c>
      <c r="E4629" t="s">
        <v>2198</v>
      </c>
      <c r="F4629" t="str">
        <f t="shared" si="4"/>
        <v>Geol Survey Link</v>
      </c>
      <c r="I4629">
        <v>0</v>
      </c>
      <c r="J4629">
        <v>0</v>
      </c>
    </row>
    <row r="4630" spans="1:10" x14ac:dyDescent="0.25">
      <c r="A4630" t="str">
        <f>HYPERLINK("http://www.corstruth.com.au/NSW/PE805D_cs.png","PE805D_A4")</f>
        <v>PE805D_A4</v>
      </c>
      <c r="B4630" t="str">
        <f>HYPERLINK("http://www.corstruth.com.au/NSW/PNG2/PE805D_cs.png","PE805D_0.25m Bins")</f>
        <v>PE805D_0.25m Bins</v>
      </c>
      <c r="C4630" t="str">
        <f>HYPERLINK("http://www.corstruth.com.au/NSW/CSV/PE805D.csv","PE805D_CSV File 1m Bins")</f>
        <v>PE805D_CSV File 1m Bins</v>
      </c>
      <c r="E4630" t="s">
        <v>2198</v>
      </c>
      <c r="F4630" t="str">
        <f t="shared" si="4"/>
        <v>Geol Survey Link</v>
      </c>
      <c r="I4630">
        <v>0</v>
      </c>
      <c r="J4630">
        <v>0</v>
      </c>
    </row>
    <row r="4631" spans="1:10" x14ac:dyDescent="0.25">
      <c r="A4631" t="str">
        <f>HYPERLINK("http://www.corstruth.com.au/NSW/PEGT001_cs.png","PEGT001_A4")</f>
        <v>PEGT001_A4</v>
      </c>
      <c r="B4631" t="str">
        <f>HYPERLINK("http://www.corstruth.com.au/NSW/PNG2/PEGT001_cs.png","PEGT001_0.25m Bins")</f>
        <v>PEGT001_0.25m Bins</v>
      </c>
      <c r="C4631" t="str">
        <f>HYPERLINK("http://www.corstruth.com.au/NSW/CSV/PEGT001.csv","PEGT001_CSV File 1m Bins")</f>
        <v>PEGT001_CSV File 1m Bins</v>
      </c>
      <c r="D4631" t="s">
        <v>2914</v>
      </c>
      <c r="E4631" t="s">
        <v>2198</v>
      </c>
      <c r="F4631" t="str">
        <f>HYPERLINK("http://dwh.geoscience.nsw.gov.au/CI/warehouse/raw/drillhole?project=&amp;site_id=PEGT001","Geol Survey Link")</f>
        <v>Geol Survey Link</v>
      </c>
      <c r="I4631">
        <v>0</v>
      </c>
      <c r="J4631">
        <v>0</v>
      </c>
    </row>
    <row r="4632" spans="1:10" x14ac:dyDescent="0.25">
      <c r="A4632" t="str">
        <f>HYPERLINK("http://www.corstruth.com.au/NSW/PEGT004_cs.png","PEGT004_A4")</f>
        <v>PEGT004_A4</v>
      </c>
      <c r="B4632" t="str">
        <f>HYPERLINK("http://www.corstruth.com.au/NSW/PNG2/PEGT004_cs.png","PEGT004_0.25m Bins")</f>
        <v>PEGT004_0.25m Bins</v>
      </c>
      <c r="C4632" t="str">
        <f>HYPERLINK("http://www.corstruth.com.au/NSW/CSV/PEGT004.csv","PEGT004_CSV File 1m Bins")</f>
        <v>PEGT004_CSV File 1m Bins</v>
      </c>
      <c r="E4632" t="s">
        <v>2198</v>
      </c>
      <c r="F4632" t="str">
        <f>HYPERLINK("http://dwh.geoscience.nsw.gov.au/CI/warehouse/raw/drillhole?project=&amp;site_id=","Geol Survey Link")</f>
        <v>Geol Survey Link</v>
      </c>
      <c r="I4632">
        <v>0</v>
      </c>
      <c r="J4632">
        <v>0</v>
      </c>
    </row>
    <row r="4633" spans="1:10" x14ac:dyDescent="0.25">
      <c r="A4633" t="str">
        <f>HYPERLINK("http://www.corstruth.com.au/NSW/PHD1_cs.png","PHD1_A4")</f>
        <v>PHD1_A4</v>
      </c>
      <c r="B4633" t="str">
        <f>HYPERLINK("http://www.corstruth.com.au/NSW/PNG2/PHD1_cs.png","PHD1_0.25m Bins")</f>
        <v>PHD1_0.25m Bins</v>
      </c>
      <c r="C4633" t="str">
        <f>HYPERLINK("http://www.corstruth.com.au/NSW/CSV/PHD1.csv","PHD1_CSV File 1m Bins")</f>
        <v>PHD1_CSV File 1m Bins</v>
      </c>
      <c r="D4633" t="s">
        <v>2915</v>
      </c>
      <c r="E4633" t="s">
        <v>2198</v>
      </c>
      <c r="F4633" t="str">
        <f>HYPERLINK("http://dwh.geoscience.nsw.gov.au/CI/warehouse/raw/drillhole?project=&amp;site_id=PHD1","Geol Survey Link")</f>
        <v>Geol Survey Link</v>
      </c>
      <c r="I4633">
        <v>0</v>
      </c>
      <c r="J4633">
        <v>0</v>
      </c>
    </row>
    <row r="4634" spans="1:10" x14ac:dyDescent="0.25">
      <c r="A4634" t="str">
        <f>HYPERLINK("http://www.corstruth.com.au/NSW/PHD2_cs.png","PHD2_A4")</f>
        <v>PHD2_A4</v>
      </c>
      <c r="B4634" t="str">
        <f>HYPERLINK("http://www.corstruth.com.au/NSW/PNG2/PHD2_cs.png","PHD2_0.25m Bins")</f>
        <v>PHD2_0.25m Bins</v>
      </c>
      <c r="C4634" t="str">
        <f>HYPERLINK("http://www.corstruth.com.au/NSW/CSV/PHD2.csv","PHD2_CSV File 1m Bins")</f>
        <v>PHD2_CSV File 1m Bins</v>
      </c>
      <c r="D4634" t="s">
        <v>2916</v>
      </c>
      <c r="E4634" t="s">
        <v>2198</v>
      </c>
      <c r="F4634" t="str">
        <f>HYPERLINK("http://dwh.geoscience.nsw.gov.au/CI/warehouse/raw/drillhole?project=&amp;site_id=PHD2","Geol Survey Link")</f>
        <v>Geol Survey Link</v>
      </c>
      <c r="G4634" t="s">
        <v>2842</v>
      </c>
      <c r="I4634">
        <v>0</v>
      </c>
      <c r="J4634">
        <v>0</v>
      </c>
    </row>
    <row r="4635" spans="1:10" x14ac:dyDescent="0.25">
      <c r="A4635" t="str">
        <f>HYPERLINK("http://www.corstruth.com.au/NSW/PHD3_cs.png","PHD3_A4")</f>
        <v>PHD3_A4</v>
      </c>
      <c r="B4635" t="str">
        <f>HYPERLINK("http://www.corstruth.com.au/NSW/PNG2/PHD3_cs.png","PHD3_0.25m Bins")</f>
        <v>PHD3_0.25m Bins</v>
      </c>
      <c r="C4635" t="str">
        <f>HYPERLINK("http://www.corstruth.com.au/NSW/CSV/PHD3.csv","PHD3_CSV File 1m Bins")</f>
        <v>PHD3_CSV File 1m Bins</v>
      </c>
      <c r="D4635" t="s">
        <v>2917</v>
      </c>
      <c r="E4635" t="s">
        <v>2198</v>
      </c>
      <c r="F4635" t="str">
        <f>HYPERLINK("http://dwh.geoscience.nsw.gov.au/CI/warehouse/raw/drillhole?project=&amp;site_id=PHD3","Geol Survey Link")</f>
        <v>Geol Survey Link</v>
      </c>
      <c r="I4635">
        <v>0</v>
      </c>
      <c r="J4635">
        <v>0</v>
      </c>
    </row>
    <row r="4636" spans="1:10" x14ac:dyDescent="0.25">
      <c r="A4636" t="str">
        <f>HYPERLINK("http://www.corstruth.com.au/NSW/PHD4_cs.png","PHD4_A4")</f>
        <v>PHD4_A4</v>
      </c>
      <c r="B4636" t="str">
        <f>HYPERLINK("http://www.corstruth.com.au/NSW/PNG2/PHD4_cs.png","PHD4_0.25m Bins")</f>
        <v>PHD4_0.25m Bins</v>
      </c>
      <c r="C4636" t="str">
        <f>HYPERLINK("http://www.corstruth.com.au/NSW/CSV/PHD4.csv","PHD4_CSV File 1m Bins")</f>
        <v>PHD4_CSV File 1m Bins</v>
      </c>
      <c r="D4636" t="s">
        <v>2918</v>
      </c>
      <c r="E4636" t="s">
        <v>2198</v>
      </c>
      <c r="F4636" t="str">
        <f>HYPERLINK("http://dwh.geoscience.nsw.gov.au/CI/warehouse/raw/drillhole?project=&amp;site_id=PHD4","Geol Survey Link")</f>
        <v>Geol Survey Link</v>
      </c>
      <c r="G4636" t="s">
        <v>2842</v>
      </c>
      <c r="I4636">
        <v>0</v>
      </c>
      <c r="J4636">
        <v>0</v>
      </c>
    </row>
    <row r="4637" spans="1:10" x14ac:dyDescent="0.25">
      <c r="A4637" t="str">
        <f>HYPERLINK("http://www.corstruth.com.au/NSW/PHD4A_cs.png","PHD4A_A4")</f>
        <v>PHD4A_A4</v>
      </c>
      <c r="B4637" t="str">
        <f>HYPERLINK("http://www.corstruth.com.au/NSW/PNG2/PHD4A_cs.png","PHD4A_0.25m Bins")</f>
        <v>PHD4A_0.25m Bins</v>
      </c>
      <c r="C4637" t="str">
        <f>HYPERLINK("http://www.corstruth.com.au/NSW/CSV/PHD4A.csv","PHD4A_CSV File 1m Bins")</f>
        <v>PHD4A_CSV File 1m Bins</v>
      </c>
      <c r="D4637" t="s">
        <v>2919</v>
      </c>
      <c r="E4637" t="s">
        <v>2198</v>
      </c>
      <c r="F4637" t="str">
        <f>HYPERLINK("http://dwh.geoscience.nsw.gov.au/CI/warehouse/raw/drillhole?project=&amp;site_id=PHD4A","Geol Survey Link")</f>
        <v>Geol Survey Link</v>
      </c>
      <c r="I4637">
        <v>0</v>
      </c>
      <c r="J4637">
        <v>0</v>
      </c>
    </row>
    <row r="4638" spans="1:10" x14ac:dyDescent="0.25">
      <c r="A4638" t="str">
        <f>HYPERLINK("http://www.corstruth.com.au/NSW/PHKB1_cs.png","PHKB1_A4")</f>
        <v>PHKB1_A4</v>
      </c>
      <c r="B4638" t="str">
        <f>HYPERLINK("http://www.corstruth.com.au/NSW/PNG2/PHKB1_cs.png","PHKB1_0.25m Bins")</f>
        <v>PHKB1_0.25m Bins</v>
      </c>
      <c r="C4638" t="str">
        <f>HYPERLINK("http://www.corstruth.com.au/NSW/CSV/PHKB1.csv","PHKB1_CSV File 1m Bins")</f>
        <v>PHKB1_CSV File 1m Bins</v>
      </c>
      <c r="D4638" t="s">
        <v>2920</v>
      </c>
      <c r="E4638" t="s">
        <v>2198</v>
      </c>
      <c r="F4638" t="str">
        <f>HYPERLINK("http://dwh.geoscience.nsw.gov.au/CI/warehouse/raw/drillhole?project=&amp;site_id=HawkesburyBunnerong1-PHKB1","Geol Survey Link")</f>
        <v>Geol Survey Link</v>
      </c>
      <c r="G4638" t="s">
        <v>2921</v>
      </c>
      <c r="I4638">
        <v>0</v>
      </c>
      <c r="J4638">
        <v>0</v>
      </c>
    </row>
    <row r="4639" spans="1:10" x14ac:dyDescent="0.25">
      <c r="A4639" t="str">
        <f>HYPERLINK("http://www.corstruth.com.au/NSW/PHKE1_cs.png","PHKE1_A4")</f>
        <v>PHKE1_A4</v>
      </c>
      <c r="B4639" t="str">
        <f>HYPERLINK("http://www.corstruth.com.au/NSW/PNG2/PHKE1_cs.png","PHKE1_0.25m Bins")</f>
        <v>PHKE1_0.25m Bins</v>
      </c>
      <c r="C4639" t="str">
        <f>HYPERLINK("http://www.corstruth.com.au/NSW/CSV/PHKE1.csv","PHKE1_CSV File 1m Bins")</f>
        <v>PHKE1_CSV File 1m Bins</v>
      </c>
      <c r="D4639" t="s">
        <v>2922</v>
      </c>
      <c r="E4639" t="s">
        <v>2198</v>
      </c>
      <c r="F4639" t="str">
        <f>HYPERLINK("http://dwh.geoscience.nsw.gov.au/CI/warehouse/raw/drillhole?project=&amp;site_id=PHKE1","Geol Survey Link")</f>
        <v>Geol Survey Link</v>
      </c>
      <c r="G4639" t="s">
        <v>2923</v>
      </c>
      <c r="I4639">
        <v>0</v>
      </c>
      <c r="J4639">
        <v>0</v>
      </c>
    </row>
    <row r="4640" spans="1:10" x14ac:dyDescent="0.25">
      <c r="A4640" t="str">
        <f>HYPERLINK("http://www.corstruth.com.au/NSW/POK1_cs.png","POK1_A4")</f>
        <v>POK1_A4</v>
      </c>
      <c r="B4640" t="str">
        <f>HYPERLINK("http://www.corstruth.com.au/NSW/PNG2/POK1_cs.png","POK1_0.25m Bins")</f>
        <v>POK1_0.25m Bins</v>
      </c>
      <c r="C4640" t="str">
        <f>HYPERLINK("http://www.corstruth.com.au/NSW/CSV/POK1.csv","POK1_CSV File 1m Bins")</f>
        <v>POK1_CSV File 1m Bins</v>
      </c>
      <c r="D4640" t="s">
        <v>2924</v>
      </c>
      <c r="E4640" t="s">
        <v>2198</v>
      </c>
      <c r="F4640" t="str">
        <f>HYPERLINK("http://dwh.geoscience.nsw.gov.au/CI/warehouse/raw/drillhole?project=&amp;site_id=POK1","Geol Survey Link")</f>
        <v>Geol Survey Link</v>
      </c>
      <c r="I4640">
        <v>0</v>
      </c>
      <c r="J4640">
        <v>0</v>
      </c>
    </row>
    <row r="4641" spans="1:10" x14ac:dyDescent="0.25">
      <c r="A4641" t="str">
        <f>HYPERLINK("http://www.corstruth.com.au/NSW/RD84P04_cs.png","RD84P04_A4")</f>
        <v>RD84P04_A4</v>
      </c>
      <c r="B4641" t="str">
        <f>HYPERLINK("http://www.corstruth.com.au/NSW/PNG2/RD84P04_cs.png","RD84P04_0.25m Bins")</f>
        <v>RD84P04_0.25m Bins</v>
      </c>
      <c r="C4641" t="str">
        <f>HYPERLINK("http://www.corstruth.com.au/NSW/CSV/RD84P04.csv","RD84P04_CSV File 1m Bins")</f>
        <v>RD84P04_CSV File 1m Bins</v>
      </c>
      <c r="D4641" t="s">
        <v>2925</v>
      </c>
      <c r="E4641" t="s">
        <v>2198</v>
      </c>
      <c r="F4641" t="str">
        <f>HYPERLINK("http://dwh.geoscience.nsw.gov.au/CI/warehouse/raw/drillhole?project=&amp;site_id=RD84P04","Geol Survey Link")</f>
        <v>Geol Survey Link</v>
      </c>
      <c r="G4641" t="s">
        <v>2926</v>
      </c>
      <c r="I4641">
        <v>0</v>
      </c>
      <c r="J4641">
        <v>0</v>
      </c>
    </row>
    <row r="4642" spans="1:10" x14ac:dyDescent="0.25">
      <c r="A4642" t="str">
        <f>HYPERLINK("http://www.corstruth.com.au/NSW/RD86P010_cs.png","RD86P010_A4")</f>
        <v>RD86P010_A4</v>
      </c>
      <c r="B4642" t="str">
        <f>HYPERLINK("http://www.corstruth.com.au/NSW/PNG2/RD86P010_cs.png","RD86P010_0.25m Bins")</f>
        <v>RD86P010_0.25m Bins</v>
      </c>
      <c r="C4642" t="str">
        <f>HYPERLINK("http://www.corstruth.com.au/NSW/CSV/RD86P010.csv","RD86P010_CSV File 1m Bins")</f>
        <v>RD86P010_CSV File 1m Bins</v>
      </c>
      <c r="D4642" t="s">
        <v>2927</v>
      </c>
      <c r="E4642" t="s">
        <v>2198</v>
      </c>
      <c r="F4642" t="str">
        <f>HYPERLINK("http://dwh.geoscience.nsw.gov.au/CI/warehouse/raw/drillhole?project=&amp;site_id=RD86P010","Geol Survey Link")</f>
        <v>Geol Survey Link</v>
      </c>
      <c r="G4642" t="s">
        <v>2928</v>
      </c>
      <c r="I4642">
        <v>0</v>
      </c>
      <c r="J4642">
        <v>0</v>
      </c>
    </row>
    <row r="4643" spans="1:10" x14ac:dyDescent="0.25">
      <c r="A4643" t="str">
        <f>HYPERLINK("http://www.corstruth.com.au/NSW/RRLMPDD066_cs.png","RRLMPDD066_A4")</f>
        <v>RRLMPDD066_A4</v>
      </c>
      <c r="B4643" t="str">
        <f>HYPERLINK("http://www.corstruth.com.au/NSW/PNG2/RRLMPDD066_cs.png","RRLMPDD066_0.25m Bins")</f>
        <v>RRLMPDD066_0.25m Bins</v>
      </c>
      <c r="C4643" t="str">
        <f>HYPERLINK("http://www.corstruth.com.au/NSW/CSV/RRLMPDD066.csv","RRLMPDD066_CSV File 1m Bins")</f>
        <v>RRLMPDD066_CSV File 1m Bins</v>
      </c>
      <c r="E4643" t="s">
        <v>2198</v>
      </c>
      <c r="F4643" t="str">
        <f t="shared" ref="F4643:F4652" si="5">HYPERLINK("http://dwh.geoscience.nsw.gov.au/CI/warehouse/raw/drillhole?project=&amp;site_id=","Geol Survey Link")</f>
        <v>Geol Survey Link</v>
      </c>
      <c r="I4643">
        <v>0</v>
      </c>
      <c r="J4643">
        <v>0</v>
      </c>
    </row>
    <row r="4644" spans="1:10" x14ac:dyDescent="0.25">
      <c r="A4644" t="str">
        <f>HYPERLINK("http://www.corstruth.com.au/NSW/RRLMPDD127_cs.png","RRLMPDD127_A4")</f>
        <v>RRLMPDD127_A4</v>
      </c>
      <c r="B4644" t="str">
        <f>HYPERLINK("http://www.corstruth.com.au/NSW/PNG2/RRLMPDD127_cs.png","RRLMPDD127_0.25m Bins")</f>
        <v>RRLMPDD127_0.25m Bins</v>
      </c>
      <c r="C4644" t="str">
        <f>HYPERLINK("http://www.corstruth.com.au/NSW/CSV/RRLMPDD127.csv","RRLMPDD127_CSV File 1m Bins")</f>
        <v>RRLMPDD127_CSV File 1m Bins</v>
      </c>
      <c r="E4644" t="s">
        <v>2198</v>
      </c>
      <c r="F4644" t="str">
        <f t="shared" si="5"/>
        <v>Geol Survey Link</v>
      </c>
      <c r="I4644">
        <v>0</v>
      </c>
      <c r="J4644">
        <v>0</v>
      </c>
    </row>
    <row r="4645" spans="1:10" x14ac:dyDescent="0.25">
      <c r="A4645" t="str">
        <f>HYPERLINK("http://www.corstruth.com.au/NSW/RRLMPDD139_cs.png","RRLMPDD139_A4")</f>
        <v>RRLMPDD139_A4</v>
      </c>
      <c r="B4645" t="str">
        <f>HYPERLINK("http://www.corstruth.com.au/NSW/PNG2/RRLMPDD139_cs.png","RRLMPDD139_0.25m Bins")</f>
        <v>RRLMPDD139_0.25m Bins</v>
      </c>
      <c r="C4645" t="str">
        <f>HYPERLINK("http://www.corstruth.com.au/NSW/CSV/RRLMPDD139.csv","RRLMPDD139_CSV File 1m Bins")</f>
        <v>RRLMPDD139_CSV File 1m Bins</v>
      </c>
      <c r="E4645" t="s">
        <v>2198</v>
      </c>
      <c r="F4645" t="str">
        <f t="shared" si="5"/>
        <v>Geol Survey Link</v>
      </c>
      <c r="I4645">
        <v>0</v>
      </c>
      <c r="J4645">
        <v>0</v>
      </c>
    </row>
    <row r="4646" spans="1:10" x14ac:dyDescent="0.25">
      <c r="A4646" t="str">
        <f>HYPERLINK("http://www.corstruth.com.au/NSW/RRLMPDD205_cs.png","RRLMPDD205_A4")</f>
        <v>RRLMPDD205_A4</v>
      </c>
      <c r="B4646" t="str">
        <f>HYPERLINK("http://www.corstruth.com.au/NSW/PNG2/RRLMPDD205_cs.png","RRLMPDD205_0.25m Bins")</f>
        <v>RRLMPDD205_0.25m Bins</v>
      </c>
      <c r="C4646" t="str">
        <f>HYPERLINK("http://www.corstruth.com.au/NSW/CSV/RRLMPDD205.csv","RRLMPDD205_CSV File 1m Bins")</f>
        <v>RRLMPDD205_CSV File 1m Bins</v>
      </c>
      <c r="E4646" t="s">
        <v>2198</v>
      </c>
      <c r="F4646" t="str">
        <f t="shared" si="5"/>
        <v>Geol Survey Link</v>
      </c>
      <c r="I4646">
        <v>0</v>
      </c>
      <c r="J4646">
        <v>0</v>
      </c>
    </row>
    <row r="4647" spans="1:10" x14ac:dyDescent="0.25">
      <c r="A4647" t="str">
        <f>HYPERLINK("http://www.corstruth.com.au/NSW/RRLMPDD214_cs.png","RRLMPDD214_A4")</f>
        <v>RRLMPDD214_A4</v>
      </c>
      <c r="B4647" t="str">
        <f>HYPERLINK("http://www.corstruth.com.au/NSW/PNG2/RRLMPDD214_cs.png","RRLMPDD214_0.25m Bins")</f>
        <v>RRLMPDD214_0.25m Bins</v>
      </c>
      <c r="C4647" t="str">
        <f>HYPERLINK("http://www.corstruth.com.au/NSW/CSV/RRLMPDD214.csv","RRLMPDD214_CSV File 1m Bins")</f>
        <v>RRLMPDD214_CSV File 1m Bins</v>
      </c>
      <c r="E4647" t="s">
        <v>2198</v>
      </c>
      <c r="F4647" t="str">
        <f t="shared" si="5"/>
        <v>Geol Survey Link</v>
      </c>
      <c r="I4647">
        <v>0</v>
      </c>
      <c r="J4647">
        <v>0</v>
      </c>
    </row>
    <row r="4648" spans="1:10" x14ac:dyDescent="0.25">
      <c r="A4648" t="str">
        <f>HYPERLINK("http://www.corstruth.com.au/NSW/RRLMPDD218_cs.png","RRLMPDD218_A4")</f>
        <v>RRLMPDD218_A4</v>
      </c>
      <c r="B4648" t="str">
        <f>HYPERLINK("http://www.corstruth.com.au/NSW/PNG2/RRLMPDD218_cs.png","RRLMPDD218_0.25m Bins")</f>
        <v>RRLMPDD218_0.25m Bins</v>
      </c>
      <c r="C4648" t="str">
        <f>HYPERLINK("http://www.corstruth.com.au/NSW/CSV/RRLMPDD218.csv","RRLMPDD218_CSV File 1m Bins")</f>
        <v>RRLMPDD218_CSV File 1m Bins</v>
      </c>
      <c r="E4648" t="s">
        <v>2198</v>
      </c>
      <c r="F4648" t="str">
        <f t="shared" si="5"/>
        <v>Geol Survey Link</v>
      </c>
      <c r="I4648">
        <v>0</v>
      </c>
      <c r="J4648">
        <v>0</v>
      </c>
    </row>
    <row r="4649" spans="1:10" x14ac:dyDescent="0.25">
      <c r="A4649" t="str">
        <f>HYPERLINK("http://www.corstruth.com.au/NSW/SDB4_cs.png","SDB4_A4")</f>
        <v>SDB4_A4</v>
      </c>
      <c r="B4649" t="str">
        <f>HYPERLINK("http://www.corstruth.com.au/NSW/PNG2/SDB4_cs.png","SDB4_0.25m Bins")</f>
        <v>SDB4_0.25m Bins</v>
      </c>
      <c r="C4649" t="str">
        <f>HYPERLINK("http://www.corstruth.com.au/NSW/CSV/SDB4.csv","SDB4_CSV File 1m Bins")</f>
        <v>SDB4_CSV File 1m Bins</v>
      </c>
      <c r="E4649" t="s">
        <v>2198</v>
      </c>
      <c r="F4649" t="str">
        <f t="shared" si="5"/>
        <v>Geol Survey Link</v>
      </c>
      <c r="G4649" t="s">
        <v>2929</v>
      </c>
      <c r="I4649">
        <v>0</v>
      </c>
      <c r="J4649">
        <v>0</v>
      </c>
    </row>
    <row r="4650" spans="1:10" x14ac:dyDescent="0.25">
      <c r="A4650" t="str">
        <f>HYPERLINK("http://www.corstruth.com.au/NSW/SDD001_cs.png","SDD001_A4")</f>
        <v>SDD001_A4</v>
      </c>
      <c r="B4650" t="str">
        <f>HYPERLINK("http://www.corstruth.com.au/NSW/PNG2/SDD001_cs.png","SDD001_0.25m Bins")</f>
        <v>SDD001_0.25m Bins</v>
      </c>
      <c r="C4650" t="str">
        <f>HYPERLINK("http://www.corstruth.com.au/NSW/CSV/SDD001.csv","SDD001_CSV File 1m Bins")</f>
        <v>SDD001_CSV File 1m Bins</v>
      </c>
      <c r="E4650" t="s">
        <v>2198</v>
      </c>
      <c r="F4650" t="str">
        <f t="shared" si="5"/>
        <v>Geol Survey Link</v>
      </c>
      <c r="G4650" t="s">
        <v>2930</v>
      </c>
      <c r="I4650">
        <v>0</v>
      </c>
      <c r="J4650">
        <v>0</v>
      </c>
    </row>
    <row r="4651" spans="1:10" x14ac:dyDescent="0.25">
      <c r="A4651" t="str">
        <f>HYPERLINK("http://www.corstruth.com.au/NSW/SDD002_cs.png","SDD002_A4")</f>
        <v>SDD002_A4</v>
      </c>
      <c r="B4651" t="str">
        <f>HYPERLINK("http://www.corstruth.com.au/NSW/PNG2/SDD002_cs.png","SDD002_0.25m Bins")</f>
        <v>SDD002_0.25m Bins</v>
      </c>
      <c r="C4651" t="str">
        <f>HYPERLINK("http://www.corstruth.com.au/NSW/CSV/SDD002.csv","SDD002_CSV File 1m Bins")</f>
        <v>SDD002_CSV File 1m Bins</v>
      </c>
      <c r="E4651" t="s">
        <v>2198</v>
      </c>
      <c r="F4651" t="str">
        <f t="shared" si="5"/>
        <v>Geol Survey Link</v>
      </c>
      <c r="G4651" t="s">
        <v>2930</v>
      </c>
      <c r="I4651">
        <v>0</v>
      </c>
      <c r="J4651">
        <v>0</v>
      </c>
    </row>
    <row r="4652" spans="1:10" x14ac:dyDescent="0.25">
      <c r="A4652" t="str">
        <f>HYPERLINK("http://www.corstruth.com.au/NSW/TD001_cs.png","TD001_A4")</f>
        <v>TD001_A4</v>
      </c>
      <c r="B4652" t="str">
        <f>HYPERLINK("http://www.corstruth.com.au/NSW/PNG2/TD001_cs.png","TD001_0.25m Bins")</f>
        <v>TD001_0.25m Bins</v>
      </c>
      <c r="C4652" t="str">
        <f>HYPERLINK("http://www.corstruth.com.au/NSW/CSV/TD001.csv","TD001_CSV File 1m Bins")</f>
        <v>TD001_CSV File 1m Bins</v>
      </c>
      <c r="E4652" t="s">
        <v>2198</v>
      </c>
      <c r="F4652" t="str">
        <f t="shared" si="5"/>
        <v>Geol Survey Link</v>
      </c>
      <c r="I4652">
        <v>0</v>
      </c>
      <c r="J4652">
        <v>0</v>
      </c>
    </row>
    <row r="4653" spans="1:10" x14ac:dyDescent="0.25">
      <c r="A4653" t="str">
        <f>HYPERLINK("http://www.corstruth.com.au/NSW/UD07PE0165_cs.png","UD07PE0165_A4")</f>
        <v>UD07PE0165_A4</v>
      </c>
      <c r="B4653" t="str">
        <f>HYPERLINK("http://www.corstruth.com.au/NSW/PNG2/UD07PE0165_cs.png","UD07PE0165_0.25m Bins")</f>
        <v>UD07PE0165_0.25m Bins</v>
      </c>
      <c r="C4653" t="str">
        <f>HYPERLINK("http://www.corstruth.com.au/NSW/CSV/UD07PE0165.csv","UD07PE0165_CSV File 1m Bins")</f>
        <v>UD07PE0165_CSV File 1m Bins</v>
      </c>
      <c r="D4653" t="s">
        <v>2931</v>
      </c>
      <c r="E4653" t="s">
        <v>2198</v>
      </c>
      <c r="F4653" t="str">
        <f>HYPERLINK("http://dwh.geoscience.nsw.gov.au/CI/warehouse/raw/drillhole?project=&amp;site_id=UD07PE0165","Geol Survey Link")</f>
        <v>Geol Survey Link</v>
      </c>
      <c r="G4653" t="s">
        <v>2932</v>
      </c>
      <c r="I4653">
        <v>0</v>
      </c>
      <c r="J4653">
        <v>0</v>
      </c>
    </row>
    <row r="4654" spans="1:10" x14ac:dyDescent="0.25">
      <c r="A4654" t="str">
        <f>HYPERLINK("http://www.corstruth.com.au/NSW/UD07PE0185_cs.png","UD07PE0185_A4")</f>
        <v>UD07PE0185_A4</v>
      </c>
      <c r="B4654" t="str">
        <f>HYPERLINK("http://www.corstruth.com.au/NSW/PNG2/UD07PE0185_cs.png","UD07PE0185_0.25m Bins")</f>
        <v>UD07PE0185_0.25m Bins</v>
      </c>
      <c r="C4654" t="str">
        <f>HYPERLINK("http://www.corstruth.com.au/NSW/CSV/UD07PE0185.csv","UD07PE0185_CSV File 1m Bins")</f>
        <v>UD07PE0185_CSV File 1m Bins</v>
      </c>
      <c r="D4654" t="s">
        <v>2933</v>
      </c>
      <c r="E4654" t="s">
        <v>2198</v>
      </c>
      <c r="F4654" t="str">
        <f>HYPERLINK("http://dwh.geoscience.nsw.gov.au/CI/warehouse/raw/drillhole?project=&amp;site_id=UD07PE0185","Geol Survey Link")</f>
        <v>Geol Survey Link</v>
      </c>
      <c r="G4654" t="s">
        <v>2932</v>
      </c>
      <c r="I4654">
        <v>0</v>
      </c>
      <c r="J4654">
        <v>0</v>
      </c>
    </row>
    <row r="4655" spans="1:10" x14ac:dyDescent="0.25">
      <c r="A4655" t="str">
        <f>HYPERLINK("http://www.corstruth.com.au/NSW/UD99PE0027_cs.png","UD99PE0027_A4")</f>
        <v>UD99PE0027_A4</v>
      </c>
      <c r="B4655" t="str">
        <f>HYPERLINK("http://www.corstruth.com.au/NSW/PNG2/UD99PE0027_cs.png","UD99PE0027_0.25m Bins")</f>
        <v>UD99PE0027_0.25m Bins</v>
      </c>
      <c r="C4655" t="str">
        <f>HYPERLINK("http://www.corstruth.com.au/NSW/CSV/UD99PE0027.csv","UD99PE0027_CSV File 1m Bins")</f>
        <v>UD99PE0027_CSV File 1m Bins</v>
      </c>
      <c r="D4655" t="s">
        <v>2934</v>
      </c>
      <c r="E4655" t="s">
        <v>2198</v>
      </c>
      <c r="F4655" t="str">
        <f>HYPERLINK("http://dwh.geoscience.nsw.gov.au/CI/warehouse/raw/drillhole?project=&amp;site_id=UD99PE0027","Geol Survey Link")</f>
        <v>Geol Survey Link</v>
      </c>
      <c r="G4655" t="s">
        <v>2932</v>
      </c>
      <c r="I4655">
        <v>0</v>
      </c>
      <c r="J4655">
        <v>0</v>
      </c>
    </row>
    <row r="4656" spans="1:10" x14ac:dyDescent="0.25">
      <c r="A4656" t="str">
        <f>HYPERLINK("http://www.corstruth.com.au/NSW/UD99PE0029_cs.png","UD99PE0029_A4")</f>
        <v>UD99PE0029_A4</v>
      </c>
      <c r="B4656" t="str">
        <f>HYPERLINK("http://www.corstruth.com.au/NSW/PNG2/UD99PE0029_cs.png","UD99PE0029_0.25m Bins")</f>
        <v>UD99PE0029_0.25m Bins</v>
      </c>
      <c r="C4656" t="str">
        <f>HYPERLINK("http://www.corstruth.com.au/NSW/CSV/UD99PE0029.csv","UD99PE0029_CSV File 1m Bins")</f>
        <v>UD99PE0029_CSV File 1m Bins</v>
      </c>
      <c r="D4656" t="s">
        <v>2935</v>
      </c>
      <c r="E4656" t="s">
        <v>2198</v>
      </c>
      <c r="F4656" t="str">
        <f>HYPERLINK("http://dwh.geoscience.nsw.gov.au/CI/warehouse/raw/drillhole?project=&amp;site_id=UD99PE0029","Geol Survey Link")</f>
        <v>Geol Survey Link</v>
      </c>
      <c r="G4656" t="s">
        <v>2932</v>
      </c>
      <c r="I4656">
        <v>0</v>
      </c>
      <c r="J4656">
        <v>0</v>
      </c>
    </row>
    <row r="4657" spans="1:10" x14ac:dyDescent="0.25">
      <c r="A4657" t="str">
        <f>HYPERLINK("http://www.corstruth.com.au/NSW/WY337_cs.png","WY337_A4")</f>
        <v>WY337_A4</v>
      </c>
      <c r="B4657" t="str">
        <f>HYPERLINK("http://www.corstruth.com.au/NSW/PNG2/WY337_cs.png","WY337_0.25m Bins")</f>
        <v>WY337_0.25m Bins</v>
      </c>
      <c r="C4657" t="str">
        <f>HYPERLINK("http://www.corstruth.com.au/NSW/CSV/WY337.csv","WY337_CSV File 1m Bins")</f>
        <v>WY337_CSV File 1m Bins</v>
      </c>
      <c r="D4657" t="s">
        <v>2936</v>
      </c>
      <c r="E4657" t="s">
        <v>2198</v>
      </c>
      <c r="F4657" t="str">
        <f>HYPERLINK("http://dwh.geoscience.nsw.gov.au/CI/warehouse/raw/drillhole?project=&amp;site_id=WY337","Geol Survey Link")</f>
        <v>Geol Survey Link</v>
      </c>
      <c r="G4657" t="s">
        <v>2937</v>
      </c>
      <c r="I4657">
        <v>0</v>
      </c>
      <c r="J4657">
        <v>0</v>
      </c>
    </row>
    <row r="4658" spans="1:10" x14ac:dyDescent="0.25">
      <c r="A4658" t="str">
        <f>HYPERLINK("http://www.corstruth.com.au/NSW/WY407_cs.png","WY407_A4")</f>
        <v>WY407_A4</v>
      </c>
      <c r="B4658" t="str">
        <f>HYPERLINK("http://www.corstruth.com.au/NSW/PNG2/WY407_cs.png","WY407_0.25m Bins")</f>
        <v>WY407_0.25m Bins</v>
      </c>
      <c r="C4658" t="str">
        <f>HYPERLINK("http://www.corstruth.com.au/NSW/CSV/WY407.csv","WY407_CSV File 1m Bins")</f>
        <v>WY407_CSV File 1m Bins</v>
      </c>
      <c r="D4658" t="s">
        <v>2938</v>
      </c>
      <c r="E4658" t="s">
        <v>2198</v>
      </c>
      <c r="F4658" t="str">
        <f>HYPERLINK("http://dwh.geoscience.nsw.gov.au/CI/warehouse/raw/drillhole?project=&amp;site_id=WY407","Geol Survey Link")</f>
        <v>Geol Survey Link</v>
      </c>
      <c r="G4658" t="s">
        <v>2937</v>
      </c>
      <c r="I4658">
        <v>0</v>
      </c>
      <c r="J4658">
        <v>0</v>
      </c>
    </row>
    <row r="4659" spans="1:10" x14ac:dyDescent="0.25">
      <c r="A4659" t="str">
        <f>HYPERLINK("http://www.corstruth.com.au/NSW/WY411_cs.png","WY411_A4")</f>
        <v>WY411_A4</v>
      </c>
      <c r="B4659" t="str">
        <f>HYPERLINK("http://www.corstruth.com.au/NSW/PNG2/WY411_cs.png","WY411_0.25m Bins")</f>
        <v>WY411_0.25m Bins</v>
      </c>
      <c r="C4659" t="str">
        <f>HYPERLINK("http://www.corstruth.com.au/NSW/CSV/WY411.csv","WY411_CSV File 1m Bins")</f>
        <v>WY411_CSV File 1m Bins</v>
      </c>
      <c r="D4659" t="s">
        <v>2939</v>
      </c>
      <c r="E4659" t="s">
        <v>2198</v>
      </c>
      <c r="F4659" t="str">
        <f>HYPERLINK("http://dwh.geoscience.nsw.gov.au/CI/warehouse/raw/drillhole?project=&amp;site_id=WY411","Geol Survey Link")</f>
        <v>Geol Survey Link</v>
      </c>
      <c r="G4659" t="s">
        <v>2937</v>
      </c>
      <c r="I4659">
        <v>0</v>
      </c>
      <c r="J4659">
        <v>0</v>
      </c>
    </row>
    <row r="4660" spans="1:10" x14ac:dyDescent="0.25">
      <c r="A4660" t="str">
        <f>HYPERLINK("http://www.corstruth.com.au/NSW/WY572_cs.png","WY572_A4")</f>
        <v>WY572_A4</v>
      </c>
      <c r="B4660" t="str">
        <f>HYPERLINK("http://www.corstruth.com.au/NSW/PNG2/WY572_cs.png","WY572_0.25m Bins")</f>
        <v>WY572_0.25m Bins</v>
      </c>
      <c r="C4660" t="str">
        <f>HYPERLINK("http://www.corstruth.com.au/NSW/CSV/WY572.csv","WY572_CSV File 1m Bins")</f>
        <v>WY572_CSV File 1m Bins</v>
      </c>
      <c r="D4660" t="s">
        <v>2940</v>
      </c>
      <c r="E4660" t="s">
        <v>2198</v>
      </c>
      <c r="F4660" t="str">
        <f>HYPERLINK("http://dwh.geoscience.nsw.gov.au/CI/warehouse/raw/drillhole?project=&amp;site_id=WY572","Geol Survey Link")</f>
        <v>Geol Survey Link</v>
      </c>
      <c r="G4660" t="s">
        <v>2937</v>
      </c>
      <c r="I4660">
        <v>0</v>
      </c>
      <c r="J4660">
        <v>0</v>
      </c>
    </row>
    <row r="4661" spans="1:10" x14ac:dyDescent="0.25">
      <c r="A4661" t="str">
        <f>HYPERLINK("http://www.corstruth.com.au/NSW/WY789_cs.png","WY789_A4")</f>
        <v>WY789_A4</v>
      </c>
      <c r="B4661" t="str">
        <f>HYPERLINK("http://www.corstruth.com.au/NSW/PNG2/WY789_cs.png","WY789_0.25m Bins")</f>
        <v>WY789_0.25m Bins</v>
      </c>
      <c r="C4661" t="str">
        <f>HYPERLINK("http://www.corstruth.com.au/NSW/CSV/WY789.csv","WY789_CSV File 1m Bins")</f>
        <v>WY789_CSV File 1m Bins</v>
      </c>
      <c r="D4661" t="s">
        <v>2941</v>
      </c>
      <c r="E4661" t="s">
        <v>2198</v>
      </c>
      <c r="F4661" t="str">
        <f>HYPERLINK("http://dwh.geoscience.nsw.gov.au/CI/warehouse/raw/drillhole?project=&amp;site_id=WY789","Geol Survey Link")</f>
        <v>Geol Survey Link</v>
      </c>
      <c r="G4661" t="s">
        <v>2937</v>
      </c>
      <c r="I4661">
        <v>0</v>
      </c>
      <c r="J4661">
        <v>0</v>
      </c>
    </row>
    <row r="4662" spans="1:10" x14ac:dyDescent="0.25">
      <c r="A4662" t="str">
        <f>HYPERLINK("http://www.corstruth.com.au/NSW/WY807_cs.png","WY807_A4")</f>
        <v>WY807_A4</v>
      </c>
      <c r="B4662" t="str">
        <f>HYPERLINK("http://www.corstruth.com.au/NSW/PNG2/WY807_cs.png","WY807_0.25m Bins")</f>
        <v>WY807_0.25m Bins</v>
      </c>
      <c r="C4662" t="str">
        <f>HYPERLINK("http://www.corstruth.com.au/NSW/CSV/WY807.csv","WY807_CSV File 1m Bins")</f>
        <v>WY807_CSV File 1m Bins</v>
      </c>
      <c r="D4662" t="s">
        <v>2942</v>
      </c>
      <c r="E4662" t="s">
        <v>2198</v>
      </c>
      <c r="F4662" t="str">
        <f>HYPERLINK("http://dwh.geoscience.nsw.gov.au/CI/warehouse/raw/drillhole?project=&amp;site_id=WY807","Geol Survey Link")</f>
        <v>Geol Survey Link</v>
      </c>
      <c r="G4662" t="s">
        <v>2937</v>
      </c>
      <c r="I4662">
        <v>0</v>
      </c>
      <c r="J4662">
        <v>0</v>
      </c>
    </row>
    <row r="4663" spans="1:10" x14ac:dyDescent="0.25">
      <c r="A4663" t="str">
        <f>HYPERLINK("http://www.corstruth.com.au/NSW/WY821_cs.png","WY821_A4")</f>
        <v>WY821_A4</v>
      </c>
      <c r="B4663" t="str">
        <f>HYPERLINK("http://www.corstruth.com.au/NSW/PNG2/WY821_cs.png","WY821_0.25m Bins")</f>
        <v>WY821_0.25m Bins</v>
      </c>
      <c r="C4663" t="str">
        <f>HYPERLINK("http://www.corstruth.com.au/NSW/CSV/WY821.csv","WY821_CSV File 1m Bins")</f>
        <v>WY821_CSV File 1m Bins</v>
      </c>
      <c r="D4663" t="s">
        <v>2943</v>
      </c>
      <c r="E4663" t="s">
        <v>2198</v>
      </c>
      <c r="F4663" t="str">
        <f>HYPERLINK("http://dwh.geoscience.nsw.gov.au/CI/warehouse/raw/drillhole?project=&amp;site_id=WY821","Geol Survey Link")</f>
        <v>Geol Survey Link</v>
      </c>
      <c r="G4663" t="s">
        <v>2937</v>
      </c>
      <c r="I4663">
        <v>0</v>
      </c>
      <c r="J4663">
        <v>0</v>
      </c>
    </row>
    <row r="4664" spans="1:10" x14ac:dyDescent="0.25">
      <c r="A4664" t="str">
        <f>HYPERLINK("http://www.corstruth.com.au/NSW/WY842_cs.png","WY842_A4")</f>
        <v>WY842_A4</v>
      </c>
      <c r="B4664" t="str">
        <f>HYPERLINK("http://www.corstruth.com.au/NSW/PNG2/WY842_cs.png","WY842_0.25m Bins")</f>
        <v>WY842_0.25m Bins</v>
      </c>
      <c r="C4664" t="str">
        <f>HYPERLINK("http://www.corstruth.com.au/NSW/CSV/WY842.csv","WY842_CSV File 1m Bins")</f>
        <v>WY842_CSV File 1m Bins</v>
      </c>
      <c r="D4664" t="s">
        <v>2944</v>
      </c>
      <c r="E4664" t="s">
        <v>2198</v>
      </c>
      <c r="F4664" t="str">
        <f>HYPERLINK("http://dwh.geoscience.nsw.gov.au/CI/warehouse/raw/drillhole?project=&amp;site_id=WY842D","Geol Survey Link")</f>
        <v>Geol Survey Link</v>
      </c>
      <c r="G4664" t="s">
        <v>2937</v>
      </c>
      <c r="I4664">
        <v>0</v>
      </c>
      <c r="J4664">
        <v>0</v>
      </c>
    </row>
    <row r="4665" spans="1:10" x14ac:dyDescent="0.25">
      <c r="A4665" t="str">
        <f>HYPERLINK("http://www.corstruth.com.au/NSW/WY843D_cs.png","WY843D_A4")</f>
        <v>WY843D_A4</v>
      </c>
      <c r="B4665" t="str">
        <f>HYPERLINK("http://www.corstruth.com.au/NSW/PNG2/WY843D_cs.png","WY843D_0.25m Bins")</f>
        <v>WY843D_0.25m Bins</v>
      </c>
      <c r="C4665" t="str">
        <f>HYPERLINK("http://www.corstruth.com.au/NSW/CSV/WY843D.csv","WY843D_CSV File 1m Bins")</f>
        <v>WY843D_CSV File 1m Bins</v>
      </c>
      <c r="D4665" t="s">
        <v>2945</v>
      </c>
      <c r="E4665" t="s">
        <v>2198</v>
      </c>
      <c r="F4665" t="str">
        <f>HYPERLINK("http://dwh.geoscience.nsw.gov.au/CI/warehouse/raw/drillhole?project=&amp;site_id=WY843D","Geol Survey Link")</f>
        <v>Geol Survey Link</v>
      </c>
      <c r="G4665" t="s">
        <v>2937</v>
      </c>
      <c r="I4665">
        <v>0</v>
      </c>
      <c r="J4665">
        <v>0</v>
      </c>
    </row>
    <row r="4666" spans="1:10" x14ac:dyDescent="0.25">
      <c r="A4666" t="str">
        <f>HYPERLINK("http://www.corstruth.com.au/NSW/WY848D_cs.png","WY848D_A4")</f>
        <v>WY848D_A4</v>
      </c>
      <c r="B4666" t="str">
        <f>HYPERLINK("http://www.corstruth.com.au/NSW/PNG2/WY848D_cs.png","WY848D_0.25m Bins")</f>
        <v>WY848D_0.25m Bins</v>
      </c>
      <c r="C4666" t="str">
        <f>HYPERLINK("http://www.corstruth.com.au/NSW/CSV/WY848D.csv","WY848D_CSV File 1m Bins")</f>
        <v>WY848D_CSV File 1m Bins</v>
      </c>
      <c r="D4666" t="s">
        <v>2946</v>
      </c>
      <c r="E4666" t="s">
        <v>2198</v>
      </c>
      <c r="F4666" t="str">
        <f>HYPERLINK("http://dwh.geoscience.nsw.gov.au/CI/warehouse/raw/drillhole?project=&amp;site_id=WY848D","Geol Survey Link")</f>
        <v>Geol Survey Link</v>
      </c>
      <c r="G4666" t="s">
        <v>2937</v>
      </c>
      <c r="I4666">
        <v>0</v>
      </c>
      <c r="J4666">
        <v>0</v>
      </c>
    </row>
    <row r="4667" spans="1:10" x14ac:dyDescent="0.25">
      <c r="A4667" t="str">
        <f>HYPERLINK("http://www.corstruth.com.au/NSW/WYGT002_cs.png","WYGT002_A4")</f>
        <v>WYGT002_A4</v>
      </c>
      <c r="B4667" t="str">
        <f>HYPERLINK("http://www.corstruth.com.au/NSW/PNG2/WYGT002_cs.png","WYGT002_0.25m Bins")</f>
        <v>WYGT002_0.25m Bins</v>
      </c>
      <c r="C4667" t="str">
        <f>HYPERLINK("http://www.corstruth.com.au/NSW/CSV/WYGT002.csv","WYGT002_CSV File 1m Bins")</f>
        <v>WYGT002_CSV File 1m Bins</v>
      </c>
      <c r="D4667" t="s">
        <v>2947</v>
      </c>
      <c r="E4667" t="s">
        <v>2198</v>
      </c>
      <c r="F4667" t="str">
        <f>HYPERLINK("http://dwh.geoscience.nsw.gov.au/CI/warehouse/raw/drillhole?project=&amp;site_id=WYGT002","Geol Survey Link")</f>
        <v>Geol Survey Link</v>
      </c>
      <c r="G4667" t="s">
        <v>2937</v>
      </c>
      <c r="I4667">
        <v>0</v>
      </c>
      <c r="J4667">
        <v>0</v>
      </c>
    </row>
    <row r="4668" spans="1:10" x14ac:dyDescent="0.25">
      <c r="A4668" t="str">
        <f>HYPERLINK("http://www.corstruth.com.au/NSW/WYGT018_cs.png","WYGT018_A4")</f>
        <v>WYGT018_A4</v>
      </c>
      <c r="B4668" t="str">
        <f>HYPERLINK("http://www.corstruth.com.au/NSW/PNG2/WYGT018_cs.png","WYGT018_0.25m Bins")</f>
        <v>WYGT018_0.25m Bins</v>
      </c>
      <c r="C4668" t="str">
        <f>HYPERLINK("http://www.corstruth.com.au/NSW/CSV/WYGT018.csv","WYGT018_CSV File 1m Bins")</f>
        <v>WYGT018_CSV File 1m Bins</v>
      </c>
      <c r="D4668" t="s">
        <v>2948</v>
      </c>
      <c r="E4668" t="s">
        <v>2198</v>
      </c>
      <c r="F4668" t="str">
        <f>HYPERLINK("http://dwh.geoscience.nsw.gov.au/CI/warehouse/raw/drillhole?project=&amp;site_id=WYGT018","Geol Survey Link")</f>
        <v>Geol Survey Link</v>
      </c>
      <c r="G4668" t="s">
        <v>2937</v>
      </c>
      <c r="I4668">
        <v>0</v>
      </c>
      <c r="J4668">
        <v>0</v>
      </c>
    </row>
    <row r="4669" spans="1:10" x14ac:dyDescent="0.25">
      <c r="A4669" t="str">
        <f>HYPERLINK("http://www.corstruth.com.au/NSW/WYGT020_cs.png","WYGT020_A4")</f>
        <v>WYGT020_A4</v>
      </c>
      <c r="B4669" t="str">
        <f>HYPERLINK("http://www.corstruth.com.au/NSW/PNG2/WYGT020_cs.png","WYGT020_0.25m Bins")</f>
        <v>WYGT020_0.25m Bins</v>
      </c>
      <c r="C4669" t="str">
        <f>HYPERLINK("http://www.corstruth.com.au/NSW/CSV/WYGT020.csv","WYGT020_CSV File 1m Bins")</f>
        <v>WYGT020_CSV File 1m Bins</v>
      </c>
      <c r="D4669" t="s">
        <v>2949</v>
      </c>
      <c r="E4669" t="s">
        <v>2198</v>
      </c>
      <c r="F4669" t="str">
        <f>HYPERLINK("http://dwh.geoscience.nsw.gov.au/CI/warehouse/raw/drillhole?project=&amp;site_id=WYGT020","Geol Survey Link")</f>
        <v>Geol Survey Link</v>
      </c>
      <c r="G4669" t="s">
        <v>2937</v>
      </c>
      <c r="I4669">
        <v>0</v>
      </c>
      <c r="J4669">
        <v>0</v>
      </c>
    </row>
    <row r="4670" spans="1:10" x14ac:dyDescent="0.25">
      <c r="A4670" t="str">
        <f>HYPERLINK("http://www.corstruth.com.au/NSW/Wilkurra1_cs.png","Wilkurra1_A4")</f>
        <v>Wilkurra1_A4</v>
      </c>
      <c r="B4670" t="str">
        <f>HYPERLINK("http://www.corstruth.com.au/NSW/PNG2/Wilkurra1_cs.png","Wilkurra1_0.25m Bins")</f>
        <v>Wilkurra1_0.25m Bins</v>
      </c>
      <c r="C4670" t="str">
        <f>HYPERLINK("http://www.corstruth.com.au/NSW/CSV/Wilkurra1.csv","Wilkurra1_CSV File 1m Bins")</f>
        <v>Wilkurra1_CSV File 1m Bins</v>
      </c>
      <c r="D4670" t="s">
        <v>2950</v>
      </c>
      <c r="E4670" t="s">
        <v>2198</v>
      </c>
      <c r="F4670" t="str">
        <f>HYPERLINK("http://dwh.geoscience.nsw.gov.au/CI/warehouse/raw/drillhole?project=&amp;site_id=Wilkurra1","Geol Survey Link")</f>
        <v>Geol Survey Link</v>
      </c>
      <c r="G4670" t="s">
        <v>2951</v>
      </c>
      <c r="I4670">
        <v>0</v>
      </c>
      <c r="J4670">
        <v>0</v>
      </c>
    </row>
    <row r="4671" spans="1:10" x14ac:dyDescent="0.25">
      <c r="A4671" t="str">
        <f>HYPERLINK("http://www.corstruth.com.au/NSW/YD16_cs.png","YD16_A4")</f>
        <v>YD16_A4</v>
      </c>
      <c r="B4671" t="str">
        <f>HYPERLINK("http://www.corstruth.com.au/NSW/PNG2/YD16_cs.png","YD16_0.25m Bins")</f>
        <v>YD16_0.25m Bins</v>
      </c>
      <c r="C4671" t="str">
        <f>HYPERLINK("http://www.corstruth.com.au/NSW/CSV/YD16.csv","YD16_CSV File 1m Bins")</f>
        <v>YD16_CSV File 1m Bins</v>
      </c>
      <c r="D4671" t="s">
        <v>2952</v>
      </c>
      <c r="E4671" t="s">
        <v>2198</v>
      </c>
      <c r="F4671" t="str">
        <f>HYPERLINK("http://dwh.geoscience.nsw.gov.au/CI/warehouse/raw/drillhole?project=&amp;site_id=YD-16","Geol Survey Link")</f>
        <v>Geol Survey Link</v>
      </c>
      <c r="I4671">
        <v>0</v>
      </c>
      <c r="J4671">
        <v>0</v>
      </c>
    </row>
    <row r="4672" spans="1:10" x14ac:dyDescent="0.25">
      <c r="A4672" t="str">
        <f>HYPERLINK("http://www.corstruth.com.au/NSW/ZK1-2_cs.png","ZK1-2_A4")</f>
        <v>ZK1-2_A4</v>
      </c>
      <c r="B4672" t="str">
        <f>HYPERLINK("http://www.corstruth.com.au/NSW/PNG2/ZK1-2_cs.png","ZK1-2_0.25m Bins")</f>
        <v>ZK1-2_0.25m Bins</v>
      </c>
      <c r="C4672" t="str">
        <f>HYPERLINK("http://www.corstruth.com.au/NSW/CSV/ZK1-2.csv","ZK1-2_CSV File 1m Bins")</f>
        <v>ZK1-2_CSV File 1m Bins</v>
      </c>
      <c r="E4672" t="s">
        <v>2198</v>
      </c>
      <c r="F4672" t="str">
        <f>HYPERLINK("http://dwh.geoscience.nsw.gov.au/CI/warehouse/raw/drillhole?project=&amp;site_id=","Geol Survey Link")</f>
        <v>Geol Survey Link</v>
      </c>
      <c r="G4672" t="s">
        <v>2953</v>
      </c>
      <c r="I4672">
        <v>0</v>
      </c>
      <c r="J4672">
        <v>0</v>
      </c>
    </row>
    <row r="4673" spans="1:11" x14ac:dyDescent="0.25">
      <c r="A4673" t="str">
        <f>HYPERLINK("http://www.corstruth.com.au/NSW/DD90LT4_cs.png","DD90LT4_A4")</f>
        <v>DD90LT4_A4</v>
      </c>
      <c r="B4673" t="str">
        <f>HYPERLINK("http://www.corstruth.com.au/NSW/PNG2/DD90LT4_cs.png","DD90LT4_0.25m Bins")</f>
        <v>DD90LT4_0.25m Bins</v>
      </c>
      <c r="C4673" t="str">
        <f>HYPERLINK("http://www.corstruth.com.au/NSW/CSV/DD90LT4.csv","DD90LT4_CSV File 1m Bins")</f>
        <v>DD90LT4_CSV File 1m Bins</v>
      </c>
      <c r="D4673" t="s">
        <v>2954</v>
      </c>
      <c r="E4673" t="s">
        <v>2198</v>
      </c>
      <c r="F4673" t="str">
        <f>HYPERLINK("http://dwh.geoscience.nsw.gov.au/CI/warehouse/raw/drillhole?project=MIN&amp;site_id=025061","Geol Survey Link")</f>
        <v>Geol Survey Link</v>
      </c>
      <c r="H4673" t="s">
        <v>2955</v>
      </c>
      <c r="I4673">
        <v>-35.035200000000003</v>
      </c>
      <c r="J4673">
        <v>148.01400000000001</v>
      </c>
      <c r="K4673" t="str">
        <f>HYPERLINK("http://nvcl.geoscience.nsw.gov.au/NVCLDataServices/mosaic.html?datasetid=247d7bb4-4aff-497d-87a7-bc076696f28","DD90LT4_Core Image")</f>
        <v>DD90LT4_Core Image</v>
      </c>
    </row>
    <row r="4674" spans="1:11" x14ac:dyDescent="0.25">
      <c r="A4674" t="str">
        <f>HYPERLINK("http://www.corstruth.com.au/NSW/L1_cs.png","L1_A4")</f>
        <v>L1_A4</v>
      </c>
      <c r="B4674" t="str">
        <f>HYPERLINK("http://www.corstruth.com.au/NSW/PNG2/L1_cs.png","L1_0.25m Bins")</f>
        <v>L1_0.25m Bins</v>
      </c>
      <c r="C4674" t="str">
        <f>HYPERLINK("http://www.corstruth.com.au/NSW/CSV/L1.csv","L1_CSV File 1m Bins")</f>
        <v>L1_CSV File 1m Bins</v>
      </c>
      <c r="D4674" t="s">
        <v>2956</v>
      </c>
      <c r="E4674" t="s">
        <v>2198</v>
      </c>
      <c r="F4674" t="str">
        <f>HYPERLINK("http://dwh.geoscience.nsw.gov.au/CI/warehouse/raw/drillhole?project=MIN&amp;site_id=003420","Geol Survey Link")</f>
        <v>Geol Survey Link</v>
      </c>
      <c r="H4674" t="s">
        <v>2957</v>
      </c>
      <c r="I4674">
        <v>-30.802600000000002</v>
      </c>
      <c r="J4674">
        <v>145.19499999999999</v>
      </c>
      <c r="K4674" t="str">
        <f>HYPERLINK("http://nvcl.geoscience.nsw.gov.au/NVCLDataServices/mosaic.html?datasetid=58c58003-1ab7-482f-956a-9993e204932","L1_Core Image")</f>
        <v>L1_Core Image</v>
      </c>
    </row>
    <row r="4675" spans="1:11" x14ac:dyDescent="0.25">
      <c r="A4675" t="str">
        <f>HYPERLINK("http://www.corstruth.com.au/NSW/L2_cs.png","L2_A4")</f>
        <v>L2_A4</v>
      </c>
      <c r="B4675" t="str">
        <f>HYPERLINK("http://www.corstruth.com.au/NSW/PNG2/L2_cs.png","L2_0.25m Bins")</f>
        <v>L2_0.25m Bins</v>
      </c>
      <c r="C4675" t="str">
        <f>HYPERLINK("http://www.corstruth.com.au/NSW/CSV/L2.csv","L2_CSV File 1m Bins")</f>
        <v>L2_CSV File 1m Bins</v>
      </c>
      <c r="D4675" t="s">
        <v>2958</v>
      </c>
      <c r="E4675" t="s">
        <v>2198</v>
      </c>
      <c r="F4675" t="str">
        <f>HYPERLINK("http://dwh.geoscience.nsw.gov.au/CI/warehouse/raw/drillhole?project=MIN&amp;site_id=003421","Geol Survey Link")</f>
        <v>Geol Survey Link</v>
      </c>
      <c r="H4675" t="s">
        <v>2959</v>
      </c>
      <c r="I4675">
        <v>-30.802700000000002</v>
      </c>
      <c r="J4675">
        <v>145.19499999999999</v>
      </c>
      <c r="K4675" t="str">
        <f>HYPERLINK("http://nvcl.geoscience.nsw.gov.au/NVCLDataServices/mosaic.html?datasetid=17a87676-b478-46dc-9577-4b43eeadb36","L2_Core Image")</f>
        <v>L2_Core Image</v>
      </c>
    </row>
    <row r="4676" spans="1:11" x14ac:dyDescent="0.25">
      <c r="A4676" t="str">
        <f>HYPERLINK("http://www.corstruth.com.au/NSW/L3_cs.png","L3_A4")</f>
        <v>L3_A4</v>
      </c>
      <c r="B4676" t="str">
        <f>HYPERLINK("http://www.corstruth.com.au/NSW/PNG2/L3_cs.png","L3_0.25m Bins")</f>
        <v>L3_0.25m Bins</v>
      </c>
      <c r="C4676" t="str">
        <f>HYPERLINK("http://www.corstruth.com.au/NSW/CSV/L3.csv","L3_CSV File 1m Bins")</f>
        <v>L3_CSV File 1m Bins</v>
      </c>
      <c r="D4676" t="s">
        <v>2960</v>
      </c>
      <c r="E4676" t="s">
        <v>2198</v>
      </c>
      <c r="F4676" t="str">
        <f>HYPERLINK("http://dwh.geoscience.nsw.gov.au/CI/warehouse/raw/drillhole?project=MIN&amp;site_id=003422","Geol Survey Link")</f>
        <v>Geol Survey Link</v>
      </c>
      <c r="H4676" t="s">
        <v>2961</v>
      </c>
      <c r="I4676">
        <v>-30.797699999999999</v>
      </c>
      <c r="J4676">
        <v>145.203</v>
      </c>
      <c r="K4676" t="str">
        <f>HYPERLINK("http://nvcl.geoscience.nsw.gov.au/NVCLDataServices/mosaic.html?datasetid=1e65b4bc-10c2-428b-9345-4f24879e129","L3_Core Image")</f>
        <v>L3_Core Image</v>
      </c>
    </row>
    <row r="4677" spans="1:11" x14ac:dyDescent="0.25">
      <c r="A4677" t="str">
        <f>HYPERLINK("http://www.corstruth.com.au/NSW/L4_cs.png","L4_A4")</f>
        <v>L4_A4</v>
      </c>
      <c r="B4677" t="str">
        <f>HYPERLINK("http://www.corstruth.com.au/NSW/PNG2/L4_cs.png","L4_0.25m Bins")</f>
        <v>L4_0.25m Bins</v>
      </c>
      <c r="C4677" t="str">
        <f>HYPERLINK("http://www.corstruth.com.au/NSW/CSV/L4.csv","L4_CSV File 1m Bins")</f>
        <v>L4_CSV File 1m Bins</v>
      </c>
      <c r="D4677" t="s">
        <v>2962</v>
      </c>
      <c r="E4677" t="s">
        <v>2198</v>
      </c>
      <c r="F4677" t="str">
        <f>HYPERLINK("http://dwh.geoscience.nsw.gov.au/CI/warehouse/raw/drillhole?project=MIN&amp;site_id=003423","Geol Survey Link")</f>
        <v>Geol Survey Link</v>
      </c>
      <c r="H4677" t="s">
        <v>2963</v>
      </c>
      <c r="I4677">
        <v>-30.81</v>
      </c>
      <c r="J4677">
        <v>145.21100000000001</v>
      </c>
      <c r="K4677" t="str">
        <f>HYPERLINK("http://nvcl.geoscience.nsw.gov.au/NVCLDataServices/mosaic.html?datasetid=a9e0523a-6165-477d-86bb-cc9ede0337a","L4_Core Image")</f>
        <v>L4_Core Image</v>
      </c>
    </row>
    <row r="4678" spans="1:11" x14ac:dyDescent="0.25">
      <c r="A4678" t="str">
        <f>HYPERLINK("http://www.corstruth.com.au/NSW/LN1_cs.png","LN1_A4")</f>
        <v>LN1_A4</v>
      </c>
      <c r="B4678" t="str">
        <f>HYPERLINK("http://www.corstruth.com.au/NSW/PNG2/LN1_cs.png","LN1_0.25m Bins")</f>
        <v>LN1_0.25m Bins</v>
      </c>
      <c r="C4678" t="str">
        <f>HYPERLINK("http://www.corstruth.com.au/NSW/CSV/LN1.csv","LN1_CSV File 1m Bins")</f>
        <v>LN1_CSV File 1m Bins</v>
      </c>
      <c r="D4678" t="s">
        <v>2964</v>
      </c>
      <c r="E4678" t="s">
        <v>2198</v>
      </c>
      <c r="F4678" t="str">
        <f>HYPERLINK("http://dwh.geoscience.nsw.gov.au/CI/warehouse/raw/drillhole?project=MIN&amp;site_id=039931","Geol Survey Link")</f>
        <v>Geol Survey Link</v>
      </c>
      <c r="H4678" t="s">
        <v>2965</v>
      </c>
      <c r="I4678">
        <v>-32.226100000000002</v>
      </c>
      <c r="J4678">
        <v>146.148</v>
      </c>
      <c r="K4678" t="str">
        <f>HYPERLINK("http://nvcl.geoscience.nsw.gov.au/NVCLDataServices/mosaic.html?datasetid=9b6863ad-fbaf-4c81-b1b6-73d771f678d","LN1_Core Image")</f>
        <v>LN1_Core Image</v>
      </c>
    </row>
    <row r="4679" spans="1:11" x14ac:dyDescent="0.25">
      <c r="A4679" t="str">
        <f>HYPERLINK("http://www.corstruth.com.au/NSW/LN3_cs.png","LN3_A4")</f>
        <v>LN3_A4</v>
      </c>
      <c r="B4679" t="str">
        <f>HYPERLINK("http://www.corstruth.com.au/NSW/PNG2/LN3_cs.png","LN3_0.25m Bins")</f>
        <v>LN3_0.25m Bins</v>
      </c>
      <c r="C4679" t="str">
        <f>HYPERLINK("http://www.corstruth.com.au/NSW/CSV/LN3.csv","LN3_CSV File 1m Bins")</f>
        <v>LN3_CSV File 1m Bins</v>
      </c>
      <c r="D4679" t="s">
        <v>2966</v>
      </c>
      <c r="E4679" t="s">
        <v>2198</v>
      </c>
      <c r="F4679" t="str">
        <f>HYPERLINK("http://dwh.geoscience.nsw.gov.au/CI/warehouse/raw/drillhole?project=MIN&amp;site_id=039933","Geol Survey Link")</f>
        <v>Geol Survey Link</v>
      </c>
      <c r="H4679" t="s">
        <v>2965</v>
      </c>
      <c r="I4679">
        <v>-32.225200000000001</v>
      </c>
      <c r="J4679">
        <v>146.148</v>
      </c>
      <c r="K4679" t="str">
        <f>HYPERLINK("http://nvcl.geoscience.nsw.gov.au/NVCLDataServices/mosaic.html?datasetid=0d06972e-b93e-47ed-9357-dfa5a29a1e7","LN3_Core Image")</f>
        <v>LN3_Core Image</v>
      </c>
    </row>
    <row r="4680" spans="1:11" x14ac:dyDescent="0.25">
      <c r="A4680" t="str">
        <f>HYPERLINK("http://www.corstruth.com.au/NSW/LS1_cs.png","LS1_A4")</f>
        <v>LS1_A4</v>
      </c>
      <c r="B4680" t="str">
        <f>HYPERLINK("http://www.corstruth.com.au/NSW/PNG2/LS1_cs.png","LS1_0.25m Bins")</f>
        <v>LS1_0.25m Bins</v>
      </c>
      <c r="C4680" t="str">
        <f>HYPERLINK("http://www.corstruth.com.au/NSW/CSV/LS1.csv","LS1_CSV File 1m Bins")</f>
        <v>LS1_CSV File 1m Bins</v>
      </c>
      <c r="D4680" t="s">
        <v>2967</v>
      </c>
      <c r="E4680" t="s">
        <v>2198</v>
      </c>
      <c r="F4680" t="str">
        <f>HYPERLINK("http://dwh.geoscience.nsw.gov.au/CI/warehouse/raw/drillhole?project=MIN&amp;site_id=039937","Geol Survey Link")</f>
        <v>Geol Survey Link</v>
      </c>
      <c r="H4680" t="s">
        <v>2968</v>
      </c>
      <c r="I4680">
        <v>-32.265799999999999</v>
      </c>
      <c r="J4680">
        <v>146.13</v>
      </c>
      <c r="K4680" t="str">
        <f>HYPERLINK("http://nvcl.geoscience.nsw.gov.au/NVCLDataServices/mosaic.html?datasetid=b86886c8-daab-4788-a168-ead62b3958c","LS1_Core Image")</f>
        <v>LS1_Core Image</v>
      </c>
    </row>
    <row r="4681" spans="1:11" x14ac:dyDescent="0.25">
      <c r="A4681" t="str">
        <f>HYPERLINK("http://www.corstruth.com.au/NSW/KPD003_cs.png","KPD003_A4")</f>
        <v>KPD003_A4</v>
      </c>
      <c r="D4681" t="s">
        <v>2969</v>
      </c>
      <c r="E4681" t="s">
        <v>2198</v>
      </c>
      <c r="F4681" t="str">
        <f>HYPERLINK("http://dwh.geoscience.nsw.gov.au/CI/warehouse/raw/drillhole?project=MIN&amp;site_id=080449","Geol Survey Link")</f>
        <v>Geol Survey Link</v>
      </c>
      <c r="H4681" t="s">
        <v>2970</v>
      </c>
      <c r="I4681">
        <v>-33.485799999999998</v>
      </c>
      <c r="J4681">
        <v>149.32499999999999</v>
      </c>
      <c r="K4681" t="str">
        <f>HYPERLINK("http://nvcl.geoscience.nsw.gov.au/NVCLDataServices/mosaic.html?datasetid=47631cdd-6dd6-4556-a953-44e9871feaf","KPD003_Core Image")</f>
        <v>KPD003_Core Image</v>
      </c>
    </row>
    <row r="4682" spans="1:11" x14ac:dyDescent="0.25">
      <c r="A4682" t="str">
        <f>HYPERLINK("http://www.corstruth.com.au/NSW/DDHBDB-5_cs.png","DDHBDB-5_A4")</f>
        <v>DDHBDB-5_A4</v>
      </c>
      <c r="B4682" t="str">
        <f>HYPERLINK("http://www.corstruth.com.au/NSW/PNG2/DDHBDB-5_cs.png","DDHBDB-5_0.25m Bins")</f>
        <v>DDHBDB-5_0.25m Bins</v>
      </c>
      <c r="C4682" t="str">
        <f>HYPERLINK("http://www.corstruth.com.au/NSW/CSV/DDHBDB-5.csv","DDHBDB-5_CSV File 1m Bins")</f>
        <v>DDHBDB-5_CSV File 1m Bins</v>
      </c>
      <c r="D4682" t="s">
        <v>2971</v>
      </c>
      <c r="E4682" t="s">
        <v>2198</v>
      </c>
      <c r="F4682" t="str">
        <f>HYPERLINK("http://dwh.geoscience.nsw.gov.au/CI/warehouse/raw/drillhole?project=MIN&amp;site_id=006745","Geol Survey Link")</f>
        <v>Geol Survey Link</v>
      </c>
      <c r="H4682" t="s">
        <v>2972</v>
      </c>
      <c r="I4682">
        <v>-32.073099999999997</v>
      </c>
      <c r="J4682">
        <v>147.26900000000001</v>
      </c>
      <c r="K4682" t="str">
        <f>HYPERLINK("http://nvcl.geoscience.nsw.gov.au/NVCLDataServices/mosaic.html?datasetid=a5ec46b2-e851-4db0-9fd4-2518208492e","DDHBDB-5_Core Image")</f>
        <v>DDHBDB-5_Core Image</v>
      </c>
    </row>
    <row r="4683" spans="1:11" x14ac:dyDescent="0.25">
      <c r="A4683" t="str">
        <f>HYPERLINK("http://www.corstruth.com.au/NSW/DDH-4A_cs.png","DDH-4A_A4")</f>
        <v>DDH-4A_A4</v>
      </c>
      <c r="D4683" t="s">
        <v>2973</v>
      </c>
      <c r="E4683" t="s">
        <v>2198</v>
      </c>
      <c r="F4683" t="str">
        <f>HYPERLINK("http://dwh.geoscience.nsw.gov.au/CI/warehouse/raw/drillhole?project=MIN&amp;site_id=024744","Geol Survey Link")</f>
        <v>Geol Survey Link</v>
      </c>
      <c r="H4683" t="s">
        <v>2974</v>
      </c>
      <c r="I4683">
        <v>-35.545999999999999</v>
      </c>
      <c r="J4683">
        <v>149.74600000000001</v>
      </c>
      <c r="K4683" t="str">
        <f>HYPERLINK("http://nvcl.geoscience.nsw.gov.au/NVCLDataServices/mosaic.html?datasetid=e626c1d8-ce5e-4eb6-bd09-6cf7dbd9901","DDH-4A_Core Image")</f>
        <v>DDH-4A_Core Image</v>
      </c>
    </row>
    <row r="4684" spans="1:11" x14ac:dyDescent="0.25">
      <c r="A4684" t="str">
        <f>HYPERLINK("http://www.corstruth.com.au/NSW/DDH-8_cs.png","DDH-8_A4")</f>
        <v>DDH-8_A4</v>
      </c>
      <c r="D4684" t="s">
        <v>2975</v>
      </c>
      <c r="E4684" t="s">
        <v>2198</v>
      </c>
      <c r="F4684" t="str">
        <f>HYPERLINK("http://dwh.geoscience.nsw.gov.au/CI/warehouse/raw/drillhole?project=MIN&amp;site_id=024746","Geol Survey Link")</f>
        <v>Geol Survey Link</v>
      </c>
      <c r="H4684" t="s">
        <v>2974</v>
      </c>
      <c r="I4684">
        <v>-35.547600000000003</v>
      </c>
      <c r="J4684">
        <v>149.745</v>
      </c>
      <c r="K4684" t="str">
        <f>HYPERLINK("http://nvcl.geoscience.nsw.gov.au/NVCLDataServices/mosaic.html?datasetid=b0ef453e-fd56-440e-84af-b4c0ee60314","DDH-8_Core Image")</f>
        <v>DDH-8_Core Image</v>
      </c>
    </row>
    <row r="4685" spans="1:11" x14ac:dyDescent="0.25">
      <c r="A4685" t="str">
        <f>HYPERLINK("http://www.corstruth.com.au/NSW/DDH-9_cs.png","DDH-9_A4")</f>
        <v>DDH-9_A4</v>
      </c>
      <c r="B4685" t="str">
        <f>HYPERLINK("http://www.corstruth.com.au/NSW/PNG2/DDH-9_cs.png","DDH-9_0.25m Bins")</f>
        <v>DDH-9_0.25m Bins</v>
      </c>
      <c r="C4685" t="str">
        <f>HYPERLINK("http://www.corstruth.com.au/NSW/CSV/DDH-9.csv","DDH-9_CSV File 1m Bins")</f>
        <v>DDH-9_CSV File 1m Bins</v>
      </c>
      <c r="D4685" t="s">
        <v>2976</v>
      </c>
      <c r="E4685" t="s">
        <v>2198</v>
      </c>
      <c r="F4685" t="str">
        <f>HYPERLINK("http://dwh.geoscience.nsw.gov.au/CI/warehouse/raw/drillhole?project=MIN&amp;site_id=024747","Geol Survey Link")</f>
        <v>Geol Survey Link</v>
      </c>
      <c r="H4685" t="s">
        <v>2974</v>
      </c>
      <c r="I4685">
        <v>-35.5458</v>
      </c>
      <c r="J4685">
        <v>149.74700000000001</v>
      </c>
      <c r="K4685" t="str">
        <f>HYPERLINK("http://nvcl.geoscience.nsw.gov.au/NVCLDataServices/mosaic.html?datasetid=3d1904ff-413d-4bcc-85b7-84def5c2ed5","DDH-9_Core Image")</f>
        <v>DDH-9_Core Image</v>
      </c>
    </row>
    <row r="4686" spans="1:11" x14ac:dyDescent="0.25">
      <c r="A4686" t="str">
        <f>HYPERLINK("http://www.corstruth.com.au/NSW/DREX027_cs.png","DREX027_A4")</f>
        <v>DREX027_A4</v>
      </c>
      <c r="B4686" t="str">
        <f>HYPERLINK("http://www.corstruth.com.au/NSW/PNG2/DREX027_cs.png","DREX027_0.25m Bins")</f>
        <v>DREX027_0.25m Bins</v>
      </c>
      <c r="C4686" t="str">
        <f>HYPERLINK("http://www.corstruth.com.au/NSW/CSV/DREX027.csv","DREX027_CSV File 1m Bins")</f>
        <v>DREX027_CSV File 1m Bins</v>
      </c>
      <c r="D4686" t="s">
        <v>2977</v>
      </c>
      <c r="E4686" t="s">
        <v>2198</v>
      </c>
      <c r="F4686" t="str">
        <f>HYPERLINK("http://dwh.geoscience.nsw.gov.au/CI/warehouse/raw/drillhole?project=MIN&amp;site_id=118846","Geol Survey Link")</f>
        <v>Geol Survey Link</v>
      </c>
      <c r="H4686" t="s">
        <v>2974</v>
      </c>
      <c r="I4686">
        <v>-35.546700000000001</v>
      </c>
      <c r="J4686">
        <v>149.74700000000001</v>
      </c>
      <c r="K4686" t="str">
        <f>HYPERLINK("http://nvcl.geoscience.nsw.gov.au/NVCLDataServices/mosaic.html?datasetid=2ae84b7f-9192-483a-9d1c-20bad84f0ef","DREX027_Core Image")</f>
        <v>DREX027_Core Image</v>
      </c>
    </row>
    <row r="4687" spans="1:11" x14ac:dyDescent="0.25">
      <c r="A4687" t="str">
        <f>HYPERLINK("http://www.corstruth.com.au/NSW/DREX210_cs.png","DREX210_A4")</f>
        <v>DREX210_A4</v>
      </c>
      <c r="B4687" t="str">
        <f>HYPERLINK("http://www.corstruth.com.au/NSW/PNG2/DREX210_cs.png","DREX210_0.25m Bins")</f>
        <v>DREX210_0.25m Bins</v>
      </c>
      <c r="C4687" t="str">
        <f>HYPERLINK("http://www.corstruth.com.au/NSW/CSV/DREX210.csv","DREX210_CSV File 1m Bins")</f>
        <v>DREX210_CSV File 1m Bins</v>
      </c>
      <c r="D4687" t="s">
        <v>2978</v>
      </c>
      <c r="E4687" t="s">
        <v>2198</v>
      </c>
      <c r="F4687" t="str">
        <f>HYPERLINK("http://dwh.geoscience.nsw.gov.au/CI/warehouse/raw/drillhole?project=MIN&amp;site_id=069759","Geol Survey Link")</f>
        <v>Geol Survey Link</v>
      </c>
      <c r="H4687" t="s">
        <v>2974</v>
      </c>
      <c r="I4687">
        <v>-35.543100000000003</v>
      </c>
      <c r="J4687">
        <v>149.74700000000001</v>
      </c>
    </row>
    <row r="4688" spans="1:11" x14ac:dyDescent="0.25">
      <c r="A4688" t="str">
        <f>HYPERLINK("http://www.corstruth.com.au/NSW/DREX230_cs.png","DREX230_A4")</f>
        <v>DREX230_A4</v>
      </c>
      <c r="B4688" t="str">
        <f>HYPERLINK("http://www.corstruth.com.au/NSW/PNG2/DREX230_cs.png","DREX230_0.25m Bins")</f>
        <v>DREX230_0.25m Bins</v>
      </c>
      <c r="C4688" t="str">
        <f>HYPERLINK("http://www.corstruth.com.au/NSW/CSV/DREX230.csv","DREX230_CSV File 1m Bins")</f>
        <v>DREX230_CSV File 1m Bins</v>
      </c>
      <c r="D4688" t="s">
        <v>2978</v>
      </c>
      <c r="E4688" t="s">
        <v>2198</v>
      </c>
      <c r="F4688" t="str">
        <f>HYPERLINK("http://dwh.geoscience.nsw.gov.au/CI/warehouse/raw/drillhole?project=MIN&amp;site_id=069759","Geol Survey Link")</f>
        <v>Geol Survey Link</v>
      </c>
      <c r="H4688" t="s">
        <v>2974</v>
      </c>
      <c r="I4688">
        <v>-35.543100000000003</v>
      </c>
      <c r="J4688">
        <v>149.74700000000001</v>
      </c>
    </row>
    <row r="4689" spans="1:11" x14ac:dyDescent="0.25">
      <c r="A4689" t="str">
        <f>HYPERLINK("http://www.corstruth.com.au/NSW/DREX230W2_cs.png","DREX230W2_A4")</f>
        <v>DREX230W2_A4</v>
      </c>
      <c r="B4689" t="str">
        <f>HYPERLINK("http://www.corstruth.com.au/NSW/PNG2/DREX230W2_cs.png","DREX230W2_0.25m Bins")</f>
        <v>DREX230W2_0.25m Bins</v>
      </c>
      <c r="C4689" t="str">
        <f>HYPERLINK("http://www.corstruth.com.au/NSW/CSV/DREX230W2.csv","DREX230W2_CSV File 1m Bins")</f>
        <v>DREX230W2_CSV File 1m Bins</v>
      </c>
      <c r="D4689" t="s">
        <v>2979</v>
      </c>
      <c r="E4689" t="s">
        <v>2198</v>
      </c>
      <c r="F4689" t="str">
        <f>HYPERLINK("http://dwh.geoscience.nsw.gov.au/CI/warehouse/raw/drillhole?project=MIN&amp;site_id=069785","Geol Survey Link")</f>
        <v>Geol Survey Link</v>
      </c>
      <c r="H4689" t="s">
        <v>2974</v>
      </c>
      <c r="I4689">
        <v>-35.550400000000003</v>
      </c>
      <c r="J4689">
        <v>149.74799999999999</v>
      </c>
      <c r="K4689" t="str">
        <f>HYPERLINK("http://nvcl.geoscience.nsw.gov.au/NVCLDataServices/mosaic.html?datasetid=1b0bab7a-2d0d-416a-ba76-a488cf0eaf0","DREX230W2_Core Image")</f>
        <v>DREX230W2_Core Image</v>
      </c>
    </row>
    <row r="4690" spans="1:11" x14ac:dyDescent="0.25">
      <c r="A4690" t="str">
        <f>HYPERLINK("http://www.corstruth.com.au/NSW/MBDD003_cs.png","MBDD003_A4")</f>
        <v>MBDD003_A4</v>
      </c>
      <c r="B4690" t="str">
        <f>HYPERLINK("http://www.corstruth.com.au/NSW/PNG2/MBDD003_cs.png","MBDD003_0.25m Bins")</f>
        <v>MBDD003_0.25m Bins</v>
      </c>
      <c r="C4690" t="str">
        <f>HYPERLINK("http://www.corstruth.com.au/NSW/CSV/MBDD003.csv","MBDD003_CSV File 1m Bins")</f>
        <v>MBDD003_CSV File 1m Bins</v>
      </c>
      <c r="D4690" t="s">
        <v>2980</v>
      </c>
      <c r="E4690" t="s">
        <v>2198</v>
      </c>
      <c r="F4690" t="str">
        <f>HYPERLINK("http://dwh.geoscience.nsw.gov.au/CI/warehouse/raw/drillhole?project=MIN&amp;site_id=085087","Geol Survey Link")</f>
        <v>Geol Survey Link</v>
      </c>
      <c r="H4690" t="s">
        <v>2981</v>
      </c>
      <c r="I4690">
        <v>-32.412999999999997</v>
      </c>
      <c r="J4690">
        <v>146.09800000000001</v>
      </c>
      <c r="K4690" t="str">
        <f>HYPERLINK("http://nvcl.geoscience.nsw.gov.au/NVCLDataServices/mosaic.html?datasetid=9b7e4205-5e65-47a7-a983-f3e6424cea7","MBDD003_Core Image")</f>
        <v>MBDD003_Core Image</v>
      </c>
    </row>
    <row r="4691" spans="1:11" x14ac:dyDescent="0.25">
      <c r="A4691" t="str">
        <f>HYPERLINK("http://www.corstruth.com.au/NSW/MBDD007_cs.png","MBDD007_A4")</f>
        <v>MBDD007_A4</v>
      </c>
      <c r="B4691" t="str">
        <f>HYPERLINK("http://www.corstruth.com.au/NSW/PNG2/MBDD007_cs.png","MBDD007_0.25m Bins")</f>
        <v>MBDD007_0.25m Bins</v>
      </c>
      <c r="C4691" t="str">
        <f>HYPERLINK("http://www.corstruth.com.au/NSW/CSV/MBDD007.csv","MBDD007_CSV File 1m Bins")</f>
        <v>MBDD007_CSV File 1m Bins</v>
      </c>
      <c r="D4691" t="s">
        <v>2982</v>
      </c>
      <c r="E4691" t="s">
        <v>2198</v>
      </c>
      <c r="F4691" t="str">
        <f>HYPERLINK("http://dwh.geoscience.nsw.gov.au/CI/warehouse/raw/drillhole?project=MIN&amp;site_id=085091","Geol Survey Link")</f>
        <v>Geol Survey Link</v>
      </c>
      <c r="H4691" t="s">
        <v>2981</v>
      </c>
      <c r="I4691">
        <v>-32.413699999999999</v>
      </c>
      <c r="J4691">
        <v>146.09800000000001</v>
      </c>
      <c r="K4691" t="str">
        <f>HYPERLINK("http://nvcl.geoscience.nsw.gov.au/NVCLDataServices/mosaic.html?datasetid=388565c6-51f1-4e12-bda5-93a17c9d4c5","MBDD007_Core Image")</f>
        <v>MBDD007_Core Image</v>
      </c>
    </row>
    <row r="4692" spans="1:11" x14ac:dyDescent="0.25">
      <c r="A4692" t="str">
        <f>HYPERLINK("http://www.corstruth.com.au/NSW/MBRC019_cs.png","MBRC019_A4")</f>
        <v>MBRC019_A4</v>
      </c>
      <c r="B4692" t="str">
        <f>HYPERLINK("http://www.corstruth.com.au/NSW/PNG2/MBRC019_cs.png","MBRC019_0.25m Bins")</f>
        <v>MBRC019_0.25m Bins</v>
      </c>
      <c r="C4692" t="str">
        <f>HYPERLINK("http://www.corstruth.com.au/NSW/CSV/MBRC019.csv","MBRC019_CSV File 1m Bins")</f>
        <v>MBRC019_CSV File 1m Bins</v>
      </c>
      <c r="D4692" t="s">
        <v>2983</v>
      </c>
      <c r="E4692" t="s">
        <v>2198</v>
      </c>
      <c r="F4692" t="str">
        <f>HYPERLINK("http://dwh.geoscience.nsw.gov.au/CI/warehouse/raw/drillhole?project=MIN&amp;site_id=171886","Geol Survey Link")</f>
        <v>Geol Survey Link</v>
      </c>
      <c r="H4692" t="s">
        <v>2981</v>
      </c>
      <c r="I4692">
        <v>-32.412999999999997</v>
      </c>
      <c r="J4692">
        <v>146.1</v>
      </c>
      <c r="K4692" t="str">
        <f>HYPERLINK("http://nvcl.geoscience.nsw.gov.au/NVCLDataServices/mosaic.html?datasetid=0d6a4e03-5ac4-47d1-824c-7286b8bc428","MBRC019_Core Image")</f>
        <v>MBRC019_Core Image</v>
      </c>
    </row>
    <row r="4693" spans="1:11" x14ac:dyDescent="0.25">
      <c r="A4693" t="str">
        <f>HYPERLINK("http://www.corstruth.com.au/NSW/MMRH1001_cs.png","MMRH1001_A4")</f>
        <v>MMRH1001_A4</v>
      </c>
      <c r="B4693" t="str">
        <f>HYPERLINK("http://www.corstruth.com.au/NSW/PNG2/MMRH1001_cs.png","MMRH1001_0.25m Bins")</f>
        <v>MMRH1001_0.25m Bins</v>
      </c>
      <c r="C4693" t="str">
        <f>HYPERLINK("http://www.corstruth.com.au/NSW/CSV/MMRH1001.csv","MMRH1001_CSV File 1m Bins")</f>
        <v>MMRH1001_CSV File 1m Bins</v>
      </c>
      <c r="D4693" t="s">
        <v>2984</v>
      </c>
      <c r="E4693" t="s">
        <v>2198</v>
      </c>
      <c r="F4693" t="str">
        <f>HYPERLINK("http://dwh.geoscience.nsw.gov.au/CI/warehouse/raw/drillhole?project=MIN&amp;site_id=011391","Geol Survey Link")</f>
        <v>Geol Survey Link</v>
      </c>
      <c r="H4693" t="s">
        <v>2985</v>
      </c>
      <c r="I4693">
        <v>-34.186199999999999</v>
      </c>
      <c r="J4693">
        <v>147.38300000000001</v>
      </c>
      <c r="K4693" t="str">
        <f>HYPERLINK("http://nvcl.geoscience.nsw.gov.au/NVCLDataServices/mosaic.html?datasetid=10d0d25d-43aa-4f33-a80f-43129366b1f","MMRH1001_Core Image")</f>
        <v>MMRH1001_Core Image</v>
      </c>
    </row>
    <row r="4694" spans="1:11" x14ac:dyDescent="0.25">
      <c r="A4694" t="str">
        <f>HYPERLINK("http://www.corstruth.com.au/NSW/MMRH1002_cs.png","MMRH1002_A4")</f>
        <v>MMRH1002_A4</v>
      </c>
      <c r="B4694" t="str">
        <f>HYPERLINK("http://www.corstruth.com.au/NSW/PNG2/MMRH1002_cs.png","MMRH1002_0.25m Bins")</f>
        <v>MMRH1002_0.25m Bins</v>
      </c>
      <c r="C4694" t="str">
        <f>HYPERLINK("http://www.corstruth.com.au/NSW/CSV/MMRH1002.csv","MMRH1002_CSV File 1m Bins")</f>
        <v>MMRH1002_CSV File 1m Bins</v>
      </c>
      <c r="D4694" t="s">
        <v>2986</v>
      </c>
      <c r="E4694" t="s">
        <v>2198</v>
      </c>
      <c r="F4694" t="str">
        <f>HYPERLINK("http://dwh.geoscience.nsw.gov.au/CI/warehouse/raw/drillhole?project=MIN&amp;site_id=011392","Geol Survey Link")</f>
        <v>Geol Survey Link</v>
      </c>
      <c r="H4694" t="s">
        <v>2985</v>
      </c>
      <c r="I4694">
        <v>-34.184399999999997</v>
      </c>
      <c r="J4694">
        <v>147.38300000000001</v>
      </c>
      <c r="K4694" t="str">
        <f>HYPERLINK("http://nvcl.geoscience.nsw.gov.au/NVCLDataServices/mosaic.html?datasetid=0ddb0ade-4ae4-4176-b49e-58cb5e575a6","MMRH1002_Core Image")</f>
        <v>MMRH1002_Core Image</v>
      </c>
    </row>
    <row r="4695" spans="1:11" x14ac:dyDescent="0.25">
      <c r="A4695" t="str">
        <f>HYPERLINK("http://www.corstruth.com.au/NSW/MMRH1008_cs.png","MMRH1008_A4")</f>
        <v>MMRH1008_A4</v>
      </c>
      <c r="B4695" t="str">
        <f>HYPERLINK("http://www.corstruth.com.au/NSW/PNG2/MMRH1008_cs.png","MMRH1008_0.25m Bins")</f>
        <v>MMRH1008_0.25m Bins</v>
      </c>
      <c r="C4695" t="str">
        <f>HYPERLINK("http://www.corstruth.com.au/NSW/CSV/MMRH1008.csv","MMRH1008_CSV File 1m Bins")</f>
        <v>MMRH1008_CSV File 1m Bins</v>
      </c>
      <c r="D4695" t="s">
        <v>2987</v>
      </c>
      <c r="E4695" t="s">
        <v>2198</v>
      </c>
      <c r="F4695" t="str">
        <f>HYPERLINK("http://dwh.geoscience.nsw.gov.au/CI/warehouse/raw/drillhole?project=MIN&amp;site_id=011399","Geol Survey Link")</f>
        <v>Geol Survey Link</v>
      </c>
      <c r="H4695" t="s">
        <v>2985</v>
      </c>
      <c r="I4695">
        <v>-34.184699999999999</v>
      </c>
      <c r="J4695">
        <v>147.38200000000001</v>
      </c>
      <c r="K4695" t="str">
        <f>HYPERLINK("http://nvcl.geoscience.nsw.gov.au/NVCLDataServices/mosaic.html?datasetid=3fa021c2-e90f-4d60-9be4-6665f088c6d","MMRH1008_Core Image")</f>
        <v>MMRH1008_Core Image</v>
      </c>
    </row>
    <row r="4696" spans="1:11" x14ac:dyDescent="0.25">
      <c r="A4696" t="str">
        <f>HYPERLINK("http://www.corstruth.com.au/NSW/ACDMN063_cs.png","ACDMN063_A4")</f>
        <v>ACDMN063_A4</v>
      </c>
      <c r="B4696" t="str">
        <f>HYPERLINK("http://www.corstruth.com.au/NSW/PNG2/ACDMN063_cs.png","ACDMN063_0.25m Bins")</f>
        <v>ACDMN063_0.25m Bins</v>
      </c>
      <c r="C4696" t="str">
        <f>HYPERLINK("http://www.corstruth.com.au/NSW/CSV/ACDMN063.csv","ACDMN063_CSV File 1m Bins")</f>
        <v>ACDMN063_CSV File 1m Bins</v>
      </c>
      <c r="D4696" t="s">
        <v>2988</v>
      </c>
      <c r="E4696" t="s">
        <v>2198</v>
      </c>
      <c r="F4696" t="str">
        <f>HYPERLINK("http://dwh.geoscience.nsw.gov.au/CI/warehouse/raw/drillhole?project=MIN&amp;site_id=057340","Geol Survey Link")</f>
        <v>Geol Survey Link</v>
      </c>
      <c r="H4696" t="s">
        <v>2989</v>
      </c>
      <c r="I4696">
        <v>-33.730400000000003</v>
      </c>
      <c r="J4696">
        <v>147.541</v>
      </c>
      <c r="K4696" t="str">
        <f>HYPERLINK("http://nvcl.geoscience.nsw.gov.au/NVCLDataServices/mosaic.html?datasetid=6f18c5e9-b84a-4937-bd9e-63a639efb91","ACDMN063_Core Image")</f>
        <v>ACDMN063_Core Image</v>
      </c>
    </row>
    <row r="4697" spans="1:11" x14ac:dyDescent="0.25">
      <c r="A4697" t="str">
        <f>HYPERLINK("http://www.corstruth.com.au/NSW/ACDMN066_cs.png","ACDMN066_A4")</f>
        <v>ACDMN066_A4</v>
      </c>
      <c r="B4697" t="str">
        <f>HYPERLINK("http://www.corstruth.com.au/NSW/PNG2/ACDMN066_cs.png","ACDMN066_0.25m Bins")</f>
        <v>ACDMN066_0.25m Bins</v>
      </c>
      <c r="C4697" t="str">
        <f>HYPERLINK("http://www.corstruth.com.au/NSW/CSV/ACDMN066.csv","ACDMN066_CSV File 1m Bins")</f>
        <v>ACDMN066_CSV File 1m Bins</v>
      </c>
      <c r="D4697" t="s">
        <v>2990</v>
      </c>
      <c r="E4697" t="s">
        <v>2198</v>
      </c>
      <c r="F4697" t="str">
        <f>HYPERLINK("http://dwh.geoscience.nsw.gov.au/CI/warehouse/raw/drillhole?project=MIN&amp;site_id=057343","Geol Survey Link")</f>
        <v>Geol Survey Link</v>
      </c>
      <c r="H4697" t="s">
        <v>2991</v>
      </c>
      <c r="I4697">
        <v>-33.7318</v>
      </c>
      <c r="J4697">
        <v>147.542</v>
      </c>
      <c r="K4697" t="str">
        <f>HYPERLINK("http://nvcl.geoscience.nsw.gov.au/NVCLDataServices/mosaic.html?datasetid=317210cd-1baa-4c5f-86db-eb8c4596c17","ACDMN066_Core Image")</f>
        <v>ACDMN066_Core Image</v>
      </c>
    </row>
    <row r="4698" spans="1:11" x14ac:dyDescent="0.25">
      <c r="A4698" t="str">
        <f>HYPERLINK("http://www.corstruth.com.au/NSW/MY1A_cs.png","MY1A_A4")</f>
        <v>MY1A_A4</v>
      </c>
      <c r="B4698" t="str">
        <f>HYPERLINK("http://www.corstruth.com.au/NSW/PNG2/MY1A_cs.png","MY1A_0.25m Bins")</f>
        <v>MY1A_0.25m Bins</v>
      </c>
      <c r="C4698" t="str">
        <f>HYPERLINK("http://www.corstruth.com.au/NSW/CSV/MY1A.csv","MY1A_CSV File 1m Bins")</f>
        <v>MY1A_CSV File 1m Bins</v>
      </c>
      <c r="D4698" t="s">
        <v>2992</v>
      </c>
      <c r="E4698" t="s">
        <v>2198</v>
      </c>
      <c r="F4698" t="str">
        <f>HYPERLINK("http://dwh.geoscience.nsw.gov.au/CI/warehouse/raw/drillhole?project=MIN&amp;site_id=040668","Geol Survey Link")</f>
        <v>Geol Survey Link</v>
      </c>
      <c r="H4698" t="s">
        <v>2993</v>
      </c>
      <c r="I4698">
        <v>-32.425800000000002</v>
      </c>
      <c r="J4698">
        <v>146.00800000000001</v>
      </c>
      <c r="K4698" t="str">
        <f>HYPERLINK("http://nvcl.geoscience.nsw.gov.au/NVCLDataServices/mosaic.html?datasetid=91ed9b90-548f-4060-b743-021c301c054","MY1A_Core Image")</f>
        <v>MY1A_Core Image</v>
      </c>
    </row>
    <row r="4699" spans="1:11" x14ac:dyDescent="0.25">
      <c r="A4699" t="str">
        <f>HYPERLINK("http://www.corstruth.com.au/NSW/MY1B_cs.png","MY1B_A4")</f>
        <v>MY1B_A4</v>
      </c>
      <c r="B4699" t="str">
        <f>HYPERLINK("http://www.corstruth.com.au/NSW/PNG2/MY1B_cs.png","MY1B_0.25m Bins")</f>
        <v>MY1B_0.25m Bins</v>
      </c>
      <c r="C4699" t="str">
        <f>HYPERLINK("http://www.corstruth.com.au/NSW/CSV/MY1B.csv","MY1B_CSV File 1m Bins")</f>
        <v>MY1B_CSV File 1m Bins</v>
      </c>
      <c r="D4699" t="s">
        <v>2994</v>
      </c>
      <c r="E4699" t="s">
        <v>2198</v>
      </c>
      <c r="F4699" t="str">
        <f>HYPERLINK("http://dwh.geoscience.nsw.gov.au/CI/warehouse/raw/drillhole?project=MIN&amp;site_id=040669","Geol Survey Link")</f>
        <v>Geol Survey Link</v>
      </c>
      <c r="H4699" t="s">
        <v>2993</v>
      </c>
      <c r="I4699">
        <v>-32.425800000000002</v>
      </c>
      <c r="J4699">
        <v>146.00800000000001</v>
      </c>
    </row>
    <row r="4700" spans="1:11" x14ac:dyDescent="0.25">
      <c r="A4700" t="str">
        <f>HYPERLINK("http://www.corstruth.com.au/NSW/MY2_cs.png","MY2_A4")</f>
        <v>MY2_A4</v>
      </c>
      <c r="B4700" t="str">
        <f>HYPERLINK("http://www.corstruth.com.au/NSW/PNG2/MY2_cs.png","MY2_0.25m Bins")</f>
        <v>MY2_0.25m Bins</v>
      </c>
      <c r="C4700" t="str">
        <f>HYPERLINK("http://www.corstruth.com.au/NSW/CSV/MY2.csv","MY2_CSV File 1m Bins")</f>
        <v>MY2_CSV File 1m Bins</v>
      </c>
      <c r="D4700" t="s">
        <v>2995</v>
      </c>
      <c r="E4700" t="s">
        <v>2198</v>
      </c>
      <c r="F4700" t="str">
        <f>HYPERLINK("http://dwh.geoscience.nsw.gov.au/CI/warehouse/raw/drillhole?project=MIN&amp;site_id=040670","Geol Survey Link")</f>
        <v>Geol Survey Link</v>
      </c>
      <c r="H4700" t="s">
        <v>2993</v>
      </c>
      <c r="I4700">
        <v>-32.425199999999997</v>
      </c>
      <c r="J4700">
        <v>146.00899999999999</v>
      </c>
    </row>
    <row r="4701" spans="1:11" x14ac:dyDescent="0.25">
      <c r="A4701" t="str">
        <f>HYPERLINK("http://www.corstruth.com.au/NSW/MR10_cs.png","MR10_A4")</f>
        <v>MR10_A4</v>
      </c>
      <c r="B4701" t="str">
        <f>HYPERLINK("http://www.corstruth.com.au/NSW/PNG2/MR10_cs.png","MR10_0.25m Bins")</f>
        <v>MR10_0.25m Bins</v>
      </c>
      <c r="C4701" t="str">
        <f>HYPERLINK("http://www.corstruth.com.au/NSW/CSV/MR10.csv","MR10_CSV File 1m Bins")</f>
        <v>MR10_CSV File 1m Bins</v>
      </c>
      <c r="D4701" t="s">
        <v>2996</v>
      </c>
      <c r="E4701" t="s">
        <v>2198</v>
      </c>
      <c r="F4701" t="str">
        <f>HYPERLINK("http://dwh.geoscience.nsw.gov.au/CI/warehouse/raw/drillhole?project=MIN&amp;site_id=008225","Geol Survey Link")</f>
        <v>Geol Survey Link</v>
      </c>
      <c r="H4701" t="s">
        <v>2997</v>
      </c>
      <c r="I4701">
        <v>-34.666400000000003</v>
      </c>
      <c r="J4701">
        <v>148.43199999999999</v>
      </c>
      <c r="K4701" t="str">
        <f>HYPERLINK("http://nvcl.geoscience.nsw.gov.au/NVCLDataServices/mosaic.html?datasetid=dce99023-6d5c-48bb-80ad-de05e3244fd","MR10_Core Image")</f>
        <v>MR10_Core Image</v>
      </c>
    </row>
    <row r="4702" spans="1:11" x14ac:dyDescent="0.25">
      <c r="A4702" t="str">
        <f>HYPERLINK("http://www.corstruth.com.au/NSW/MR11_cs.png","MR11_A4")</f>
        <v>MR11_A4</v>
      </c>
      <c r="B4702" t="str">
        <f>HYPERLINK("http://www.corstruth.com.au/NSW/PNG2/MR11_cs.png","MR11_0.25m Bins")</f>
        <v>MR11_0.25m Bins</v>
      </c>
      <c r="C4702" t="str">
        <f>HYPERLINK("http://www.corstruth.com.au/NSW/CSV/MR11.csv","MR11_CSV File 1m Bins")</f>
        <v>MR11_CSV File 1m Bins</v>
      </c>
      <c r="D4702" t="s">
        <v>2998</v>
      </c>
      <c r="E4702" t="s">
        <v>2198</v>
      </c>
      <c r="F4702" t="str">
        <f>HYPERLINK("http://dwh.geoscience.nsw.gov.au/CI/warehouse/raw/drillhole?project=MIN&amp;site_id=008226","Geol Survey Link")</f>
        <v>Geol Survey Link</v>
      </c>
      <c r="H4702" t="s">
        <v>2997</v>
      </c>
      <c r="I4702">
        <v>-34.666200000000003</v>
      </c>
      <c r="J4702">
        <v>148.43199999999999</v>
      </c>
      <c r="K4702" t="str">
        <f>HYPERLINK("http://nvcl.geoscience.nsw.gov.au/NVCLDataServices/mosaic.html?datasetid=3c8ab327-7d32-417a-a83f-02dbbdd7bb8","MR11_Core Image")</f>
        <v>MR11_Core Image</v>
      </c>
    </row>
    <row r="4703" spans="1:11" x14ac:dyDescent="0.25">
      <c r="A4703" t="str">
        <f>HYPERLINK("http://www.corstruth.com.au/NSW/MR13_cs.png","MR13_A4")</f>
        <v>MR13_A4</v>
      </c>
      <c r="B4703" t="str">
        <f>HYPERLINK("http://www.corstruth.com.au/NSW/PNG2/MR13_cs.png","MR13_0.25m Bins")</f>
        <v>MR13_0.25m Bins</v>
      </c>
      <c r="C4703" t="str">
        <f>HYPERLINK("http://www.corstruth.com.au/NSW/CSV/MR13.csv","MR13_CSV File 1m Bins")</f>
        <v>MR13_CSV File 1m Bins</v>
      </c>
      <c r="D4703" t="s">
        <v>2999</v>
      </c>
      <c r="E4703" t="s">
        <v>2198</v>
      </c>
      <c r="F4703" t="str">
        <f>HYPERLINK("http://dwh.geoscience.nsw.gov.au/CI/warehouse/raw/drillhole?project=MIN&amp;site_id=008228","Geol Survey Link")</f>
        <v>Geol Survey Link</v>
      </c>
      <c r="H4703" t="s">
        <v>2997</v>
      </c>
      <c r="I4703">
        <v>-34.664700000000003</v>
      </c>
      <c r="J4703">
        <v>148.429</v>
      </c>
      <c r="K4703" t="str">
        <f>HYPERLINK("http://nvcl.geoscience.nsw.gov.au/NVCLDataServices/mosaic.html?datasetid=1c441413-8a2b-4e5a-a6b8-b9f3303f523","MR13_Core Image")</f>
        <v>MR13_Core Image</v>
      </c>
    </row>
    <row r="4704" spans="1:11" x14ac:dyDescent="0.25">
      <c r="A4704" t="str">
        <f>HYPERLINK("http://www.corstruth.com.au/NSW/MR2_cs.png","MR2_A4")</f>
        <v>MR2_A4</v>
      </c>
      <c r="B4704" t="str">
        <f>HYPERLINK("http://www.corstruth.com.au/NSW/PNG2/MR2_cs.png","MR2_0.25m Bins")</f>
        <v>MR2_0.25m Bins</v>
      </c>
      <c r="C4704" t="str">
        <f>HYPERLINK("http://www.corstruth.com.au/NSW/CSV/MR2.csv","MR2_CSV File 1m Bins")</f>
        <v>MR2_CSV File 1m Bins</v>
      </c>
      <c r="D4704" t="s">
        <v>3000</v>
      </c>
      <c r="E4704" t="s">
        <v>2198</v>
      </c>
      <c r="F4704" t="str">
        <f>HYPERLINK("http://dwh.geoscience.nsw.gov.au/CI/warehouse/raw/drillhole?project=MIN&amp;site_id=008217","Geol Survey Link")</f>
        <v>Geol Survey Link</v>
      </c>
      <c r="H4704" t="s">
        <v>2997</v>
      </c>
      <c r="I4704">
        <v>-34.668500000000002</v>
      </c>
      <c r="J4704">
        <v>148.43299999999999</v>
      </c>
      <c r="K4704" t="str">
        <f>HYPERLINK("http://nvcl.geoscience.nsw.gov.au/NVCLDataServices/mosaic.html?datasetid=ba671080-c0b4-4952-9d9d-e8679974916","MR2_Core Image")</f>
        <v>MR2_Core Image</v>
      </c>
    </row>
    <row r="4705" spans="1:11" x14ac:dyDescent="0.25">
      <c r="A4705" t="str">
        <f>HYPERLINK("http://www.corstruth.com.au/NSW/MR4_cs.png","MR4_A4")</f>
        <v>MR4_A4</v>
      </c>
      <c r="B4705" t="str">
        <f>HYPERLINK("http://www.corstruth.com.au/NSW/PNG2/MR4_cs.png","MR4_0.25m Bins")</f>
        <v>MR4_0.25m Bins</v>
      </c>
      <c r="C4705" t="str">
        <f>HYPERLINK("http://www.corstruth.com.au/NSW/CSV/MR4.csv","MR4_CSV File 1m Bins")</f>
        <v>MR4_CSV File 1m Bins</v>
      </c>
      <c r="D4705" t="s">
        <v>3001</v>
      </c>
      <c r="E4705" t="s">
        <v>2198</v>
      </c>
      <c r="F4705" t="str">
        <f>HYPERLINK("http://dwh.geoscience.nsw.gov.au/CI/warehouse/raw/drillhole?project=MIN&amp;site_id=008219","Geol Survey Link")</f>
        <v>Geol Survey Link</v>
      </c>
      <c r="H4705" t="s">
        <v>2997</v>
      </c>
      <c r="I4705">
        <v>-34.667499999999997</v>
      </c>
      <c r="J4705">
        <v>148.43100000000001</v>
      </c>
      <c r="K4705" t="str">
        <f>HYPERLINK("http://nvcl.geoscience.nsw.gov.au/NVCLDataServices/mosaic.html?datasetid=d2b0c65b-fd68-43d2-8999-4632ea9dcd3","MR4_Core Image")</f>
        <v>MR4_Core Image</v>
      </c>
    </row>
    <row r="4706" spans="1:11" x14ac:dyDescent="0.25">
      <c r="A4706" t="str">
        <f>HYPERLINK("http://www.corstruth.com.au/NSW/MR5_cs.png","MR5_A4")</f>
        <v>MR5_A4</v>
      </c>
      <c r="B4706" t="str">
        <f>HYPERLINK("http://www.corstruth.com.au/NSW/PNG2/MR5_cs.png","MR5_0.25m Bins")</f>
        <v>MR5_0.25m Bins</v>
      </c>
      <c r="C4706" t="str">
        <f>HYPERLINK("http://www.corstruth.com.au/NSW/CSV/MR5.csv","MR5_CSV File 1m Bins")</f>
        <v>MR5_CSV File 1m Bins</v>
      </c>
      <c r="D4706" t="s">
        <v>3002</v>
      </c>
      <c r="E4706" t="s">
        <v>2198</v>
      </c>
      <c r="F4706" t="str">
        <f>HYPERLINK("http://dwh.geoscience.nsw.gov.au/CI/warehouse/raw/drillhole?project=MIN&amp;site_id=008220","Geol Survey Link")</f>
        <v>Geol Survey Link</v>
      </c>
      <c r="H4706" t="s">
        <v>2997</v>
      </c>
      <c r="I4706">
        <v>-34.668799999999997</v>
      </c>
      <c r="J4706">
        <v>148.434</v>
      </c>
      <c r="K4706" t="str">
        <f>HYPERLINK("http://nvcl.geoscience.nsw.gov.au/NVCLDataServices/mosaic.html?datasetid=31da0e2c-6409-45b6-8b77-078585b4096","MR5_Core Image")</f>
        <v>MR5_Core Image</v>
      </c>
    </row>
    <row r="4707" spans="1:11" x14ac:dyDescent="0.25">
      <c r="A4707" t="str">
        <f>HYPERLINK("http://www.corstruth.com.au/NSW/MR9_cs.png","MR9_A4")</f>
        <v>MR9_A4</v>
      </c>
      <c r="B4707" t="str">
        <f>HYPERLINK("http://www.corstruth.com.au/NSW/PNG2/MR9_cs.png","MR9_0.25m Bins")</f>
        <v>MR9_0.25m Bins</v>
      </c>
      <c r="C4707" t="str">
        <f>HYPERLINK("http://www.corstruth.com.au/NSW/CSV/MR9.csv","MR9_CSV File 1m Bins")</f>
        <v>MR9_CSV File 1m Bins</v>
      </c>
      <c r="D4707" t="s">
        <v>3003</v>
      </c>
      <c r="E4707" t="s">
        <v>2198</v>
      </c>
      <c r="F4707" t="str">
        <f>HYPERLINK("http://dwh.geoscience.nsw.gov.au/CI/warehouse/raw/drillhole?project=MIN&amp;site_id=008224","Geol Survey Link")</f>
        <v>Geol Survey Link</v>
      </c>
      <c r="H4707" t="s">
        <v>2997</v>
      </c>
      <c r="I4707">
        <v>-34.666800000000002</v>
      </c>
      <c r="J4707">
        <v>148.43199999999999</v>
      </c>
      <c r="K4707" t="str">
        <f>HYPERLINK("http://nvcl.geoscience.nsw.gov.au/NVCLDataServices/mosaic.html?datasetid=d9ee11bd-90fb-49a0-8945-c58eb5467dc","MR9_Core Image")</f>
        <v>MR9_Core Image</v>
      </c>
    </row>
    <row r="4708" spans="1:11" x14ac:dyDescent="0.25">
      <c r="A4708" t="str">
        <f>HYPERLINK("http://www.corstruth.com.au/NSW/LMPDD113_cs.png","LMPDD113_A4")</f>
        <v>LMPDD113_A4</v>
      </c>
      <c r="B4708" t="str">
        <f>HYPERLINK("http://www.corstruth.com.au/NSW/PNG2/LMPDD113_cs.png","LMPDD113_0.25m Bins")</f>
        <v>LMPDD113_0.25m Bins</v>
      </c>
      <c r="C4708" t="str">
        <f>HYPERLINK("http://www.corstruth.com.au/NSW/CSV/LMPDD113.csv","LMPDD113_CSV File 1m Bins")</f>
        <v>LMPDD113_CSV File 1m Bins</v>
      </c>
      <c r="D4708" t="s">
        <v>3004</v>
      </c>
      <c r="E4708" t="s">
        <v>2198</v>
      </c>
      <c r="F4708" t="str">
        <f>HYPERLINK("http://dwh.geoscience.nsw.gov.au/CI/warehouse/raw/drillhole?project=MIN&amp;site_id=232621","Geol Survey Link")</f>
        <v>Geol Survey Link</v>
      </c>
      <c r="H4708" t="s">
        <v>3005</v>
      </c>
      <c r="I4708">
        <v>-33.485199999999999</v>
      </c>
      <c r="J4708">
        <v>149.32499999999999</v>
      </c>
      <c r="K4708" t="str">
        <f>HYPERLINK("http://nvcl.geoscience.nsw.gov.au/NVCLDataServices/mosaic.html?datasetid=239e7c19-9467-44d1-b33d-b14a33c8061","LMPDD113_Core Image")</f>
        <v>LMPDD113_Core Image</v>
      </c>
    </row>
    <row r="4709" spans="1:11" x14ac:dyDescent="0.25">
      <c r="A4709" t="str">
        <f>HYPERLINK("http://www.corstruth.com.au/NSW/LMPDD116_cs.png","LMPDD116_A4")</f>
        <v>LMPDD116_A4</v>
      </c>
      <c r="B4709" t="str">
        <f>HYPERLINK("http://www.corstruth.com.au/NSW/PNG2/LMPDD116_cs.png","LMPDD116_0.25m Bins")</f>
        <v>LMPDD116_0.25m Bins</v>
      </c>
      <c r="C4709" t="str">
        <f>HYPERLINK("http://www.corstruth.com.au/NSW/CSV/LMPDD116.csv","LMPDD116_CSV File 1m Bins")</f>
        <v>LMPDD116_CSV File 1m Bins</v>
      </c>
      <c r="D4709" t="s">
        <v>3006</v>
      </c>
      <c r="E4709" t="s">
        <v>2198</v>
      </c>
      <c r="F4709" t="str">
        <f>HYPERLINK("http://dwh.geoscience.nsw.gov.au/CI/warehouse/raw/drillhole?project=MIN&amp;site_id=232624","Geol Survey Link")</f>
        <v>Geol Survey Link</v>
      </c>
      <c r="H4709" t="s">
        <v>3007</v>
      </c>
      <c r="I4709">
        <v>-33.487099999999998</v>
      </c>
      <c r="J4709">
        <v>149.32300000000001</v>
      </c>
      <c r="K4709" t="str">
        <f>HYPERLINK("http://nvcl.geoscience.nsw.gov.au/NVCLDataServices/mosaic.html?datasetid=384b33be-03cc-48d0-9139-1634b34d23a","LMPDD116_Core Image")</f>
        <v>LMPDD116_Core Image</v>
      </c>
    </row>
    <row r="4710" spans="1:11" x14ac:dyDescent="0.25">
      <c r="A4710" t="str">
        <f>HYPERLINK("http://www.corstruth.com.au/NSW/LMPDD127_cs.png","LMPDD127_A4")</f>
        <v>LMPDD127_A4</v>
      </c>
      <c r="B4710" t="str">
        <f>HYPERLINK("http://www.corstruth.com.au/NSW/PNG2/LMPDD127_cs.png","LMPDD127_0.25m Bins")</f>
        <v>LMPDD127_0.25m Bins</v>
      </c>
      <c r="C4710" t="str">
        <f>HYPERLINK("http://www.corstruth.com.au/NSW/CSV/LMPDD127.csv","LMPDD127_CSV File 1m Bins")</f>
        <v>LMPDD127_CSV File 1m Bins</v>
      </c>
      <c r="D4710" t="s">
        <v>3008</v>
      </c>
      <c r="E4710" t="s">
        <v>2198</v>
      </c>
      <c r="F4710" t="str">
        <f>HYPERLINK("http://dwh.geoscience.nsw.gov.au/CI/warehouse/raw/drillhole?project=MIN&amp;site_id=232635","Geol Survey Link")</f>
        <v>Geol Survey Link</v>
      </c>
      <c r="H4710" t="s">
        <v>3009</v>
      </c>
      <c r="I4710">
        <v>-33.485799999999998</v>
      </c>
      <c r="J4710">
        <v>149.32499999999999</v>
      </c>
      <c r="K4710" t="str">
        <f>HYPERLINK("http://nvcl.geoscience.nsw.gov.au/NVCLDataServices/mosaic.html?datasetid=dfa47603-1747-4d5f-b9ea-90a3ee7a4af","LMPDD127_Core Image")</f>
        <v>LMPDD127_Core Image</v>
      </c>
    </row>
    <row r="4711" spans="1:11" x14ac:dyDescent="0.25">
      <c r="A4711" t="str">
        <f>HYPERLINK("http://www.corstruth.com.au/NSW/LMPDD139_cs.png","LMPDD139_A4")</f>
        <v>LMPDD139_A4</v>
      </c>
      <c r="B4711" t="str">
        <f>HYPERLINK("http://www.corstruth.com.au/NSW/PNG2/LMPDD139_cs.png","LMPDD139_0.25m Bins")</f>
        <v>LMPDD139_0.25m Bins</v>
      </c>
      <c r="C4711" t="str">
        <f>HYPERLINK("http://www.corstruth.com.au/NSW/CSV/LMPDD139.csv","LMPDD139_CSV File 1m Bins")</f>
        <v>LMPDD139_CSV File 1m Bins</v>
      </c>
      <c r="D4711" t="s">
        <v>3010</v>
      </c>
      <c r="E4711" t="s">
        <v>2198</v>
      </c>
      <c r="F4711" t="str">
        <f>HYPERLINK("http://dwh.geoscience.nsw.gov.au/CI/warehouse/raw/drillhole?project=MIN&amp;site_id=232647","Geol Survey Link")</f>
        <v>Geol Survey Link</v>
      </c>
      <c r="H4711" t="s">
        <v>3009</v>
      </c>
      <c r="I4711">
        <v>-33.488799999999998</v>
      </c>
      <c r="J4711">
        <v>149.32400000000001</v>
      </c>
      <c r="K4711" t="str">
        <f>HYPERLINK("http://nvcl.geoscience.nsw.gov.au/NVCLDataServices/mosaic.html?datasetid=2c72f8a1-49a9-4bae-9b8e-438526d039b","LMPDD139_Core Image")</f>
        <v>LMPDD139_Core Image</v>
      </c>
    </row>
    <row r="4712" spans="1:11" x14ac:dyDescent="0.25">
      <c r="A4712" t="str">
        <f>HYPERLINK("http://www.corstruth.com.au/NSW/LMPDD151_cs.png","LMPDD151_A4")</f>
        <v>LMPDD151_A4</v>
      </c>
      <c r="B4712" t="str">
        <f>HYPERLINK("http://www.corstruth.com.au/NSW/PNG2/LMPDD151_cs.png","LMPDD151_0.25m Bins")</f>
        <v>LMPDD151_0.25m Bins</v>
      </c>
      <c r="C4712" t="str">
        <f>HYPERLINK("http://www.corstruth.com.au/NSW/CSV/LMPDD151.csv","LMPDD151_CSV File 1m Bins")</f>
        <v>LMPDD151_CSV File 1m Bins</v>
      </c>
      <c r="D4712" t="s">
        <v>3011</v>
      </c>
      <c r="E4712" t="s">
        <v>2198</v>
      </c>
      <c r="F4712" t="str">
        <f>HYPERLINK("http://dwh.geoscience.nsw.gov.au/CI/warehouse/raw/drillhole?project=MIN&amp;site_id=232659","Geol Survey Link")</f>
        <v>Geol Survey Link</v>
      </c>
      <c r="H4712" t="s">
        <v>3012</v>
      </c>
      <c r="I4712">
        <v>-33.487900000000003</v>
      </c>
      <c r="J4712">
        <v>149.32499999999999</v>
      </c>
      <c r="K4712" t="str">
        <f>HYPERLINK("http://nvcl.geoscience.nsw.gov.au/NVCLDataServices/mosaic.html?datasetid=f67988bf-be10-483b-a755-7bfcb30766a","LMPDD151_Core Image")</f>
        <v>LMPDD151_Core Image</v>
      </c>
    </row>
    <row r="4713" spans="1:11" x14ac:dyDescent="0.25">
      <c r="A4713" t="str">
        <f>HYPERLINK("http://www.corstruth.com.au/NSW/LMPDD154_cs.png","LMPDD154_A4")</f>
        <v>LMPDD154_A4</v>
      </c>
      <c r="B4713" t="str">
        <f>HYPERLINK("http://www.corstruth.com.au/NSW/PNG2/LMPDD154_cs.png","LMPDD154_0.25m Bins")</f>
        <v>LMPDD154_0.25m Bins</v>
      </c>
      <c r="C4713" t="str">
        <f>HYPERLINK("http://www.corstruth.com.au/NSW/CSV/LMPDD154.csv","LMPDD154_CSV File 1m Bins")</f>
        <v>LMPDD154_CSV File 1m Bins</v>
      </c>
      <c r="D4713" t="s">
        <v>3013</v>
      </c>
      <c r="E4713" t="s">
        <v>2198</v>
      </c>
      <c r="F4713" t="str">
        <f>HYPERLINK("http://dwh.geoscience.nsw.gov.au/CI/warehouse/raw/drillhole?project=MIN&amp;site_id=232662","Geol Survey Link")</f>
        <v>Geol Survey Link</v>
      </c>
      <c r="H4713" t="s">
        <v>3014</v>
      </c>
      <c r="I4713">
        <v>-33.484099999999998</v>
      </c>
      <c r="J4713">
        <v>149.32499999999999</v>
      </c>
      <c r="K4713" t="str">
        <f>HYPERLINK("http://nvcl.geoscience.nsw.gov.au/NVCLDataServices/mosaic.html?datasetid=b46d97c3-4ff9-44c0-9888-c8f6bb4c616","LMPDD154_Core Image")</f>
        <v>LMPDD154_Core Image</v>
      </c>
    </row>
    <row r="4714" spans="1:11" x14ac:dyDescent="0.25">
      <c r="A4714" t="str">
        <f>HYPERLINK("http://www.corstruth.com.au/NSW/BU-1_cs.png","BU-1_A4")</f>
        <v>BU-1_A4</v>
      </c>
      <c r="B4714" t="str">
        <f>HYPERLINK("http://www.corstruth.com.au/NSW/PNG2/BU-1_cs.png","BU-1_0.25m Bins")</f>
        <v>BU-1_0.25m Bins</v>
      </c>
      <c r="C4714" t="str">
        <f>HYPERLINK("http://www.corstruth.com.au/NSW/CSV/BU-1.csv","BU-1_CSV File 1m Bins")</f>
        <v>BU-1_CSV File 1m Bins</v>
      </c>
      <c r="D4714" t="s">
        <v>3015</v>
      </c>
      <c r="E4714" t="s">
        <v>2198</v>
      </c>
      <c r="F4714" t="str">
        <f>HYPERLINK("http://dwh.geoscience.nsw.gov.au/CI/warehouse/raw/drillhole?project=MIN&amp;site_id=000610","Geol Survey Link")</f>
        <v>Geol Survey Link</v>
      </c>
      <c r="H4714" t="s">
        <v>3016</v>
      </c>
      <c r="I4714">
        <v>-31.234300000000001</v>
      </c>
      <c r="J4714">
        <v>141.08500000000001</v>
      </c>
      <c r="K4714" t="str">
        <f>HYPERLINK("http://nvcl.geoscience.nsw.gov.au/NVCLDataServices/mosaic.html?datasetid=9f3f67f2-4163-426a-bd0f-8d15274cb26","BU-1_Core Image")</f>
        <v>BU-1_Core Image</v>
      </c>
    </row>
    <row r="4715" spans="1:11" x14ac:dyDescent="0.25">
      <c r="A4715" t="str">
        <f>HYPERLINK("http://www.corstruth.com.au/NSW/MKD64_cs.png","MKD64_A4")</f>
        <v>MKD64_A4</v>
      </c>
      <c r="B4715" t="str">
        <f>HYPERLINK("http://www.corstruth.com.au/NSW/PNG2/MKD64_cs.png","MKD64_0.25m Bins")</f>
        <v>MKD64_0.25m Bins</v>
      </c>
      <c r="C4715" t="str">
        <f>HYPERLINK("http://www.corstruth.com.au/NSW/CSV/MKD64.csv","MKD64_CSV File 1m Bins")</f>
        <v>MKD64_CSV File 1m Bins</v>
      </c>
      <c r="D4715" t="s">
        <v>3017</v>
      </c>
      <c r="E4715" t="s">
        <v>2198</v>
      </c>
      <c r="F4715" t="str">
        <f>HYPERLINK("http://dwh.geoscience.nsw.gov.au/CI/warehouse/raw/drillhole?project=MIN&amp;site_id=044089","Geol Survey Link")</f>
        <v>Geol Survey Link</v>
      </c>
      <c r="H4715" t="s">
        <v>3018</v>
      </c>
      <c r="I4715">
        <v>-31.782499999999999</v>
      </c>
      <c r="J4715">
        <v>145.69499999999999</v>
      </c>
      <c r="K4715" t="str">
        <f>HYPERLINK("http://nvcl.geoscience.nsw.gov.au/NVCLDataServices/mosaic.html?datasetid=c29da5b2-95c5-4e2e-b600-a9f38067f94","MKD64_Core Image")</f>
        <v>MKD64_Core Image</v>
      </c>
    </row>
    <row r="4716" spans="1:11" x14ac:dyDescent="0.25">
      <c r="A4716" t="str">
        <f>HYPERLINK("http://www.corstruth.com.au/NSW/MKD65_cs.png","MKD65_A4")</f>
        <v>MKD65_A4</v>
      </c>
      <c r="B4716" t="str">
        <f>HYPERLINK("http://www.corstruth.com.au/NSW/PNG2/MKD65_cs.png","MKD65_0.25m Bins")</f>
        <v>MKD65_0.25m Bins</v>
      </c>
      <c r="C4716" t="str">
        <f>HYPERLINK("http://www.corstruth.com.au/NSW/CSV/MKD65.csv","MKD65_CSV File 1m Bins")</f>
        <v>MKD65_CSV File 1m Bins</v>
      </c>
      <c r="D4716" t="s">
        <v>3019</v>
      </c>
      <c r="E4716" t="s">
        <v>2198</v>
      </c>
      <c r="F4716" t="str">
        <f>HYPERLINK("http://dwh.geoscience.nsw.gov.au/CI/warehouse/raw/drillhole?project=MIN&amp;site_id=044090","Geol Survey Link")</f>
        <v>Geol Survey Link</v>
      </c>
      <c r="H4716" t="s">
        <v>3018</v>
      </c>
      <c r="I4716">
        <v>-31.7776</v>
      </c>
      <c r="J4716">
        <v>145.691</v>
      </c>
      <c r="K4716" t="str">
        <f>HYPERLINK("http://nvcl.geoscience.nsw.gov.au/NVCLDataServices/mosaic.html?datasetid=82707eb8-2981-417e-8931-6a5b3578d0e","MKD65_Core Image")</f>
        <v>MKD65_Core Image</v>
      </c>
    </row>
    <row r="4717" spans="1:11" x14ac:dyDescent="0.25">
      <c r="A4717" t="str">
        <f>HYPERLINK("http://www.corstruth.com.au/NSW/DDH8_cs.png","DDH8_A4")</f>
        <v>DDH8_A4</v>
      </c>
      <c r="B4717" t="str">
        <f>HYPERLINK("http://www.corstruth.com.au/NSW/PNG2/DDH8_cs.png","DDH8_0.25m Bins")</f>
        <v>DDH8_0.25m Bins</v>
      </c>
      <c r="C4717" t="str">
        <f>HYPERLINK("http://www.corstruth.com.au/NSW/CSV/DDH8.csv","DDH8_CSV File 1m Bins")</f>
        <v>DDH8_CSV File 1m Bins</v>
      </c>
      <c r="D4717" t="s">
        <v>3020</v>
      </c>
      <c r="E4717" t="s">
        <v>2198</v>
      </c>
      <c r="F4717" t="str">
        <f>HYPERLINK("http://dwh.geoscience.nsw.gov.au/CI/warehouse/raw/drillhole?project=MIN&amp;site_id=040036","Geol Survey Link")</f>
        <v>Geol Survey Link</v>
      </c>
      <c r="H4717" t="s">
        <v>3021</v>
      </c>
      <c r="I4717">
        <v>-32.568899999999999</v>
      </c>
      <c r="J4717">
        <v>146.857</v>
      </c>
      <c r="K4717" t="str">
        <f>HYPERLINK("http://nvcl.geoscience.nsw.gov.au/NVCLDataServices/mosaic.html?datasetid=4f08bd64-1973-48bb-bd42-be1dce949a5","DDH8_Core Image")</f>
        <v>DDH8_Core Image</v>
      </c>
    </row>
    <row r="4718" spans="1:11" x14ac:dyDescent="0.25">
      <c r="A4718" t="str">
        <f>HYPERLINK("http://www.corstruth.com.au/NSW/DDH8A_cs.png","DDH8A_A4")</f>
        <v>DDH8A_A4</v>
      </c>
      <c r="B4718" t="str">
        <f>HYPERLINK("http://www.corstruth.com.au/NSW/PNG2/DDH8A_cs.png","DDH8A_0.25m Bins")</f>
        <v>DDH8A_0.25m Bins</v>
      </c>
      <c r="C4718" t="str">
        <f>HYPERLINK("http://www.corstruth.com.au/NSW/CSV/DDH8A.csv","DDH8A_CSV File 1m Bins")</f>
        <v>DDH8A_CSV File 1m Bins</v>
      </c>
      <c r="D4718" t="s">
        <v>3022</v>
      </c>
      <c r="E4718" t="s">
        <v>2198</v>
      </c>
      <c r="F4718" t="str">
        <f>HYPERLINK("http://dwh.geoscience.nsw.gov.au/CI/warehouse/raw/drillhole?project=MIN&amp;site_id=040037","Geol Survey Link")</f>
        <v>Geol Survey Link</v>
      </c>
      <c r="H4718" t="s">
        <v>3021</v>
      </c>
      <c r="I4718">
        <v>-32.568899999999999</v>
      </c>
      <c r="J4718">
        <v>146.857</v>
      </c>
      <c r="K4718" t="str">
        <f>HYPERLINK("http://nvcl.geoscience.nsw.gov.au/NVCLDataServices/mosaic.html?datasetid=6dc43972-1c5f-40ee-8095-bdfde67d47c","DDH8A_Core Image")</f>
        <v>DDH8A_Core Image</v>
      </c>
    </row>
    <row r="4719" spans="1:11" x14ac:dyDescent="0.25">
      <c r="A4719" t="str">
        <f>HYPERLINK("http://www.corstruth.com.au/NSW/DD92HV12_cs.png","DD92HV12_A4")</f>
        <v>DD92HV12_A4</v>
      </c>
      <c r="D4719" t="s">
        <v>3023</v>
      </c>
      <c r="E4719" t="s">
        <v>2198</v>
      </c>
      <c r="F4719" t="str">
        <f>HYPERLINK("http://dwh.geoscience.nsw.gov.au/CI/warehouse/raw/drillhole?project=MIN&amp;site_id=017200","Geol Survey Link")</f>
        <v>Geol Survey Link</v>
      </c>
      <c r="H4719" t="s">
        <v>3024</v>
      </c>
      <c r="I4719">
        <v>-31.862100000000002</v>
      </c>
      <c r="J4719">
        <v>149.29</v>
      </c>
      <c r="K4719" t="str">
        <f>HYPERLINK("http://nvcl.geoscience.nsw.gov.au/NVCLDataServices/mosaic.html?datasetid=1bcfc9b8-138f-44fb-948d-2623e0ef6c4","DD92HV12_Core Image")</f>
        <v>DD92HV12_Core Image</v>
      </c>
    </row>
    <row r="4720" spans="1:11" x14ac:dyDescent="0.25">
      <c r="A4720" t="str">
        <f>HYPERLINK("http://www.corstruth.com.au/NSW/DD92HV13_cs.png","DD92HV13_A4")</f>
        <v>DD92HV13_A4</v>
      </c>
      <c r="D4720" t="s">
        <v>3025</v>
      </c>
      <c r="E4720" t="s">
        <v>2198</v>
      </c>
      <c r="F4720" t="str">
        <f>HYPERLINK("http://dwh.geoscience.nsw.gov.au/CI/warehouse/raw/drillhole?project=MIN&amp;site_id=017201","Geol Survey Link")</f>
        <v>Geol Survey Link</v>
      </c>
      <c r="H4720" t="s">
        <v>3024</v>
      </c>
      <c r="I4720">
        <v>-31.862100000000002</v>
      </c>
      <c r="J4720">
        <v>149.29</v>
      </c>
      <c r="K4720" t="str">
        <f>HYPERLINK("http://nvcl.geoscience.nsw.gov.au/NVCLDataServices/mosaic.html?datasetid=ea410597-9481-4a82-8998-563ad4779c3","DD92HV13_Core Image")</f>
        <v>DD92HV13_Core Image</v>
      </c>
    </row>
    <row r="4721" spans="1:11" x14ac:dyDescent="0.25">
      <c r="A4721" t="str">
        <f>HYPERLINK("http://www.corstruth.com.au/NSW/DD92HV14_cs.png","DD92HV14_A4")</f>
        <v>DD92HV14_A4</v>
      </c>
      <c r="D4721" t="s">
        <v>3026</v>
      </c>
      <c r="E4721" t="s">
        <v>2198</v>
      </c>
      <c r="F4721" t="str">
        <f>HYPERLINK("http://dwh.geoscience.nsw.gov.au/CI/warehouse/raw/drillhole?project=MIN&amp;site_id=017202","Geol Survey Link")</f>
        <v>Geol Survey Link</v>
      </c>
      <c r="H4721" t="s">
        <v>3024</v>
      </c>
      <c r="I4721">
        <v>-31.865400000000001</v>
      </c>
      <c r="J4721">
        <v>149.28899999999999</v>
      </c>
      <c r="K4721" t="str">
        <f>HYPERLINK("http://nvcl.geoscience.nsw.gov.au/NVCLDataServices/mosaic.html?datasetid=569dc755-e89b-4ea7-af83-06da9794243","DD92HV14_Core Image")</f>
        <v>DD92HV14_Core Image</v>
      </c>
    </row>
    <row r="4722" spans="1:11" x14ac:dyDescent="0.25">
      <c r="A4722" t="str">
        <f>HYPERLINK("http://www.corstruth.com.au/NSW/MW1_cs.png","MW1_A4")</f>
        <v>MW1_A4</v>
      </c>
      <c r="D4722" t="s">
        <v>3027</v>
      </c>
      <c r="E4722" t="s">
        <v>2198</v>
      </c>
      <c r="F4722" t="str">
        <f>HYPERLINK("http://dwh.geoscience.nsw.gov.au/CI/warehouse/raw/drillhole?project=MIN&amp;site_id=033968","Geol Survey Link")</f>
        <v>Geol Survey Link</v>
      </c>
      <c r="H4722" t="s">
        <v>3028</v>
      </c>
      <c r="I4722">
        <v>-30.323499999999999</v>
      </c>
      <c r="J4722">
        <v>146.358</v>
      </c>
      <c r="K4722" t="str">
        <f>HYPERLINK("http://nvcl.geoscience.nsw.gov.au/NVCLDataServices/mosaic.html?datasetid=c410ff11-b66b-45a7-bf5a-5e20c862b71","MW1_Core Image")</f>
        <v>MW1_Core Image</v>
      </c>
    </row>
    <row r="4723" spans="1:11" x14ac:dyDescent="0.25">
      <c r="A4723" t="str">
        <f>HYPERLINK("http://www.corstruth.com.au/NSW/MW2_cs.png","MW2_A4")</f>
        <v>MW2_A4</v>
      </c>
      <c r="D4723" t="s">
        <v>3029</v>
      </c>
      <c r="E4723" t="s">
        <v>2198</v>
      </c>
      <c r="F4723" t="str">
        <f>HYPERLINK("http://dwh.geoscience.nsw.gov.au/CI/warehouse/raw/drillhole?project=MIN&amp;site_id=033969","Geol Survey Link")</f>
        <v>Geol Survey Link</v>
      </c>
      <c r="H4723" t="s">
        <v>3028</v>
      </c>
      <c r="I4723">
        <v>-30.315899999999999</v>
      </c>
      <c r="J4723">
        <v>146.37</v>
      </c>
      <c r="K4723" t="str">
        <f>HYPERLINK("http://nvcl.geoscience.nsw.gov.au/NVCLDataServices/mosaic.html?datasetid=37f92ca2-f02b-4907-ad36-d299e3ce60c","MW2_Core Image")</f>
        <v>MW2_Core Image</v>
      </c>
    </row>
    <row r="4724" spans="1:11" x14ac:dyDescent="0.25">
      <c r="A4724" t="str">
        <f>HYPERLINK("http://www.corstruth.com.au/NSW/GD200_cs.png","GD200_A4")</f>
        <v>GD200_A4</v>
      </c>
      <c r="B4724" t="str">
        <f>HYPERLINK("http://www.corstruth.com.au/NSW/PNG2/GD200_cs.png","GD200_0.25m Bins")</f>
        <v>GD200_0.25m Bins</v>
      </c>
      <c r="C4724" t="str">
        <f>HYPERLINK("http://www.corstruth.com.au/NSW/CSV/GD200.csv","GD200_CSV File 1m Bins")</f>
        <v>GD200_CSV File 1m Bins</v>
      </c>
      <c r="D4724" t="s">
        <v>3030</v>
      </c>
      <c r="E4724" t="s">
        <v>2198</v>
      </c>
      <c r="F4724" t="str">
        <f>HYPERLINK("http://dwh.geoscience.nsw.gov.au/CI/warehouse/raw/drillhole?project=MIN&amp;site_id=038976","Geol Survey Link")</f>
        <v>Geol Survey Link</v>
      </c>
      <c r="H4724" t="s">
        <v>3031</v>
      </c>
      <c r="I4724">
        <v>-32.578400000000002</v>
      </c>
      <c r="J4724">
        <v>146.98500000000001</v>
      </c>
      <c r="K4724" t="str">
        <f>HYPERLINK("http://nvcl.geoscience.nsw.gov.au/NVCLDataServices/mosaic.html?datasetid=a86b986e-14c0-4e82-9090-89725f0cca9","GD200_Core Image")</f>
        <v>GD200_Core Image</v>
      </c>
    </row>
    <row r="4725" spans="1:11" x14ac:dyDescent="0.25">
      <c r="A4725" t="str">
        <f>HYPERLINK("http://www.corstruth.com.au/NSW/GD202_cs.png","GD202_A4")</f>
        <v>GD202_A4</v>
      </c>
      <c r="B4725" t="str">
        <f>HYPERLINK("http://www.corstruth.com.au/NSW/PNG2/GD202_cs.png","GD202_0.25m Bins")</f>
        <v>GD202_0.25m Bins</v>
      </c>
      <c r="C4725" t="str">
        <f>HYPERLINK("http://www.corstruth.com.au/NSW/CSV/GD202.csv","GD202_CSV File 1m Bins")</f>
        <v>GD202_CSV File 1m Bins</v>
      </c>
      <c r="D4725" t="s">
        <v>3032</v>
      </c>
      <c r="E4725" t="s">
        <v>2198</v>
      </c>
      <c r="F4725" t="str">
        <f>HYPERLINK("http://dwh.geoscience.nsw.gov.au/CI/warehouse/raw/drillhole?project=MIN&amp;site_id=038978","Geol Survey Link")</f>
        <v>Geol Survey Link</v>
      </c>
      <c r="H4725" t="s">
        <v>3033</v>
      </c>
      <c r="I4725">
        <v>-32.574300000000001</v>
      </c>
      <c r="J4725">
        <v>146.99</v>
      </c>
      <c r="K4725" t="str">
        <f>HYPERLINK("http://nvcl.geoscience.nsw.gov.au/NVCLDataServices/mosaic.html?datasetid=600dc94b-e070-4596-8a92-ed1a84293e8","GD202_Core Image")</f>
        <v>GD202_Core Image</v>
      </c>
    </row>
    <row r="4726" spans="1:11" x14ac:dyDescent="0.25">
      <c r="A4726" t="str">
        <f>HYPERLINK("http://www.corstruth.com.au/NSW/K1_cs.png","K1_A4")</f>
        <v>K1_A4</v>
      </c>
      <c r="B4726" t="str">
        <f>HYPERLINK("http://www.corstruth.com.au/NSW/PNG2/K1_cs.png","K1_0.25m Bins")</f>
        <v>K1_0.25m Bins</v>
      </c>
      <c r="C4726" t="str">
        <f>HYPERLINK("http://www.corstruth.com.au/NSW/CSV/K1.csv","K1_CSV File 1m Bins")</f>
        <v>K1_CSV File 1m Bins</v>
      </c>
      <c r="D4726" t="s">
        <v>3034</v>
      </c>
      <c r="E4726" t="s">
        <v>2198</v>
      </c>
      <c r="F4726" t="str">
        <f>HYPERLINK("http://dwh.geoscience.nsw.gov.au/CI/warehouse/raw/drillhole?project=MIN&amp;site_id=038798","Geol Survey Link")</f>
        <v>Geol Survey Link</v>
      </c>
      <c r="H4726" t="s">
        <v>3035</v>
      </c>
      <c r="I4726">
        <v>-32.579000000000001</v>
      </c>
      <c r="J4726">
        <v>146.98400000000001</v>
      </c>
    </row>
    <row r="4727" spans="1:11" x14ac:dyDescent="0.25">
      <c r="A4727" t="str">
        <f>HYPERLINK("http://www.corstruth.com.au/NSW/K3_cs.png","K3_A4")</f>
        <v>K3_A4</v>
      </c>
      <c r="B4727" t="str">
        <f>HYPERLINK("http://www.corstruth.com.au/NSW/PNG2/K3_cs.png","K3_0.25m Bins")</f>
        <v>K3_0.25m Bins</v>
      </c>
      <c r="C4727" t="str">
        <f>HYPERLINK("http://www.corstruth.com.au/NSW/CSV/K3.csv","K3_CSV File 1m Bins")</f>
        <v>K3_CSV File 1m Bins</v>
      </c>
      <c r="D4727" t="s">
        <v>3036</v>
      </c>
      <c r="E4727" t="s">
        <v>2198</v>
      </c>
      <c r="F4727" t="str">
        <f>HYPERLINK("http://dwh.geoscience.nsw.gov.au/CI/warehouse/raw/drillhole?project=MIN&amp;site_id=038800","Geol Survey Link")</f>
        <v>Geol Survey Link</v>
      </c>
      <c r="H4727" t="s">
        <v>3037</v>
      </c>
      <c r="I4727">
        <v>-32.576799999999999</v>
      </c>
      <c r="J4727">
        <v>146.97999999999999</v>
      </c>
      <c r="K4727" t="str">
        <f>HYPERLINK("http://nvcl.geoscience.nsw.gov.au/NVCLDataServices/mosaic.html?datasetid=d874f049-7809-4f7c-a3ef-d12a804efb0","K3_Core Image")</f>
        <v>K3_Core Image</v>
      </c>
    </row>
    <row r="4728" spans="1:11" x14ac:dyDescent="0.25">
      <c r="A4728" t="str">
        <f>HYPERLINK("http://www.corstruth.com.au/NSW/KMHDD001_cs.png","KMHDD001_A4")</f>
        <v>KMHDD001_A4</v>
      </c>
      <c r="B4728" t="str">
        <f>HYPERLINK("http://www.corstruth.com.au/NSW/PNG2/KMHDD001_cs.png","KMHDD001_0.25m Bins")</f>
        <v>KMHDD001_0.25m Bins</v>
      </c>
      <c r="C4728" t="str">
        <f>HYPERLINK("http://www.corstruth.com.au/NSW/CSV/KMHDD001.csv","KMHDD001_CSV File 1m Bins")</f>
        <v>KMHDD001_CSV File 1m Bins</v>
      </c>
      <c r="D4728" t="s">
        <v>3038</v>
      </c>
      <c r="E4728" t="s">
        <v>2198</v>
      </c>
      <c r="F4728" t="str">
        <f>HYPERLINK("http://dwh.geoscience.nsw.gov.au/CI/warehouse/raw/drillhole?project=MIN&amp;site_id=079110","Geol Survey Link")</f>
        <v>Geol Survey Link</v>
      </c>
      <c r="H4728" t="s">
        <v>3035</v>
      </c>
      <c r="I4728">
        <v>-32.576900000000002</v>
      </c>
      <c r="J4728">
        <v>146.97200000000001</v>
      </c>
      <c r="K4728" t="str">
        <f>HYPERLINK("http://nvcl.geoscience.nsw.gov.au/NVCLDataServices/mosaic.html?datasetid=5f2000cc-3140-4786-9192-a1fd0f7b3f1","KMHDD001_Core Image")</f>
        <v>KMHDD001_Core Image</v>
      </c>
    </row>
    <row r="4729" spans="1:11" x14ac:dyDescent="0.25">
      <c r="A4729" t="str">
        <f>HYPERLINK("http://www.corstruth.com.au/NSW/KMHDD003_cs.png","KMHDD003_A4")</f>
        <v>KMHDD003_A4</v>
      </c>
      <c r="B4729" t="str">
        <f>HYPERLINK("http://www.corstruth.com.au/NSW/PNG2/KMHDD003_cs.png","KMHDD003_0.25m Bins")</f>
        <v>KMHDD003_0.25m Bins</v>
      </c>
      <c r="C4729" t="str">
        <f>HYPERLINK("http://www.corstruth.com.au/NSW/CSV/KMHDD003.csv","KMHDD003_CSV File 1m Bins")</f>
        <v>KMHDD003_CSV File 1m Bins</v>
      </c>
      <c r="D4729" t="s">
        <v>3039</v>
      </c>
      <c r="E4729" t="s">
        <v>2198</v>
      </c>
      <c r="F4729" t="str">
        <f>HYPERLINK("http://dwh.geoscience.nsw.gov.au/CI/warehouse/raw/drillhole?project=MIN&amp;site_id=079113","Geol Survey Link")</f>
        <v>Geol Survey Link</v>
      </c>
      <c r="H4729" t="s">
        <v>3035</v>
      </c>
      <c r="I4729">
        <v>-32.577399999999997</v>
      </c>
      <c r="J4729">
        <v>146.97200000000001</v>
      </c>
      <c r="K4729" t="str">
        <f>HYPERLINK("http://nvcl.geoscience.nsw.gov.au/NVCLDataServices/mosaic.html?datasetid=d890d75a-6621-4da3-a24a-6dbb0444924","KMHDD003_Core Image")</f>
        <v>KMHDD003_Core Image</v>
      </c>
    </row>
    <row r="4730" spans="1:11" x14ac:dyDescent="0.25">
      <c r="A4730" t="str">
        <f>HYPERLINK("http://www.corstruth.com.au/NSW/KMHDD008_cs.png","KMHDD008_A4")</f>
        <v>KMHDD008_A4</v>
      </c>
      <c r="B4730" t="str">
        <f>HYPERLINK("http://www.corstruth.com.au/NSW/PNG2/KMHDD008_cs.png","KMHDD008_0.25m Bins")</f>
        <v>KMHDD008_0.25m Bins</v>
      </c>
      <c r="C4730" t="str">
        <f>HYPERLINK("http://www.corstruth.com.au/NSW/CSV/KMHDD008.csv","KMHDD008_CSV File 1m Bins")</f>
        <v>KMHDD008_CSV File 1m Bins</v>
      </c>
      <c r="D4730" t="s">
        <v>3040</v>
      </c>
      <c r="E4730" t="s">
        <v>2198</v>
      </c>
      <c r="F4730" t="str">
        <f>HYPERLINK("http://dwh.geoscience.nsw.gov.au/CI/warehouse/raw/drillhole?project=MIN&amp;site_id=079118","Geol Survey Link")</f>
        <v>Geol Survey Link</v>
      </c>
      <c r="H4730" t="s">
        <v>3035</v>
      </c>
      <c r="I4730">
        <v>-32.575699999999998</v>
      </c>
      <c r="J4730">
        <v>146.99</v>
      </c>
      <c r="K4730" t="str">
        <f>HYPERLINK("http://nvcl.geoscience.nsw.gov.au/NVCLDataServices/mosaic.html?datasetid=70c32d2b-9c64-4bef-8784-83971ee03ed","KMHDD008_Core Image")</f>
        <v>KMHDD008_Core Image</v>
      </c>
    </row>
    <row r="4731" spans="1:11" x14ac:dyDescent="0.25">
      <c r="A4731" t="str">
        <f>HYPERLINK("http://www.corstruth.com.au/NSW/KMHDD009A_cs.png","KMHDD009A_A4")</f>
        <v>KMHDD009A_A4</v>
      </c>
      <c r="B4731" t="str">
        <f>HYPERLINK("http://www.corstruth.com.au/NSW/PNG2/KMHDD009A_cs.png","KMHDD009A_0.25m Bins")</f>
        <v>KMHDD009A_0.25m Bins</v>
      </c>
      <c r="C4731" t="str">
        <f>HYPERLINK("http://www.corstruth.com.au/NSW/CSV/KMHDD009A.csv","KMHDD009A_CSV File 1m Bins")</f>
        <v>KMHDD009A_CSV File 1m Bins</v>
      </c>
      <c r="D4731" t="s">
        <v>3041</v>
      </c>
      <c r="E4731" t="s">
        <v>2198</v>
      </c>
      <c r="F4731" t="str">
        <f>HYPERLINK("http://dwh.geoscience.nsw.gov.au/CI/warehouse/raw/drillhole?project=MIN&amp;site_id=079120","Geol Survey Link")</f>
        <v>Geol Survey Link</v>
      </c>
      <c r="H4731" t="s">
        <v>3035</v>
      </c>
      <c r="I4731">
        <v>-32.5747</v>
      </c>
      <c r="J4731">
        <v>146.989</v>
      </c>
      <c r="K4731" t="str">
        <f>HYPERLINK("http://nvcl.geoscience.nsw.gov.au/NVCLDataServices/mosaic.html?datasetid=b0b6db40-3e1f-400e-b923-09af0dba8c2","KMHDD009A_Core Image")</f>
        <v>KMHDD009A_Core Image</v>
      </c>
    </row>
    <row r="4732" spans="1:11" x14ac:dyDescent="0.25">
      <c r="A4732" t="str">
        <f>HYPERLINK("http://www.corstruth.com.au/NSW/KMHDD010_cs.png","KMHDD010_A4")</f>
        <v>KMHDD010_A4</v>
      </c>
      <c r="B4732" t="str">
        <f>HYPERLINK("http://www.corstruth.com.au/NSW/PNG2/KMHDD010_cs.png","KMHDD010_0.25m Bins")</f>
        <v>KMHDD010_0.25m Bins</v>
      </c>
      <c r="C4732" t="str">
        <f>HYPERLINK("http://www.corstruth.com.au/NSW/CSV/KMHDD010.csv","KMHDD010_CSV File 1m Bins")</f>
        <v>KMHDD010_CSV File 1m Bins</v>
      </c>
      <c r="D4732" t="s">
        <v>3042</v>
      </c>
      <c r="E4732" t="s">
        <v>2198</v>
      </c>
      <c r="F4732" t="str">
        <f>HYPERLINK("http://dwh.geoscience.nsw.gov.au/CI/warehouse/raw/drillhole?project=MIN&amp;site_id=079121","Geol Survey Link")</f>
        <v>Geol Survey Link</v>
      </c>
      <c r="H4732" t="s">
        <v>3035</v>
      </c>
      <c r="I4732">
        <v>-32.575499999999998</v>
      </c>
      <c r="J4732">
        <v>146.99</v>
      </c>
      <c r="K4732" t="str">
        <f>HYPERLINK("http://nvcl.geoscience.nsw.gov.au/NVCLDataServices/mosaic.html?datasetid=d79a1b54-c6f5-42e3-aeaf-92c36cf3ce5","KMHDD010_Core Image")</f>
        <v>KMHDD010_Core Image</v>
      </c>
    </row>
    <row r="4733" spans="1:11" x14ac:dyDescent="0.25">
      <c r="A4733" t="str">
        <f>HYPERLINK("http://www.corstruth.com.au/NSW/KMHDD012_cs.png","KMHDD012_A4")</f>
        <v>KMHDD012_A4</v>
      </c>
      <c r="B4733" t="str">
        <f>HYPERLINK("http://www.corstruth.com.au/NSW/PNG2/KMHDD012_cs.png","KMHDD012_0.25m Bins")</f>
        <v>KMHDD012_0.25m Bins</v>
      </c>
      <c r="C4733" t="str">
        <f>HYPERLINK("http://www.corstruth.com.au/NSW/CSV/KMHDD012.csv","KMHDD012_CSV File 1m Bins")</f>
        <v>KMHDD012_CSV File 1m Bins</v>
      </c>
      <c r="D4733" t="s">
        <v>3043</v>
      </c>
      <c r="E4733" t="s">
        <v>2198</v>
      </c>
      <c r="F4733" t="str">
        <f>HYPERLINK("http://dwh.geoscience.nsw.gov.au/CI/warehouse/raw/drillhole?project=MIN&amp;site_id=079123","Geol Survey Link")</f>
        <v>Geol Survey Link</v>
      </c>
      <c r="H4733" t="s">
        <v>3035</v>
      </c>
      <c r="I4733">
        <v>-32.580300000000001</v>
      </c>
      <c r="J4733">
        <v>146.989</v>
      </c>
      <c r="K4733" t="str">
        <f>HYPERLINK("http://nvcl.geoscience.nsw.gov.au/NVCLDataServices/mosaic.html?datasetid=0d7ff43e-f37e-4cf8-9688-ba719fc38cb","KMHDD012_Core Image")</f>
        <v>KMHDD012_Core Image</v>
      </c>
    </row>
    <row r="4734" spans="1:11" x14ac:dyDescent="0.25">
      <c r="A4734" t="str">
        <f>HYPERLINK("http://www.corstruth.com.au/NSW/MT-1_cs.png","MT-1_A4")</f>
        <v>MT-1_A4</v>
      </c>
      <c r="B4734" t="str">
        <f>HYPERLINK("http://www.corstruth.com.au/NSW/PNG2/MT-1_cs.png","MT-1_0.25m Bins")</f>
        <v>MT-1_0.25m Bins</v>
      </c>
      <c r="C4734" t="str">
        <f>HYPERLINK("http://www.corstruth.com.au/NSW/CSV/MT-1.csv","MT-1_CSV File 1m Bins")</f>
        <v>MT-1_CSV File 1m Bins</v>
      </c>
      <c r="D4734" t="s">
        <v>3044</v>
      </c>
      <c r="E4734" t="s">
        <v>2198</v>
      </c>
      <c r="F4734" t="str">
        <f>HYPERLINK("http://dwh.geoscience.nsw.gov.au/CI/warehouse/raw/drillhole?project=MIN&amp;site_id=005705","Geol Survey Link")</f>
        <v>Geol Survey Link</v>
      </c>
      <c r="H4734" t="s">
        <v>3045</v>
      </c>
      <c r="I4734">
        <v>-32.284100000000002</v>
      </c>
      <c r="J4734">
        <v>148.453</v>
      </c>
      <c r="K4734" t="str">
        <f>HYPERLINK("http://nvcl.geoscience.nsw.gov.au/NVCLDataServices/mosaic.html?datasetid=6245b276-4ef1-49ed-b11b-547a3043ffb","MT-1_Core Image")</f>
        <v>MT-1_Core Image</v>
      </c>
    </row>
    <row r="4735" spans="1:11" x14ac:dyDescent="0.25">
      <c r="A4735" t="str">
        <f>HYPERLINK("http://www.corstruth.com.au/NSW/MT-2_cs.png","MT-2_A4")</f>
        <v>MT-2_A4</v>
      </c>
      <c r="B4735" t="str">
        <f>HYPERLINK("http://www.corstruth.com.au/NSW/PNG2/MT-2_cs.png","MT-2_0.25m Bins")</f>
        <v>MT-2_0.25m Bins</v>
      </c>
      <c r="C4735" t="str">
        <f>HYPERLINK("http://www.corstruth.com.au/NSW/CSV/MT-2.csv","MT-2_CSV File 1m Bins")</f>
        <v>MT-2_CSV File 1m Bins</v>
      </c>
      <c r="D4735" t="s">
        <v>3046</v>
      </c>
      <c r="E4735" t="s">
        <v>2198</v>
      </c>
      <c r="F4735" t="str">
        <f>HYPERLINK("http://dwh.geoscience.nsw.gov.au/CI/warehouse/raw/drillhole?project=MIN&amp;site_id=005706","Geol Survey Link")</f>
        <v>Geol Survey Link</v>
      </c>
      <c r="H4735" t="s">
        <v>3047</v>
      </c>
      <c r="I4735">
        <v>-32.281399999999998</v>
      </c>
      <c r="J4735">
        <v>148.452</v>
      </c>
      <c r="K4735" t="str">
        <f>HYPERLINK("http://nvcl.geoscience.nsw.gov.au/NVCLDataServices/mosaic.html?datasetid=19688788-c2a9-47c7-9a45-d2a90e9de69","MT-2_Core Image")</f>
        <v>MT-2_Core Image</v>
      </c>
    </row>
    <row r="4736" spans="1:11" x14ac:dyDescent="0.25">
      <c r="A4736" t="str">
        <f>HYPERLINK("http://www.corstruth.com.au/NSW/MT-3_cs.png","MT-3_A4")</f>
        <v>MT-3_A4</v>
      </c>
      <c r="B4736" t="str">
        <f>HYPERLINK("http://www.corstruth.com.au/NSW/PNG2/MT-3_cs.png","MT-3_0.25m Bins")</f>
        <v>MT-3_0.25m Bins</v>
      </c>
      <c r="C4736" t="str">
        <f>HYPERLINK("http://www.corstruth.com.au/NSW/CSV/MT-3.csv","MT-3_CSV File 1m Bins")</f>
        <v>MT-3_CSV File 1m Bins</v>
      </c>
      <c r="D4736" t="s">
        <v>3048</v>
      </c>
      <c r="E4736" t="s">
        <v>2198</v>
      </c>
      <c r="F4736" t="str">
        <f>HYPERLINK("http://dwh.geoscience.nsw.gov.au/CI/warehouse/raw/drillhole?project=MIN&amp;site_id=005707","Geol Survey Link")</f>
        <v>Geol Survey Link</v>
      </c>
      <c r="H4736" t="s">
        <v>3049</v>
      </c>
      <c r="I4736">
        <v>-32.280900000000003</v>
      </c>
      <c r="J4736">
        <v>148.45099999999999</v>
      </c>
      <c r="K4736" t="str">
        <f>HYPERLINK("http://nvcl.geoscience.nsw.gov.au/NVCLDataServices/mosaic.html?datasetid=26d0d1ae-9102-4054-b76b-1b0ee5f0a9d","MT-3_Core Image")</f>
        <v>MT-3_Core Image</v>
      </c>
    </row>
    <row r="4737" spans="1:11" x14ac:dyDescent="0.25">
      <c r="A4737" t="str">
        <f>HYPERLINK("http://www.corstruth.com.au/NSW/DR38C_cs.png","DR38C_A4")</f>
        <v>DR38C_A4</v>
      </c>
      <c r="B4737" t="str">
        <f>HYPERLINK("http://www.corstruth.com.au/NSW/PNG2/DR38C_cs.png","DR38C_0.25m Bins")</f>
        <v>DR38C_0.25m Bins</v>
      </c>
      <c r="C4737" t="str">
        <f>HYPERLINK("http://www.corstruth.com.au/NSW/CSV/DR38C.csv","DR38C_CSV File 1m Bins")</f>
        <v>DR38C_CSV File 1m Bins</v>
      </c>
      <c r="D4737" t="s">
        <v>3050</v>
      </c>
      <c r="E4737" t="s">
        <v>2198</v>
      </c>
      <c r="F4737" t="str">
        <f>HYPERLINK("http://dwh.geoscience.nsw.gov.au/CI/warehouse/raw/drillhole?project=MIN&amp;site_id=009021","Geol Survey Link")</f>
        <v>Geol Survey Link</v>
      </c>
      <c r="H4737" t="s">
        <v>3051</v>
      </c>
      <c r="I4737">
        <v>-32.453800000000001</v>
      </c>
      <c r="J4737">
        <v>149</v>
      </c>
      <c r="K4737" t="str">
        <f>HYPERLINK("http://nvcl.geoscience.nsw.gov.au/NVCLDataServices/mosaic.html?datasetid=d5f2e14b-9dca-4a3d-95f4-b8acde61ad6","DR38C_Core Image")</f>
        <v>DR38C_Core Image</v>
      </c>
    </row>
    <row r="4738" spans="1:11" x14ac:dyDescent="0.25">
      <c r="A4738" t="str">
        <f>HYPERLINK("http://www.corstruth.com.au/NSW/RLMPDD051_cs.png","RLMPDD051_A4")</f>
        <v>RLMPDD051_A4</v>
      </c>
      <c r="B4738" t="str">
        <f>HYPERLINK("http://www.corstruth.com.au/NSW/PNG2/RLMPDD051_cs.png","RLMPDD051_0.25m Bins")</f>
        <v>RLMPDD051_0.25m Bins</v>
      </c>
      <c r="C4738" t="str">
        <f>HYPERLINK("http://www.corstruth.com.au/NSW/CSV/RLMPDD051.csv","RLMPDD051_CSV File 1m Bins")</f>
        <v>RLMPDD051_CSV File 1m Bins</v>
      </c>
      <c r="D4738" t="s">
        <v>3052</v>
      </c>
      <c r="E4738" t="s">
        <v>2198</v>
      </c>
      <c r="F4738" t="str">
        <f>HYPERLINK("http://dwh.geoscience.nsw.gov.au/CI/warehouse/raw/drillhole?project=MIN&amp;site_id=105573","Geol Survey Link")</f>
        <v>Geol Survey Link</v>
      </c>
      <c r="H4738" t="s">
        <v>3053</v>
      </c>
      <c r="I4738">
        <v>-33.4863</v>
      </c>
      <c r="J4738">
        <v>149.32400000000001</v>
      </c>
      <c r="K4738" t="str">
        <f>HYPERLINK("http://nvcl.geoscience.nsw.gov.au/NVCLDataServices/mosaic.html?datasetid=da021b7b-d0aa-4863-96e7-edfaa912c13","RLMPDD051_Core Image")</f>
        <v>RLMPDD051_Core Image</v>
      </c>
    </row>
    <row r="4739" spans="1:11" x14ac:dyDescent="0.25">
      <c r="A4739" t="str">
        <f>HYPERLINK("http://www.corstruth.com.au/NSW/DDHMM-2_cs.png","DDHMM-2_A4")</f>
        <v>DDHMM-2_A4</v>
      </c>
      <c r="B4739" t="str">
        <f>HYPERLINK("http://www.corstruth.com.au/NSW/PNG2/DDHMM-2_cs.png","DDHMM-2_0.25m Bins")</f>
        <v>DDHMM-2_0.25m Bins</v>
      </c>
      <c r="C4739" t="str">
        <f>HYPERLINK("http://www.corstruth.com.au/NSW/CSV/DDHMM-2.csv","DDHMM-2_CSV File 1m Bins")</f>
        <v>DDHMM-2_CSV File 1m Bins</v>
      </c>
      <c r="D4739" t="s">
        <v>3054</v>
      </c>
      <c r="E4739" t="s">
        <v>2198</v>
      </c>
      <c r="F4739" t="str">
        <f>HYPERLINK("http://dwh.geoscience.nsw.gov.au/CI/warehouse/raw/drillhole?project=MIN&amp;site_id=014170","Geol Survey Link")</f>
        <v>Geol Survey Link</v>
      </c>
      <c r="H4739" t="s">
        <v>3055</v>
      </c>
      <c r="I4739">
        <v>-34.7941</v>
      </c>
      <c r="J4739">
        <v>148.155</v>
      </c>
      <c r="K4739" t="str">
        <f>HYPERLINK("http://nvcl.geoscience.nsw.gov.au/NVCLDataServices/mosaic.html?datasetid=7a5849cb-5708-42ca-a840-ae35eab41cc","DDHMM-2_Core Image")</f>
        <v>DDHMM-2_Core Image</v>
      </c>
    </row>
    <row r="4740" spans="1:11" x14ac:dyDescent="0.25">
      <c r="A4740" t="str">
        <f>HYPERLINK("http://www.corstruth.com.au/NSW/LMPDD205_cs.png","LMPDD205_A4")</f>
        <v>LMPDD205_A4</v>
      </c>
      <c r="B4740" t="str">
        <f>HYPERLINK("http://www.corstruth.com.au/NSW/PNG2/LMPDD205_cs.png","LMPDD205_0.25m Bins")</f>
        <v>LMPDD205_0.25m Bins</v>
      </c>
      <c r="C4740" t="str">
        <f>HYPERLINK("http://www.corstruth.com.au/NSW/CSV/LMPDD205.csv","LMPDD205_CSV File 1m Bins")</f>
        <v>LMPDD205_CSV File 1m Bins</v>
      </c>
      <c r="D4740" t="s">
        <v>3056</v>
      </c>
      <c r="E4740" t="s">
        <v>2198</v>
      </c>
      <c r="F4740" t="str">
        <f>HYPERLINK("http://dwh.geoscience.nsw.gov.au/CI/warehouse/raw/drillhole?project=MIN&amp;site_id=242724","Geol Survey Link")</f>
        <v>Geol Survey Link</v>
      </c>
      <c r="H4740" t="s">
        <v>3057</v>
      </c>
      <c r="I4740">
        <v>-33.482900000000001</v>
      </c>
      <c r="J4740">
        <v>149.32400000000001</v>
      </c>
      <c r="K4740" t="str">
        <f>HYPERLINK("http://nvcl.geoscience.nsw.gov.au/NVCLDataServices/mosaic.html?datasetid=8742b154-2af2-4b9d-8be1-0b729ddcd5a","LMPDD205_Core Image")</f>
        <v>LMPDD205_Core Image</v>
      </c>
    </row>
    <row r="4741" spans="1:11" x14ac:dyDescent="0.25">
      <c r="A4741" t="str">
        <f>HYPERLINK("http://www.corstruth.com.au/NSW/LMPDD214_cs.png","LMPDD214_A4")</f>
        <v>LMPDD214_A4</v>
      </c>
      <c r="B4741" t="str">
        <f>HYPERLINK("http://www.corstruth.com.au/NSW/PNG2/LMPDD214_cs.png","LMPDD214_0.25m Bins")</f>
        <v>LMPDD214_0.25m Bins</v>
      </c>
      <c r="C4741" t="str">
        <f>HYPERLINK("http://www.corstruth.com.au/NSW/CSV/LMPDD214.csv","LMPDD214_CSV File 1m Bins")</f>
        <v>LMPDD214_CSV File 1m Bins</v>
      </c>
      <c r="D4741" t="s">
        <v>3058</v>
      </c>
      <c r="E4741" t="s">
        <v>2198</v>
      </c>
      <c r="F4741" t="str">
        <f>HYPERLINK("http://dwh.geoscience.nsw.gov.au/CI/warehouse/raw/drillhole?project=MIN&amp;site_id=242733","Geol Survey Link")</f>
        <v>Geol Survey Link</v>
      </c>
      <c r="H4741" t="s">
        <v>3057</v>
      </c>
      <c r="I4741">
        <v>-33.485399999999998</v>
      </c>
      <c r="J4741">
        <v>149.327</v>
      </c>
      <c r="K4741" t="str">
        <f>HYPERLINK("http://nvcl.geoscience.nsw.gov.au/NVCLDataServices/mosaic.html?datasetid=688034dc-7c9c-47c1-9d6d-f7d020f8e94","LMPDD214_Core Image")</f>
        <v>LMPDD214_Core Image</v>
      </c>
    </row>
    <row r="4742" spans="1:11" x14ac:dyDescent="0.25">
      <c r="A4742" t="str">
        <f>HYPERLINK("http://www.corstruth.com.au/NSW/LMPDD218_cs.png","LMPDD218_A4")</f>
        <v>LMPDD218_A4</v>
      </c>
      <c r="B4742" t="str">
        <f>HYPERLINK("http://www.corstruth.com.au/NSW/PNG2/LMPDD218_cs.png","LMPDD218_0.25m Bins")</f>
        <v>LMPDD218_0.25m Bins</v>
      </c>
      <c r="C4742" t="str">
        <f>HYPERLINK("http://www.corstruth.com.au/NSW/CSV/LMPDD218.csv","LMPDD218_CSV File 1m Bins")</f>
        <v>LMPDD218_CSV File 1m Bins</v>
      </c>
      <c r="D4742" t="s">
        <v>3059</v>
      </c>
      <c r="E4742" t="s">
        <v>2198</v>
      </c>
      <c r="F4742" t="str">
        <f>HYPERLINK("http://dwh.geoscience.nsw.gov.au/CI/warehouse/raw/drillhole?project=MIN&amp;site_id=242737","Geol Survey Link")</f>
        <v>Geol Survey Link</v>
      </c>
      <c r="H4742" t="s">
        <v>3057</v>
      </c>
      <c r="I4742">
        <v>-33.485799999999998</v>
      </c>
      <c r="J4742">
        <v>149.32</v>
      </c>
      <c r="K4742" t="str">
        <f>HYPERLINK("http://nvcl.geoscience.nsw.gov.au/NVCLDataServices/mosaic.html?datasetid=6e2b1fad-8db3-41fc-ae77-a27fbc27a50","LMPDD218_Core Image")</f>
        <v>LMPDD218_Core Image</v>
      </c>
    </row>
    <row r="4743" spans="1:11" x14ac:dyDescent="0.25">
      <c r="A4743" t="str">
        <f>HYPERLINK("http://www.corstruth.com.au/NSW/RMPDD066_cs.png","RMPDD066_A4")</f>
        <v>RMPDD066_A4</v>
      </c>
      <c r="B4743" t="str">
        <f>HYPERLINK("http://www.corstruth.com.au/NSW/PNG2/RMPDD066_cs.png","RMPDD066_0.25m Bins")</f>
        <v>RMPDD066_0.25m Bins</v>
      </c>
      <c r="C4743" t="str">
        <f>HYPERLINK("http://www.corstruth.com.au/NSW/CSV/RMPDD066.csv","RMPDD066_CSV File 1m Bins")</f>
        <v>RMPDD066_CSV File 1m Bins</v>
      </c>
      <c r="D4743" t="s">
        <v>3060</v>
      </c>
      <c r="E4743" t="s">
        <v>2198</v>
      </c>
      <c r="F4743" t="str">
        <f>HYPERLINK("http://dwh.geoscience.nsw.gov.au/CI/warehouse/raw/drillhole?project=MIN&amp;site_id=153463","Geol Survey Link")</f>
        <v>Geol Survey Link</v>
      </c>
      <c r="H4743" t="s">
        <v>3061</v>
      </c>
      <c r="I4743">
        <v>-33.489400000000003</v>
      </c>
      <c r="J4743">
        <v>149.32599999999999</v>
      </c>
      <c r="K4743" t="str">
        <f>HYPERLINK("http://nvcl.geoscience.nsw.gov.au/NVCLDataServices/mosaic.html?datasetid=6799e42d-a22e-418a-84ef-b5dec910d53","RMPDD066_Core Image")</f>
        <v>RMPDD066_Core Image</v>
      </c>
    </row>
    <row r="4744" spans="1:11" x14ac:dyDescent="0.25">
      <c r="A4744" t="str">
        <f>HYPERLINK("http://www.corstruth.com.au/NSW/95SPDD01_cs.png","95SPDD01_A4")</f>
        <v>95SPDD01_A4</v>
      </c>
      <c r="B4744" t="str">
        <f>HYPERLINK("http://www.corstruth.com.au/NSW/PNG2/95SPDD01_cs.png","95SPDD01_0.25m Bins")</f>
        <v>95SPDD01_0.25m Bins</v>
      </c>
      <c r="C4744" t="str">
        <f>HYPERLINK("http://www.corstruth.com.au/NSW/CSV/95SPDD01.csv","95SPDD01_CSV File 1m Bins")</f>
        <v>95SPDD01_CSV File 1m Bins</v>
      </c>
      <c r="D4744" t="s">
        <v>3062</v>
      </c>
      <c r="E4744" t="s">
        <v>2198</v>
      </c>
      <c r="F4744" t="str">
        <f>HYPERLINK("http://dwh.geoscience.nsw.gov.au/CI/warehouse/raw/drillhole?project=MIN&amp;site_id=018391","Geol Survey Link")</f>
        <v>Geol Survey Link</v>
      </c>
      <c r="H4744" t="s">
        <v>3063</v>
      </c>
      <c r="I4744">
        <v>-34.589300000000001</v>
      </c>
      <c r="J4744">
        <v>147.52500000000001</v>
      </c>
      <c r="K4744" t="str">
        <f>HYPERLINK("http://nvcl.geoscience.nsw.gov.au/NVCLDataServices/mosaic.html?datasetid=930703ee-17c4-428d-9f63-6f95b0d4145","95SPDD01_Core Image")</f>
        <v>95SPDD01_Core Image</v>
      </c>
    </row>
    <row r="4745" spans="1:11" x14ac:dyDescent="0.25">
      <c r="A4745" t="str">
        <f>HYPERLINK("http://www.corstruth.com.au/NSW/95SPDDA01_cs.png","95SPDDA01_A4")</f>
        <v>95SPDDA01_A4</v>
      </c>
      <c r="B4745" t="str">
        <f>HYPERLINK("http://www.corstruth.com.au/NSW/PNG2/95SPDDA01_cs.png","95SPDDA01_0.25m Bins")</f>
        <v>95SPDDA01_0.25m Bins</v>
      </c>
      <c r="C4745" t="str">
        <f>HYPERLINK("http://www.corstruth.com.au/NSW/CSV/95SPDDA01.csv","95SPDDA01_CSV File 1m Bins")</f>
        <v>95SPDDA01_CSV File 1m Bins</v>
      </c>
      <c r="D4745" t="s">
        <v>3064</v>
      </c>
      <c r="E4745" t="s">
        <v>2198</v>
      </c>
      <c r="F4745" t="str">
        <f>HYPERLINK("http://dwh.geoscience.nsw.gov.au/CI/warehouse/raw/drillhole?project=MIN&amp;site_id=018392","Geol Survey Link")</f>
        <v>Geol Survey Link</v>
      </c>
      <c r="H4745" t="s">
        <v>3063</v>
      </c>
      <c r="I4745">
        <v>-34.589300000000001</v>
      </c>
      <c r="J4745">
        <v>147.52500000000001</v>
      </c>
      <c r="K4745" t="str">
        <f>HYPERLINK("http://nvcl.geoscience.nsw.gov.au/NVCLDataServices/mosaic.html?datasetid=62c2e943-eac1-44e0-a5db-134f55eabb2","95SPDDA01_Core Image")</f>
        <v>95SPDDA01_Core Image</v>
      </c>
    </row>
    <row r="4746" spans="1:11" x14ac:dyDescent="0.25">
      <c r="A4746" t="str">
        <f>HYPERLINK("http://www.corstruth.com.au/NSW/GG12_cs.png","GG12_A4")</f>
        <v>GG12_A4</v>
      </c>
      <c r="B4746" t="str">
        <f>HYPERLINK("http://www.corstruth.com.au/NSW/PNG2/GG12_cs.png","GG12_0.25m Bins")</f>
        <v>GG12_0.25m Bins</v>
      </c>
      <c r="C4746" t="str">
        <f>HYPERLINK("http://www.corstruth.com.au/NSW/CSV/GG12.csv","GG12_CSV File 1m Bins")</f>
        <v>GG12_CSV File 1m Bins</v>
      </c>
      <c r="D4746" t="s">
        <v>3065</v>
      </c>
      <c r="E4746" t="s">
        <v>2198</v>
      </c>
      <c r="F4746" t="str">
        <f>HYPERLINK("http://dwh.geoscience.nsw.gov.au/CI/warehouse/raw/drillhole?project=MIN&amp;site_id=007619","Geol Survey Link")</f>
        <v>Geol Survey Link</v>
      </c>
      <c r="H4746" t="s">
        <v>3066</v>
      </c>
      <c r="I4746">
        <v>-35.198900000000002</v>
      </c>
      <c r="J4746">
        <v>147.917</v>
      </c>
    </row>
    <row r="4747" spans="1:11" x14ac:dyDescent="0.25">
      <c r="A4747" t="str">
        <f>HYPERLINK("http://www.corstruth.com.au/NSW/GHD009_cs.png","GHD009_A4")</f>
        <v>GHD009_A4</v>
      </c>
      <c r="B4747" t="str">
        <f>HYPERLINK("http://www.corstruth.com.au/NSW/PNG2/GHD009_cs.png","GHD009_0.25m Bins")</f>
        <v>GHD009_0.25m Bins</v>
      </c>
      <c r="C4747" t="str">
        <f>HYPERLINK("http://www.corstruth.com.au/NSW/CSV/GHD009.csv","GHD009_CSV File 1m Bins")</f>
        <v>GHD009_CSV File 1m Bins</v>
      </c>
      <c r="D4747" t="s">
        <v>3067</v>
      </c>
      <c r="E4747" t="s">
        <v>2198</v>
      </c>
      <c r="F4747" t="str">
        <f>HYPERLINK("http://dwh.geoscience.nsw.gov.au/CI/warehouse/raw/drillhole?project=MIN&amp;site_id=138214","Geol Survey Link")</f>
        <v>Geol Survey Link</v>
      </c>
      <c r="H4747" t="s">
        <v>3066</v>
      </c>
      <c r="I4747">
        <v>-35.1982</v>
      </c>
      <c r="J4747">
        <v>147.917</v>
      </c>
      <c r="K4747" t="str">
        <f>HYPERLINK("http://nvcl.geoscience.nsw.gov.au/NVCLDataServices/mosaic.html?datasetid=4493b511-769b-400b-9772-b5c685f1846","GHD009_Core Image")</f>
        <v>GHD009_Core Image</v>
      </c>
    </row>
    <row r="4748" spans="1:11" x14ac:dyDescent="0.25">
      <c r="A4748" t="str">
        <f>HYPERLINK("http://www.corstruth.com.au/NSW/MANSW-88-1_cs.png","MANSW-88-1_A4")</f>
        <v>MANSW-88-1_A4</v>
      </c>
      <c r="B4748" t="str">
        <f>HYPERLINK("http://www.corstruth.com.au/NSW/PNG2/MANSW-88-1_cs.png","MANSW-88-1_0.25m Bins")</f>
        <v>MANSW-88-1_0.25m Bins</v>
      </c>
      <c r="C4748" t="str">
        <f>HYPERLINK("http://www.corstruth.com.au/NSW/CSV/MANSW-88-1.csv","MANSW-88-1_CSV File 1m Bins")</f>
        <v>MANSW-88-1_CSV File 1m Bins</v>
      </c>
      <c r="D4748" t="s">
        <v>3068</v>
      </c>
      <c r="E4748" t="s">
        <v>2198</v>
      </c>
      <c r="F4748" t="str">
        <f>HYPERLINK("http://dwh.geoscience.nsw.gov.au/CI/warehouse/raw/drillhole?project=MIN&amp;site_id=007633","Geol Survey Link")</f>
        <v>Geol Survey Link</v>
      </c>
      <c r="H4748" t="s">
        <v>3066</v>
      </c>
      <c r="I4748">
        <v>-35.198099999999997</v>
      </c>
      <c r="J4748">
        <v>147.91800000000001</v>
      </c>
      <c r="K4748" t="str">
        <f>HYPERLINK("http://nvcl.geoscience.nsw.gov.au/NVCLDataServices/mosaic.html?datasetid=acbbbab6-d65f-409b-a674-3b80f7dceb1","MANSW-88-1_Core Image")</f>
        <v>MANSW-88-1_Core Image</v>
      </c>
    </row>
    <row r="4749" spans="1:11" x14ac:dyDescent="0.25">
      <c r="A4749" t="str">
        <f>HYPERLINK("http://www.corstruth.com.au/NSW/MANSW-88-2_cs.png","MANSW-88-2_A4")</f>
        <v>MANSW-88-2_A4</v>
      </c>
      <c r="B4749" t="str">
        <f>HYPERLINK("http://www.corstruth.com.au/NSW/PNG2/MANSW-88-2_cs.png","MANSW-88-2_0.25m Bins")</f>
        <v>MANSW-88-2_0.25m Bins</v>
      </c>
      <c r="C4749" t="str">
        <f>HYPERLINK("http://www.corstruth.com.au/NSW/CSV/MANSW-88-2.csv","MANSW-88-2_CSV File 1m Bins")</f>
        <v>MANSW-88-2_CSV File 1m Bins</v>
      </c>
      <c r="D4749" t="s">
        <v>3069</v>
      </c>
      <c r="E4749" t="s">
        <v>2198</v>
      </c>
      <c r="F4749" t="str">
        <f>HYPERLINK("http://dwh.geoscience.nsw.gov.au/CI/warehouse/raw/drillhole?project=MIN&amp;site_id=007637","Geol Survey Link")</f>
        <v>Geol Survey Link</v>
      </c>
      <c r="H4749" t="s">
        <v>3066</v>
      </c>
      <c r="I4749">
        <v>-35.197600000000001</v>
      </c>
      <c r="J4749">
        <v>147.916</v>
      </c>
      <c r="K4749" t="str">
        <f>HYPERLINK("http://nvcl.geoscience.nsw.gov.au/NVCLDataServices/mosaic.html?datasetid=5fbfa5f2-a5c0-4be0-853f-8ff085b5f1c","MANSW-88-2_Core Image")</f>
        <v>MANSW-88-2_Core Image</v>
      </c>
    </row>
    <row r="4750" spans="1:11" x14ac:dyDescent="0.25">
      <c r="A4750" t="str">
        <f>HYPERLINK("http://www.corstruth.com.au/NSW/78-WD-D1_cs.png","78-WD-D1_A4")</f>
        <v>78-WD-D1_A4</v>
      </c>
      <c r="B4750" t="str">
        <f>HYPERLINK("http://www.corstruth.com.au/NSW/PNG2/78-WD-D1_cs.png","78-WD-D1_0.25m Bins")</f>
        <v>78-WD-D1_0.25m Bins</v>
      </c>
      <c r="C4750" t="str">
        <f>HYPERLINK("http://www.corstruth.com.au/NSW/CSV/78-WD-D1.csv","78-WD-D1_CSV File 1m Bins")</f>
        <v>78-WD-D1_CSV File 1m Bins</v>
      </c>
      <c r="D4750" t="s">
        <v>3070</v>
      </c>
      <c r="E4750" t="s">
        <v>2198</v>
      </c>
      <c r="F4750" t="str">
        <f>HYPERLINK("http://dwh.geoscience.nsw.gov.au/CI/warehouse/raw/drillhole?project=MIN&amp;site_id=006462","Geol Survey Link")</f>
        <v>Geol Survey Link</v>
      </c>
      <c r="H4750" t="s">
        <v>3071</v>
      </c>
      <c r="I4750">
        <v>-30.791</v>
      </c>
      <c r="J4750">
        <v>146.06100000000001</v>
      </c>
      <c r="K4750" t="str">
        <f>HYPERLINK("http://nvcl.geoscience.nsw.gov.au/NVCLDataServices/mosaic.html?datasetid=91f2f94e-36dc-45fe-8807-695ce915298","78-WD-D1_Core Image")</f>
        <v>78-WD-D1_Core Image</v>
      </c>
    </row>
    <row r="4751" spans="1:11" x14ac:dyDescent="0.25">
      <c r="A4751" t="str">
        <f>HYPERLINK("http://www.corstruth.com.au/NSW/RD-1_cs.png","RD-1_A4")</f>
        <v>RD-1_A4</v>
      </c>
      <c r="B4751" t="str">
        <f>HYPERLINK("http://www.corstruth.com.au/NSW/PNG2/RD-1_cs.png","RD-1_0.25m Bins")</f>
        <v>RD-1_0.25m Bins</v>
      </c>
      <c r="C4751" t="str">
        <f>HYPERLINK("http://www.corstruth.com.au/NSW/CSV/RD-1.csv","RD-1_CSV File 1m Bins")</f>
        <v>RD-1_CSV File 1m Bins</v>
      </c>
      <c r="D4751" t="s">
        <v>3072</v>
      </c>
      <c r="E4751" t="s">
        <v>2198</v>
      </c>
      <c r="F4751" t="str">
        <f>HYPERLINK("http://dwh.geoscience.nsw.gov.au/CI/warehouse/raw/drillhole?project=MIN&amp;site_id=008261","Geol Survey Link")</f>
        <v>Geol Survey Link</v>
      </c>
      <c r="H4751" t="s">
        <v>3073</v>
      </c>
      <c r="I4751">
        <v>-31.1677</v>
      </c>
      <c r="J4751">
        <v>145.869</v>
      </c>
      <c r="K4751" t="str">
        <f>HYPERLINK("http://nvcl.geoscience.nsw.gov.au/NVCLDataServices/mosaic.html?datasetid=23a71d87-ce6f-4571-a715-d8962cb5843","RD-1_Core Image")</f>
        <v>RD-1_Core Image</v>
      </c>
    </row>
    <row r="4752" spans="1:11" x14ac:dyDescent="0.25">
      <c r="A4752" t="str">
        <f>HYPERLINK("http://www.corstruth.com.au/NSW/RD-2_cs.png","RD-2_A4")</f>
        <v>RD-2_A4</v>
      </c>
      <c r="B4752" t="str">
        <f>HYPERLINK("http://www.corstruth.com.au/NSW/PNG2/RD-2_cs.png","RD-2_0.25m Bins")</f>
        <v>RD-2_0.25m Bins</v>
      </c>
      <c r="C4752" t="str">
        <f>HYPERLINK("http://www.corstruth.com.au/NSW/CSV/RD-2.csv","RD-2_CSV File 1m Bins")</f>
        <v>RD-2_CSV File 1m Bins</v>
      </c>
      <c r="D4752" t="s">
        <v>3074</v>
      </c>
      <c r="E4752" t="s">
        <v>2198</v>
      </c>
      <c r="F4752" t="str">
        <f>HYPERLINK("http://dwh.geoscience.nsw.gov.au/CI/warehouse/raw/drillhole?project=MIN&amp;site_id=008262","Geol Survey Link")</f>
        <v>Geol Survey Link</v>
      </c>
      <c r="H4752" t="s">
        <v>3073</v>
      </c>
      <c r="I4752">
        <v>-31.168099999999999</v>
      </c>
      <c r="J4752">
        <v>145.86799999999999</v>
      </c>
      <c r="K4752" t="str">
        <f>HYPERLINK("http://nvcl.geoscience.nsw.gov.au/NVCLDataServices/mosaic.html?datasetid=fbf6a41f-2c01-4137-846c-37c9876bceb","RD-2_Core Image")</f>
        <v>RD-2_Core Image</v>
      </c>
    </row>
    <row r="4753" spans="1:11" x14ac:dyDescent="0.25">
      <c r="A4753" t="str">
        <f>HYPERLINK("http://www.corstruth.com.au/NSW/S-DMA-2A_cs.png","S-DMA-2A_A4")</f>
        <v>S-DMA-2A_A4</v>
      </c>
      <c r="B4753" t="str">
        <f>HYPERLINK("http://www.corstruth.com.au/NSW/PNG2/S-DMA-2A_cs.png","S-DMA-2A_0.25m Bins")</f>
        <v>S-DMA-2A_0.25m Bins</v>
      </c>
      <c r="C4753" t="str">
        <f>HYPERLINK("http://www.corstruth.com.au/NSW/CSV/S-DMA-2A.csv","S-DMA-2A_CSV File 1m Bins")</f>
        <v>S-DMA-2A_CSV File 1m Bins</v>
      </c>
      <c r="D4753" t="s">
        <v>3075</v>
      </c>
      <c r="E4753" t="s">
        <v>2198</v>
      </c>
      <c r="F4753" t="str">
        <f>HYPERLINK("http://dwh.geoscience.nsw.gov.au/CI/warehouse/raw/drillhole?project=MIN&amp;site_id=040467","Geol Survey Link")</f>
        <v>Geol Survey Link</v>
      </c>
      <c r="H4753" t="s">
        <v>3076</v>
      </c>
      <c r="I4753">
        <v>-32.752099999999999</v>
      </c>
      <c r="J4753">
        <v>145.762</v>
      </c>
      <c r="K4753" t="str">
        <f>HYPERLINK("http://nvcl.geoscience.nsw.gov.au/NVCLDataServices/mosaic.html?datasetid=d5b3e7f8-ffa9-49fb-a9cd-93e6d36f03d","S-DMA-2A_Core Image")</f>
        <v>S-DMA-2A_Core Image</v>
      </c>
    </row>
    <row r="4754" spans="1:11" x14ac:dyDescent="0.25">
      <c r="A4754" t="str">
        <f>HYPERLINK("http://www.corstruth.com.au/NSW/GDDH5_cs.png","GDDH5_A4")</f>
        <v>GDDH5_A4</v>
      </c>
      <c r="B4754" t="str">
        <f>HYPERLINK("http://www.corstruth.com.au/NSW/PNG2/GDDH5_cs.png","GDDH5_0.25m Bins")</f>
        <v>GDDH5_0.25m Bins</v>
      </c>
      <c r="C4754" t="str">
        <f>HYPERLINK("http://www.corstruth.com.au/NSW/CSV/GDDH5.csv","GDDH5_CSV File 1m Bins")</f>
        <v>GDDH5_CSV File 1m Bins</v>
      </c>
      <c r="D4754" t="s">
        <v>3077</v>
      </c>
      <c r="E4754" t="s">
        <v>2198</v>
      </c>
      <c r="F4754" t="str">
        <f>HYPERLINK("http://dwh.geoscience.nsw.gov.au/CI/warehouse/raw/drillhole?project=MIN&amp;site_id=040518","Geol Survey Link")</f>
        <v>Geol Survey Link</v>
      </c>
      <c r="H4754" t="s">
        <v>3078</v>
      </c>
      <c r="I4754">
        <v>-32.880499999999998</v>
      </c>
      <c r="J4754">
        <v>145.85900000000001</v>
      </c>
      <c r="K4754" t="str">
        <f>HYPERLINK("http://nvcl.geoscience.nsw.gov.au/NVCLDataServices/mosaic.html?datasetid=220fd104-c32c-4446-a9b2-763f5f412f2","GDDH5_Core Image")</f>
        <v>GDDH5_Core Image</v>
      </c>
    </row>
    <row r="4755" spans="1:11" x14ac:dyDescent="0.25">
      <c r="A4755" t="str">
        <f>HYPERLINK("http://www.corstruth.com.au/NSW/DDH-3_cs.png","DDH-3_A4")</f>
        <v>DDH-3_A4</v>
      </c>
      <c r="B4755" t="str">
        <f>HYPERLINK("http://www.corstruth.com.au/NSW/PNG2/DDH-3_cs.png","DDH-3_0.25m Bins")</f>
        <v>DDH-3_0.25m Bins</v>
      </c>
      <c r="C4755" t="str">
        <f>HYPERLINK("http://www.corstruth.com.au/NSW/CSV/DDH-3.csv","DDH-3_CSV File 1m Bins")</f>
        <v>DDH-3_CSV File 1m Bins</v>
      </c>
      <c r="D4755" t="s">
        <v>3079</v>
      </c>
      <c r="E4755" t="s">
        <v>2198</v>
      </c>
      <c r="F4755" t="str">
        <f>HYPERLINK("http://dwh.geoscience.nsw.gov.au/CI/warehouse/raw/drillhole?project=MIN&amp;site_id=040511","Geol Survey Link")</f>
        <v>Geol Survey Link</v>
      </c>
      <c r="H4755" t="s">
        <v>3080</v>
      </c>
      <c r="I4755">
        <v>-32.886000000000003</v>
      </c>
      <c r="J4755">
        <v>145.86099999999999</v>
      </c>
      <c r="K4755" t="str">
        <f>HYPERLINK("http://nvcl.geoscience.nsw.gov.au/NVCLDataServices/mosaic.html?datasetid=2af03f88-a5b2-4160-974d-d087eff579a","DDH-3_Core Image")</f>
        <v>DDH-3_Core Image</v>
      </c>
    </row>
    <row r="4756" spans="1:11" x14ac:dyDescent="0.25">
      <c r="A4756" t="str">
        <f>HYPERLINK("http://www.corstruth.com.au/NSW/DDH5_cs.png","DDH5_A4")</f>
        <v>DDH5_A4</v>
      </c>
      <c r="B4756" t="str">
        <f>HYPERLINK("http://www.corstruth.com.au/NSW/PNG2/DDH5_cs.png","DDH5_0.25m Bins")</f>
        <v>DDH5_0.25m Bins</v>
      </c>
      <c r="C4756" t="str">
        <f>HYPERLINK("http://www.corstruth.com.au/NSW/CSV/DDH5.csv","DDH5_CSV File 1m Bins")</f>
        <v>DDH5_CSV File 1m Bins</v>
      </c>
      <c r="D4756" t="s">
        <v>3081</v>
      </c>
      <c r="E4756" t="s">
        <v>2198</v>
      </c>
      <c r="F4756" t="str">
        <f>HYPERLINK("http://dwh.geoscience.nsw.gov.au/CI/warehouse/raw/drillhole?project=MIN&amp;site_id=040513","Geol Survey Link")</f>
        <v>Geol Survey Link</v>
      </c>
      <c r="H4756" t="s">
        <v>3080</v>
      </c>
      <c r="I4756">
        <v>-32.886899999999997</v>
      </c>
      <c r="J4756">
        <v>145.86099999999999</v>
      </c>
      <c r="K4756" t="str">
        <f>HYPERLINK("http://nvcl.geoscience.nsw.gov.au/NVCLDataServices/mosaic.html?datasetid=8875a3a2-e1d6-4aa6-8dcf-d8646cfc9cf","DDH5_Core Image")</f>
        <v>DDH5_Core Image</v>
      </c>
    </row>
    <row r="4757" spans="1:11" x14ac:dyDescent="0.25">
      <c r="A4757" t="str">
        <f>HYPERLINK("http://www.corstruth.com.au/NSW/GCS-1_cs.png","GCS-1_A4")</f>
        <v>GCS-1_A4</v>
      </c>
      <c r="B4757" t="str">
        <f>HYPERLINK("http://www.corstruth.com.au/NSW/PNG2/GCS-1_cs.png","GCS-1_0.25m Bins")</f>
        <v>GCS-1_0.25m Bins</v>
      </c>
      <c r="C4757" t="str">
        <f>HYPERLINK("http://www.corstruth.com.au/NSW/CSV/GCS-1.csv","GCS-1_CSV File 1m Bins")</f>
        <v>GCS-1_CSV File 1m Bins</v>
      </c>
      <c r="D4757" t="s">
        <v>3082</v>
      </c>
      <c r="E4757" t="s">
        <v>2198</v>
      </c>
      <c r="F4757" t="str">
        <f>HYPERLINK("http://dwh.geoscience.nsw.gov.au/CI/warehouse/raw/drillhole?project=MIN&amp;site_id=040496","Geol Survey Link")</f>
        <v>Geol Survey Link</v>
      </c>
      <c r="H4757" t="s">
        <v>3083</v>
      </c>
      <c r="I4757">
        <v>-32.901299999999999</v>
      </c>
      <c r="J4757">
        <v>145.85499999999999</v>
      </c>
      <c r="K4757" t="str">
        <f>HYPERLINK("http://nvcl.geoscience.nsw.gov.au/NVCLDataServices/mosaic.html?datasetid=33b824e4-c2df-45ee-b684-21bd58d8c03","GCS-1_Core Image")</f>
        <v>GCS-1_Core Image</v>
      </c>
    </row>
    <row r="4758" spans="1:11" x14ac:dyDescent="0.25">
      <c r="A4758" t="str">
        <f>HYPERLINK("http://www.corstruth.com.au/NSW/GCS-2_cs.png","GCS-2_A4")</f>
        <v>GCS-2_A4</v>
      </c>
      <c r="B4758" t="str">
        <f>HYPERLINK("http://www.corstruth.com.au/NSW/PNG2/GCS-2_cs.png","GCS-2_0.25m Bins")</f>
        <v>GCS-2_0.25m Bins</v>
      </c>
      <c r="C4758" t="str">
        <f>HYPERLINK("http://www.corstruth.com.au/NSW/CSV/GCS-2.csv","GCS-2_CSV File 1m Bins")</f>
        <v>GCS-2_CSV File 1m Bins</v>
      </c>
      <c r="D4758" t="s">
        <v>3084</v>
      </c>
      <c r="E4758" t="s">
        <v>2198</v>
      </c>
      <c r="F4758" t="str">
        <f>HYPERLINK("http://dwh.geoscience.nsw.gov.au/CI/warehouse/raw/drillhole?project=MIN&amp;site_id=040497","Geol Survey Link")</f>
        <v>Geol Survey Link</v>
      </c>
      <c r="H4758" t="s">
        <v>3083</v>
      </c>
      <c r="I4758">
        <v>-32.901299999999999</v>
      </c>
      <c r="J4758">
        <v>145.85499999999999</v>
      </c>
      <c r="K4758" t="str">
        <f>HYPERLINK("http://nvcl.geoscience.nsw.gov.au/NVCLDataServices/mosaic.html?datasetid=20b31e37-c8ae-4f6f-bcb6-e5082034a51","GCS-2_Core Image")</f>
        <v>GCS-2_Core Image</v>
      </c>
    </row>
    <row r="4759" spans="1:11" x14ac:dyDescent="0.25">
      <c r="A4759" t="str">
        <f>HYPERLINK("http://www.corstruth.com.au/NSW/DH-PMA-7_cs.png","DH-PMA-7_A4")</f>
        <v>DH-PMA-7_A4</v>
      </c>
      <c r="B4759" t="str">
        <f>HYPERLINK("http://www.corstruth.com.au/NSW/PNG2/DH-PMA-7_cs.png","DH-PMA-7_0.25m Bins")</f>
        <v>DH-PMA-7_0.25m Bins</v>
      </c>
      <c r="C4759" t="str">
        <f>HYPERLINK("http://www.corstruth.com.au/NSW/CSV/DH-PMA-7.csv","DH-PMA-7_CSV File 1m Bins")</f>
        <v>DH-PMA-7_CSV File 1m Bins</v>
      </c>
      <c r="D4759" t="s">
        <v>3085</v>
      </c>
      <c r="E4759" t="s">
        <v>2198</v>
      </c>
      <c r="F4759" t="str">
        <f>HYPERLINK("http://dwh.geoscience.nsw.gov.au/CI/warehouse/raw/drillhole?project=MIN&amp;site_id=040474","Geol Survey Link")</f>
        <v>Geol Survey Link</v>
      </c>
      <c r="H4759" t="s">
        <v>3086</v>
      </c>
      <c r="I4759">
        <v>-32.692799999999998</v>
      </c>
      <c r="J4759">
        <v>145.85900000000001</v>
      </c>
      <c r="K4759" t="str">
        <f>HYPERLINK("http://nvcl.geoscience.nsw.gov.au/NVCLDataServices/mosaic.html?datasetid=761b7a5b-bf8b-4c50-9a78-af89185a55d","DH-PMA-7_Core Image")</f>
        <v>DH-PMA-7_Core Image</v>
      </c>
    </row>
    <row r="4760" spans="1:11" x14ac:dyDescent="0.25">
      <c r="A4760" t="str">
        <f>HYPERLINK("http://www.corstruth.com.au/NSW/DDHQDH4_cs.png","DDHQDH4_A4")</f>
        <v>DDHQDH4_A4</v>
      </c>
      <c r="B4760" t="str">
        <f>HYPERLINK("http://www.corstruth.com.au/NSW/PNG2/DDHQDH4_cs.png","DDHQDH4_0.25m Bins")</f>
        <v>DDHQDH4_0.25m Bins</v>
      </c>
      <c r="C4760" t="str">
        <f>HYPERLINK("http://www.corstruth.com.au/NSW/CSV/DDHQDH4.csv","DDHQDH4_CSV File 1m Bins")</f>
        <v>DDHQDH4_CSV File 1m Bins</v>
      </c>
      <c r="D4760" t="s">
        <v>3087</v>
      </c>
      <c r="E4760" t="s">
        <v>2198</v>
      </c>
      <c r="F4760" t="str">
        <f>HYPERLINK("http://dwh.geoscience.nsw.gov.au/CI/warehouse/raw/drillhole?project=MIN&amp;site_id=040522","Geol Survey Link")</f>
        <v>Geol Survey Link</v>
      </c>
      <c r="H4760" t="s">
        <v>3088</v>
      </c>
      <c r="I4760">
        <v>-32.882100000000001</v>
      </c>
      <c r="J4760">
        <v>145.86500000000001</v>
      </c>
    </row>
    <row r="4761" spans="1:11" x14ac:dyDescent="0.25">
      <c r="A4761" t="str">
        <f>HYPERLINK("http://www.corstruth.com.au/NSW/DDHR1_cs.png","DDHR1_A4")</f>
        <v>DDHR1_A4</v>
      </c>
      <c r="B4761" t="str">
        <f>HYPERLINK("http://www.corstruth.com.au/NSW/PNG2/DDHR1_cs.png","DDHR1_0.25m Bins")</f>
        <v>DDHR1_0.25m Bins</v>
      </c>
      <c r="C4761" t="str">
        <f>HYPERLINK("http://www.corstruth.com.au/NSW/CSV/DDHR1.csv","DDHR1_CSV File 1m Bins")</f>
        <v>DDHR1_CSV File 1m Bins</v>
      </c>
      <c r="D4761" t="s">
        <v>3089</v>
      </c>
      <c r="E4761" t="s">
        <v>2198</v>
      </c>
      <c r="F4761" t="str">
        <f>HYPERLINK("http://dwh.geoscience.nsw.gov.au/CI/warehouse/raw/drillhole?project=MIN&amp;site_id=024846","Geol Survey Link")</f>
        <v>Geol Survey Link</v>
      </c>
      <c r="H4761" t="s">
        <v>3090</v>
      </c>
      <c r="I4761">
        <v>-32.234999999999999</v>
      </c>
      <c r="J4761">
        <v>147.35400000000001</v>
      </c>
      <c r="K4761" t="str">
        <f>HYPERLINK("http://nvcl.geoscience.nsw.gov.au/NVCLDataServices/mosaic.html?datasetid=838a5912-c12a-4cb6-9c20-e7d6b51237a","DDHR1_Core Image")</f>
        <v>DDHR1_Core Image</v>
      </c>
    </row>
    <row r="4762" spans="1:11" x14ac:dyDescent="0.25">
      <c r="A4762" t="str">
        <f>HYPERLINK("http://www.corstruth.com.au/NSW/DDHR2_cs.png","DDHR2_A4")</f>
        <v>DDHR2_A4</v>
      </c>
      <c r="B4762" t="str">
        <f>HYPERLINK("http://www.corstruth.com.au/NSW/PNG2/DDHR2_cs.png","DDHR2_0.25m Bins")</f>
        <v>DDHR2_0.25m Bins</v>
      </c>
      <c r="C4762" t="str">
        <f>HYPERLINK("http://www.corstruth.com.au/NSW/CSV/DDHR2.csv","DDHR2_CSV File 1m Bins")</f>
        <v>DDHR2_CSV File 1m Bins</v>
      </c>
      <c r="D4762" t="s">
        <v>3091</v>
      </c>
      <c r="E4762" t="s">
        <v>2198</v>
      </c>
      <c r="F4762" t="str">
        <f>HYPERLINK("http://dwh.geoscience.nsw.gov.au/CI/warehouse/raw/drillhole?project=MIN&amp;site_id=024847","Geol Survey Link")</f>
        <v>Geol Survey Link</v>
      </c>
      <c r="H4762" t="s">
        <v>3092</v>
      </c>
      <c r="I4762">
        <v>-32.235100000000003</v>
      </c>
      <c r="J4762">
        <v>147.35300000000001</v>
      </c>
      <c r="K4762" t="str">
        <f>HYPERLINK("http://nvcl.geoscience.nsw.gov.au/NVCLDataServices/mosaic.html?datasetid=fcabcf67-bbb1-4954-961f-96ffe24b12f","DDHR2_Core Image")</f>
        <v>DDHR2_Core Image</v>
      </c>
    </row>
    <row r="4763" spans="1:11" x14ac:dyDescent="0.25">
      <c r="A4763" t="str">
        <f>HYPERLINK("http://www.corstruth.com.au/NSW/DDHR3_cs.png","DDHR3_A4")</f>
        <v>DDHR3_A4</v>
      </c>
      <c r="B4763" t="str">
        <f>HYPERLINK("http://www.corstruth.com.au/NSW/PNG2/DDHR3_cs.png","DDHR3_0.25m Bins")</f>
        <v>DDHR3_0.25m Bins</v>
      </c>
      <c r="C4763" t="str">
        <f>HYPERLINK("http://www.corstruth.com.au/NSW/CSV/DDHR3.csv","DDHR3_CSV File 1m Bins")</f>
        <v>DDHR3_CSV File 1m Bins</v>
      </c>
      <c r="D4763" t="s">
        <v>3093</v>
      </c>
      <c r="E4763" t="s">
        <v>2198</v>
      </c>
      <c r="F4763" t="str">
        <f>HYPERLINK("http://dwh.geoscience.nsw.gov.au/CI/warehouse/raw/drillhole?project=MIN&amp;site_id=024848","Geol Survey Link")</f>
        <v>Geol Survey Link</v>
      </c>
      <c r="H4763" t="s">
        <v>3094</v>
      </c>
      <c r="I4763">
        <v>-32.235100000000003</v>
      </c>
      <c r="J4763">
        <v>147.352</v>
      </c>
      <c r="K4763" t="str">
        <f>HYPERLINK("http://nvcl.geoscience.nsw.gov.au/NVCLDataServices/mosaic.html?datasetid=be8ea703-5655-49ce-a84a-2a99b27f432","DDHR3_Core Image")</f>
        <v>DDHR3_Core Image</v>
      </c>
    </row>
    <row r="4764" spans="1:11" x14ac:dyDescent="0.25">
      <c r="A4764" t="str">
        <f>HYPERLINK("http://www.corstruth.com.au/NSW/LV8_cs.png","LV8_A4")</f>
        <v>LV8_A4</v>
      </c>
      <c r="B4764" t="str">
        <f>HYPERLINK("http://www.corstruth.com.au/NSW/PNG2/LV8_cs.png","LV8_0.25m Bins")</f>
        <v>LV8_0.25m Bins</v>
      </c>
      <c r="C4764" t="str">
        <f>HYPERLINK("http://www.corstruth.com.au/NSW/CSV/LV8.csv","LV8_CSV File 1m Bins")</f>
        <v>LV8_CSV File 1m Bins</v>
      </c>
      <c r="D4764" t="s">
        <v>3095</v>
      </c>
      <c r="E4764" t="s">
        <v>2198</v>
      </c>
      <c r="F4764" t="str">
        <f>HYPERLINK("http://dwh.geoscience.nsw.gov.au/CI/warehouse/raw/drillhole?project=MIN&amp;site_id=037864","Geol Survey Link")</f>
        <v>Geol Survey Link</v>
      </c>
      <c r="H4764" t="s">
        <v>3096</v>
      </c>
      <c r="I4764">
        <v>-32.038899999999998</v>
      </c>
      <c r="J4764">
        <v>149.505</v>
      </c>
      <c r="K4764" t="str">
        <f>HYPERLINK("http://nvcl.geoscience.nsw.gov.au/NVCLDataServices/mosaic.html?datasetid=2670385a-b0c9-40c5-b573-3ba34c0ffba","LV8_Core Image")</f>
        <v>LV8_Core Image</v>
      </c>
    </row>
    <row r="4765" spans="1:11" x14ac:dyDescent="0.25">
      <c r="A4765" t="str">
        <f>HYPERLINK("http://www.corstruth.com.au/NSW/SLP2_cs.png","SLP2_A4")</f>
        <v>SLP2_A4</v>
      </c>
      <c r="B4765" t="str">
        <f>HYPERLINK("http://www.corstruth.com.au/NSW/PNG2/SLP2_cs.png","SLP2_0.25m Bins")</f>
        <v>SLP2_0.25m Bins</v>
      </c>
      <c r="C4765" t="str">
        <f>HYPERLINK("http://www.corstruth.com.au/NSW/CSV/SLP2.csv","SLP2_CSV File 1m Bins")</f>
        <v>SLP2_CSV File 1m Bins</v>
      </c>
      <c r="D4765" t="s">
        <v>3097</v>
      </c>
      <c r="E4765" t="s">
        <v>2198</v>
      </c>
      <c r="F4765" t="str">
        <f>HYPERLINK("http://dwh.geoscience.nsw.gov.au/CI/warehouse/raw/drillhole?project=MIN&amp;site_id=040782","Geol Survey Link")</f>
        <v>Geol Survey Link</v>
      </c>
      <c r="H4765" t="s">
        <v>3098</v>
      </c>
      <c r="I4765">
        <v>-32.917700000000004</v>
      </c>
      <c r="J4765">
        <v>145.911</v>
      </c>
      <c r="K4765" t="str">
        <f>HYPERLINK("http://nvcl.geoscience.nsw.gov.au/NVCLDataServices/mosaic.html?datasetid=3a773034-6363-4ba8-b79a-d2475141623","SLP2_Core Image")</f>
        <v>SLP2_Core Image</v>
      </c>
    </row>
    <row r="4766" spans="1:11" x14ac:dyDescent="0.25">
      <c r="A4766" t="str">
        <f>HYPERLINK("http://www.corstruth.com.au/NSW/SLPD14_cs.png","SLPD14_A4")</f>
        <v>SLPD14_A4</v>
      </c>
      <c r="B4766" t="str">
        <f>HYPERLINK("http://www.corstruth.com.au/NSW/PNG2/SLPD14_cs.png","SLPD14_0.25m Bins")</f>
        <v>SLPD14_0.25m Bins</v>
      </c>
      <c r="C4766" t="str">
        <f>HYPERLINK("http://www.corstruth.com.au/NSW/CSV/SLPD14.csv","SLPD14_CSV File 1m Bins")</f>
        <v>SLPD14_CSV File 1m Bins</v>
      </c>
      <c r="D4766" t="s">
        <v>3099</v>
      </c>
      <c r="E4766" t="s">
        <v>2198</v>
      </c>
      <c r="F4766" t="str">
        <f>HYPERLINK("http://dwh.geoscience.nsw.gov.au/CI/warehouse/raw/drillhole?project=MIN&amp;site_id=040796","Geol Survey Link")</f>
        <v>Geol Survey Link</v>
      </c>
      <c r="H4766" t="s">
        <v>3098</v>
      </c>
      <c r="I4766">
        <v>-32.918999999999997</v>
      </c>
      <c r="J4766">
        <v>145.91</v>
      </c>
      <c r="K4766" t="str">
        <f>HYPERLINK("http://nvcl.geoscience.nsw.gov.au/NVCLDataServices/mosaic.html?datasetid=960dc78f-6942-458b-9e6c-555452188ba","SLPD14_Core Image")</f>
        <v>SLPD14_Core Image</v>
      </c>
    </row>
    <row r="4767" spans="1:11" x14ac:dyDescent="0.25">
      <c r="A4767" t="str">
        <f>HYPERLINK("http://www.corstruth.com.au/NSW/MG016ACD_cs.png","MG016ACD_A4")</f>
        <v>MG016ACD_A4</v>
      </c>
      <c r="D4767" t="s">
        <v>3100</v>
      </c>
      <c r="E4767" t="s">
        <v>2198</v>
      </c>
      <c r="F4767" t="str">
        <f>HYPERLINK("http://dwh.geoscience.nsw.gov.au/CI/warehouse/raw/drillhole?project=MIN&amp;site_id=024363","Geol Survey Link")</f>
        <v>Geol Survey Link</v>
      </c>
      <c r="H4767" t="s">
        <v>3101</v>
      </c>
      <c r="I4767">
        <v>-31.784400000000002</v>
      </c>
      <c r="J4767">
        <v>147.596</v>
      </c>
      <c r="K4767" t="str">
        <f>HYPERLINK("http://nvcl.geoscience.nsw.gov.au/NVCLDataServices/mosaic.html?datasetid=8c990c72-512c-414c-8693-35bc7959347","MG016ACD_Core Image")</f>
        <v>MG016ACD_Core Image</v>
      </c>
    </row>
    <row r="4768" spans="1:11" x14ac:dyDescent="0.25">
      <c r="A4768" t="str">
        <f>HYPERLINK("http://www.corstruth.com.au/NSW/MG018ACD_cs.png","MG018ACD_A4")</f>
        <v>MG018ACD_A4</v>
      </c>
      <c r="D4768" t="s">
        <v>3102</v>
      </c>
      <c r="E4768" t="s">
        <v>2198</v>
      </c>
      <c r="F4768" t="str">
        <f>HYPERLINK("http://dwh.geoscience.nsw.gov.au/CI/warehouse/raw/drillhole?project=MIN&amp;site_id=024365","Geol Survey Link")</f>
        <v>Geol Survey Link</v>
      </c>
      <c r="H4768" t="s">
        <v>3101</v>
      </c>
      <c r="I4768">
        <v>-31.815999999999999</v>
      </c>
      <c r="J4768">
        <v>147.56100000000001</v>
      </c>
      <c r="K4768" t="str">
        <f>HYPERLINK("http://nvcl.geoscience.nsw.gov.au/NVCLDataServices/mosaic.html?datasetid=7cfb3762-5198-49d6-b64e-0c5f157d7bb","MG018ACD_Core Image")</f>
        <v>MG018ACD_Core Image</v>
      </c>
    </row>
    <row r="4769" spans="1:11" x14ac:dyDescent="0.25">
      <c r="A4769" t="str">
        <f>HYPERLINK("http://www.corstruth.com.au/NSW/MG019ACD_cs.png","MG019ACD_A4")</f>
        <v>MG019ACD_A4</v>
      </c>
      <c r="D4769" t="s">
        <v>3103</v>
      </c>
      <c r="E4769" t="s">
        <v>2198</v>
      </c>
      <c r="F4769" t="str">
        <f>HYPERLINK("http://dwh.geoscience.nsw.gov.au/CI/warehouse/raw/drillhole?project=MIN&amp;site_id=024366","Geol Survey Link")</f>
        <v>Geol Survey Link</v>
      </c>
      <c r="H4769" t="s">
        <v>3101</v>
      </c>
      <c r="I4769">
        <v>-31.755700000000001</v>
      </c>
      <c r="J4769">
        <v>147.59800000000001</v>
      </c>
      <c r="K4769" t="str">
        <f>HYPERLINK("http://nvcl.geoscience.nsw.gov.au/NVCLDataServices/mosaic.html?datasetid=7d037203-3922-4c01-a15b-9e8c96fbde1","MG019ACD_Core Image")</f>
        <v>MG019ACD_Core Image</v>
      </c>
    </row>
    <row r="4770" spans="1:11" x14ac:dyDescent="0.25">
      <c r="A4770" t="str">
        <f>HYPERLINK("http://www.corstruth.com.au/NSW/MURC004_cs.png","MURC004_A4")</f>
        <v>MURC004_A4</v>
      </c>
      <c r="B4770" t="str">
        <f>HYPERLINK("http://www.corstruth.com.au/NSW/PNG2/MURC004_cs.png","MURC004_0.25m Bins")</f>
        <v>MURC004_0.25m Bins</v>
      </c>
      <c r="C4770" t="str">
        <f>HYPERLINK("http://www.corstruth.com.au/NSW/CSV/MURC004.csv","MURC004_CSV File 1m Bins")</f>
        <v>MURC004_CSV File 1m Bins</v>
      </c>
      <c r="D4770" t="s">
        <v>3104</v>
      </c>
      <c r="E4770" t="s">
        <v>2198</v>
      </c>
      <c r="F4770" t="str">
        <f>HYPERLINK("http://dwh.geoscience.nsw.gov.au/CI/warehouse/raw/drillhole?project=MIN&amp;site_id=305246","Geol Survey Link")</f>
        <v>Geol Survey Link</v>
      </c>
      <c r="H4770" t="s">
        <v>3105</v>
      </c>
      <c r="I4770">
        <v>-35.126199999999997</v>
      </c>
      <c r="J4770">
        <v>147.93100000000001</v>
      </c>
      <c r="K4770" t="str">
        <f>HYPERLINK("http://nvcl.geoscience.nsw.gov.au/NVCLDataServices/mosaic.html?datasetid=573ac7f6-7f53-4a27-894b-746ea671d4c","MURC004_Core Image")</f>
        <v>MURC004_Core Image</v>
      </c>
    </row>
    <row r="4771" spans="1:11" x14ac:dyDescent="0.25">
      <c r="A4771" t="str">
        <f>HYPERLINK("http://www.corstruth.com.au/NSW/DDHMU-1_cs.png","DDHMU-1_A4")</f>
        <v>DDHMU-1_A4</v>
      </c>
      <c r="B4771" t="str">
        <f>HYPERLINK("http://www.corstruth.com.au/NSW/PNG2/DDHMU-1_cs.png","DDHMU-1_0.25m Bins")</f>
        <v>DDHMU-1_0.25m Bins</v>
      </c>
      <c r="C4771" t="str">
        <f>HYPERLINK("http://www.corstruth.com.au/NSW/CSV/DDHMU-1.csv","DDHMU-1_CSV File 1m Bins")</f>
        <v>DDHMU-1_CSV File 1m Bins</v>
      </c>
      <c r="D4771" t="s">
        <v>3106</v>
      </c>
      <c r="E4771" t="s">
        <v>2198</v>
      </c>
      <c r="F4771" t="str">
        <f>HYPERLINK("http://dwh.geoscience.nsw.gov.au/CI/warehouse/raw/drillhole?project=MIN&amp;site_id=006824","Geol Survey Link")</f>
        <v>Geol Survey Link</v>
      </c>
      <c r="H4771" t="s">
        <v>3107</v>
      </c>
      <c r="I4771">
        <v>-32.879399999999997</v>
      </c>
      <c r="J4771">
        <v>146.154</v>
      </c>
      <c r="K4771" t="str">
        <f>HYPERLINK("http://nvcl.geoscience.nsw.gov.au/NVCLDataServices/mosaic.html?datasetid=4c921100-37e7-4478-9eae-1b97b01ee3d","DDHMU-1_Core Image")</f>
        <v>DDHMU-1_Core Image</v>
      </c>
    </row>
    <row r="4772" spans="1:11" x14ac:dyDescent="0.25">
      <c r="A4772" t="str">
        <f>HYPERLINK("http://www.corstruth.com.au/NSW/MTD014_cs.png","MTD014_A4")</f>
        <v>MTD014_A4</v>
      </c>
      <c r="B4772" t="str">
        <f>HYPERLINK("http://www.corstruth.com.au/NSW/PNG2/MTD014_cs.png","MTD014_0.25m Bins")</f>
        <v>MTD014_0.25m Bins</v>
      </c>
      <c r="C4772" t="str">
        <f>HYPERLINK("http://www.corstruth.com.au/NSW/CSV/MTD014.csv","MTD014_CSV File 1m Bins")</f>
        <v>MTD014_CSV File 1m Bins</v>
      </c>
      <c r="D4772" t="s">
        <v>3108</v>
      </c>
      <c r="E4772" t="s">
        <v>2198</v>
      </c>
      <c r="F4772" t="str">
        <f>HYPERLINK("http://dwh.geoscience.nsw.gov.au/CI/warehouse/raw/drillhole?project=MIN&amp;site_id=239463","Geol Survey Link")</f>
        <v>Geol Survey Link</v>
      </c>
      <c r="H4772" t="s">
        <v>3109</v>
      </c>
      <c r="I4772">
        <v>-31.2577</v>
      </c>
      <c r="J4772">
        <v>146.875</v>
      </c>
      <c r="K4772" t="str">
        <f>HYPERLINK("http://nvcl.geoscience.nsw.gov.au/NVCLDataServices/mosaic.html?datasetid=bab8d951-679a-4ee7-b711-67d5054df23","MTD014_Core Image")</f>
        <v>MTD014_Core Image</v>
      </c>
    </row>
    <row r="4773" spans="1:11" x14ac:dyDescent="0.25">
      <c r="A4773" t="str">
        <f>HYPERLINK("http://www.corstruth.com.au/NSW/MTD027_cs.png","MTD027_A4")</f>
        <v>MTD027_A4</v>
      </c>
      <c r="B4773" t="str">
        <f>HYPERLINK("http://www.corstruth.com.au/NSW/PNG2/MTD027_cs.png","MTD027_0.25m Bins")</f>
        <v>MTD027_0.25m Bins</v>
      </c>
      <c r="C4773" t="str">
        <f>HYPERLINK("http://www.corstruth.com.au/NSW/CSV/MTD027.csv","MTD027_CSV File 1m Bins")</f>
        <v>MTD027_CSV File 1m Bins</v>
      </c>
      <c r="D4773" t="s">
        <v>3110</v>
      </c>
      <c r="E4773" t="s">
        <v>2198</v>
      </c>
      <c r="F4773" t="str">
        <f>HYPERLINK("http://dwh.geoscience.nsw.gov.au/CI/warehouse/raw/drillhole?project=MIN&amp;site_id=239464","Geol Survey Link")</f>
        <v>Geol Survey Link</v>
      </c>
      <c r="H4773" t="s">
        <v>3111</v>
      </c>
      <c r="I4773">
        <v>-31.258099999999999</v>
      </c>
      <c r="J4773">
        <v>146.87200000000001</v>
      </c>
      <c r="K4773" t="str">
        <f>HYPERLINK("http://nvcl.geoscience.nsw.gov.au/NVCLDataServices/mosaic.html?datasetid=cad28799-e0d1-4f19-b7e7-4146f2b5c37","MTD027_Core Image")</f>
        <v>MTD027_Core Image</v>
      </c>
    </row>
    <row r="4774" spans="1:11" x14ac:dyDescent="0.25">
      <c r="A4774" t="str">
        <f>HYPERLINK("http://www.corstruth.com.au/NSW/MDH1_cs.png","MDH1_A4")</f>
        <v>MDH1_A4</v>
      </c>
      <c r="D4774" t="s">
        <v>3112</v>
      </c>
      <c r="E4774" t="s">
        <v>2198</v>
      </c>
      <c r="F4774" t="str">
        <f>HYPERLINK("http://dwh.geoscience.nsw.gov.au/CI/warehouse/raw/drillhole?project=MIN&amp;site_id=005912","Geol Survey Link")</f>
        <v>Geol Survey Link</v>
      </c>
      <c r="H4774" t="s">
        <v>3113</v>
      </c>
      <c r="I4774">
        <v>-30.4986</v>
      </c>
      <c r="J4774">
        <v>145.36000000000001</v>
      </c>
      <c r="K4774" t="str">
        <f>HYPERLINK("http://nvcl.geoscience.nsw.gov.au/NVCLDataServices/mosaic.html?datasetid=ecf4ce40-6b0e-4c81-9955-ce129b53729","MDH1_Core Image")</f>
        <v>MDH1_Core Image</v>
      </c>
    </row>
    <row r="4775" spans="1:11" x14ac:dyDescent="0.25">
      <c r="A4775" t="str">
        <f>HYPERLINK("http://www.corstruth.com.au/NSW/PD83ND1A_cs.png","PD83ND1A_A4")</f>
        <v>PD83ND1A_A4</v>
      </c>
      <c r="B4775" t="str">
        <f>HYPERLINK("http://www.corstruth.com.au/NSW/PNG2/PD83ND1A_cs.png","PD83ND1A_0.25m Bins")</f>
        <v>PD83ND1A_0.25m Bins</v>
      </c>
      <c r="C4775" t="str">
        <f>HYPERLINK("http://www.corstruth.com.au/NSW/CSV/PD83ND1A.csv","PD83ND1A_CSV File 1m Bins")</f>
        <v>PD83ND1A_CSV File 1m Bins</v>
      </c>
      <c r="D4775" t="s">
        <v>3114</v>
      </c>
      <c r="E4775" t="s">
        <v>2198</v>
      </c>
      <c r="F4775" t="str">
        <f>HYPERLINK("http://dwh.geoscience.nsw.gov.au/CI/warehouse/raw/drillhole?project=MIN&amp;site_id=001549","Geol Survey Link")</f>
        <v>Geol Survey Link</v>
      </c>
      <c r="H4775" t="s">
        <v>3115</v>
      </c>
      <c r="I4775">
        <v>-31.934799999999999</v>
      </c>
      <c r="J4775">
        <v>141.447</v>
      </c>
      <c r="K4775" t="str">
        <f>HYPERLINK("http://nvcl.geoscience.nsw.gov.au/NVCLDataServices/mosaic.html?datasetid=bcd0aa24-8785-4911-82f6-d64f7a1e061","PD83ND1A_Core Image")</f>
        <v>PD83ND1A_Core Image</v>
      </c>
    </row>
    <row r="4776" spans="1:11" x14ac:dyDescent="0.25">
      <c r="A4776" t="str">
        <f>HYPERLINK("http://www.corstruth.com.au/NSW/ACDNG26_cs.png","ACDNG26_A4")</f>
        <v>ACDNG26_A4</v>
      </c>
      <c r="B4776" t="str">
        <f>HYPERLINK("http://www.corstruth.com.au/NSW/PNG2/ACDNG26_cs.png","ACDNG26_0.25m Bins")</f>
        <v>ACDNG26_0.25m Bins</v>
      </c>
      <c r="C4776" t="str">
        <f>HYPERLINK("http://www.corstruth.com.au/NSW/CSV/ACDNG26.csv","ACDNG26_CSV File 1m Bins")</f>
        <v>ACDNG26_CSV File 1m Bins</v>
      </c>
      <c r="D4776" t="s">
        <v>3116</v>
      </c>
      <c r="E4776" t="s">
        <v>2198</v>
      </c>
      <c r="F4776" t="str">
        <f>HYPERLINK("http://dwh.geoscience.nsw.gov.au/CI/warehouse/raw/drillhole?project=MIN&amp;site_id=021456","Geol Survey Link")</f>
        <v>Geol Survey Link</v>
      </c>
      <c r="H4776" t="s">
        <v>3117</v>
      </c>
      <c r="I4776">
        <v>-33.983499999999999</v>
      </c>
      <c r="J4776">
        <v>147.31</v>
      </c>
      <c r="K4776" t="str">
        <f>HYPERLINK("http://nvcl.geoscience.nsw.gov.au/NVCLDataServices/mosaic.html?datasetid=3e9723f2-44a7-491a-b522-4a0a9eef381","ACDNG26_Core Image")</f>
        <v>ACDNG26_Core Image</v>
      </c>
    </row>
    <row r="4777" spans="1:11" x14ac:dyDescent="0.25">
      <c r="A4777" t="str">
        <f>HYPERLINK("http://www.corstruth.com.au/NSW/ACDNG27_cs.png","ACDNG27_A4")</f>
        <v>ACDNG27_A4</v>
      </c>
      <c r="B4777" t="str">
        <f>HYPERLINK("http://www.corstruth.com.au/NSW/PNG2/ACDNG27_cs.png","ACDNG27_0.25m Bins")</f>
        <v>ACDNG27_0.25m Bins</v>
      </c>
      <c r="C4777" t="str">
        <f>HYPERLINK("http://www.corstruth.com.au/NSW/CSV/ACDNG27.csv","ACDNG27_CSV File 1m Bins")</f>
        <v>ACDNG27_CSV File 1m Bins</v>
      </c>
      <c r="D4777" t="s">
        <v>3118</v>
      </c>
      <c r="E4777" t="s">
        <v>2198</v>
      </c>
      <c r="F4777" t="str">
        <f>HYPERLINK("http://dwh.geoscience.nsw.gov.au/CI/warehouse/raw/drillhole?project=MIN&amp;site_id=021457","Geol Survey Link")</f>
        <v>Geol Survey Link</v>
      </c>
      <c r="H4777" t="s">
        <v>3119</v>
      </c>
      <c r="I4777">
        <v>-33.983499999999999</v>
      </c>
      <c r="J4777">
        <v>147.31200000000001</v>
      </c>
      <c r="K4777" t="str">
        <f>HYPERLINK("http://nvcl.geoscience.nsw.gov.au/NVCLDataServices/mosaic.html?datasetid=4c7be2a5-5899-430d-b0d5-e1a76e58e45","ACDNG27_Core Image")</f>
        <v>ACDNG27_Core Image</v>
      </c>
    </row>
    <row r="4778" spans="1:11" x14ac:dyDescent="0.25">
      <c r="A4778" t="str">
        <f>HYPERLINK("http://www.corstruth.com.au/NSW/ACDNG28_cs.png","ACDNG28_A4")</f>
        <v>ACDNG28_A4</v>
      </c>
      <c r="B4778" t="str">
        <f>HYPERLINK("http://www.corstruth.com.au/NSW/PNG2/ACDNG28_cs.png","ACDNG28_0.25m Bins")</f>
        <v>ACDNG28_0.25m Bins</v>
      </c>
      <c r="C4778" t="str">
        <f>HYPERLINK("http://www.corstruth.com.au/NSW/CSV/ACDNG28.csv","ACDNG28_CSV File 1m Bins")</f>
        <v>ACDNG28_CSV File 1m Bins</v>
      </c>
      <c r="D4778" t="s">
        <v>3120</v>
      </c>
      <c r="E4778" t="s">
        <v>2198</v>
      </c>
      <c r="F4778" t="str">
        <f>HYPERLINK("http://dwh.geoscience.nsw.gov.au/CI/warehouse/raw/drillhole?project=MIN&amp;site_id=021458","Geol Survey Link")</f>
        <v>Geol Survey Link</v>
      </c>
      <c r="H4778" t="s">
        <v>3121</v>
      </c>
      <c r="I4778">
        <v>-33.983499999999999</v>
      </c>
      <c r="J4778">
        <v>147.30799999999999</v>
      </c>
      <c r="K4778" t="str">
        <f>HYPERLINK("http://nvcl.geoscience.nsw.gov.au/NVCLDataServices/mosaic.html?datasetid=610b4e9d-4c85-427d-b503-5edde296e35","ACDNG28_Core Image")</f>
        <v>ACDNG28_Core Image</v>
      </c>
    </row>
    <row r="4779" spans="1:11" x14ac:dyDescent="0.25">
      <c r="A4779" t="str">
        <f>HYPERLINK("http://www.corstruth.com.au/NSW/ACDNG29_cs.png","ACDNG29_A4")</f>
        <v>ACDNG29_A4</v>
      </c>
      <c r="B4779" t="str">
        <f>HYPERLINK("http://www.corstruth.com.au/NSW/PNG2/ACDNG29_cs.png","ACDNG29_0.25m Bins")</f>
        <v>ACDNG29_0.25m Bins</v>
      </c>
      <c r="C4779" t="str">
        <f>HYPERLINK("http://www.corstruth.com.au/NSW/CSV/ACDNG29.csv","ACDNG29_CSV File 1m Bins")</f>
        <v>ACDNG29_CSV File 1m Bins</v>
      </c>
      <c r="D4779" t="s">
        <v>3122</v>
      </c>
      <c r="E4779" t="s">
        <v>2198</v>
      </c>
      <c r="F4779" t="str">
        <f>HYPERLINK("http://dwh.geoscience.nsw.gov.au/CI/warehouse/raw/drillhole?project=MIN&amp;site_id=021459","Geol Survey Link")</f>
        <v>Geol Survey Link</v>
      </c>
      <c r="H4779" t="s">
        <v>3123</v>
      </c>
      <c r="I4779">
        <v>-33.986199999999997</v>
      </c>
      <c r="J4779">
        <v>147.309</v>
      </c>
      <c r="K4779" t="str">
        <f>HYPERLINK("http://nvcl.geoscience.nsw.gov.au/NVCLDataServices/mosaic.html?datasetid=c1df256a-2e41-43fd-b0bd-c3b31aecf4f","ACDNG29_Core Image")</f>
        <v>ACDNG29_Core Image</v>
      </c>
    </row>
    <row r="4780" spans="1:11" x14ac:dyDescent="0.25">
      <c r="A4780" t="str">
        <f>HYPERLINK("http://www.corstruth.com.au/NSW/ACDNG30_cs.png","ACDNG30_A4")</f>
        <v>ACDNG30_A4</v>
      </c>
      <c r="B4780" t="str">
        <f>HYPERLINK("http://www.corstruth.com.au/NSW/PNG2/ACDNG30_cs.png","ACDNG30_0.25m Bins")</f>
        <v>ACDNG30_0.25m Bins</v>
      </c>
      <c r="C4780" t="str">
        <f>HYPERLINK("http://www.corstruth.com.au/NSW/CSV/ACDNG30.csv","ACDNG30_CSV File 1m Bins")</f>
        <v>ACDNG30_CSV File 1m Bins</v>
      </c>
      <c r="D4780" t="s">
        <v>3124</v>
      </c>
      <c r="E4780" t="s">
        <v>2198</v>
      </c>
      <c r="F4780" t="str">
        <f>HYPERLINK("http://dwh.geoscience.nsw.gov.au/CI/warehouse/raw/drillhole?project=MIN&amp;site_id=021460","Geol Survey Link")</f>
        <v>Geol Survey Link</v>
      </c>
      <c r="H4780" t="s">
        <v>3125</v>
      </c>
      <c r="I4780">
        <v>-33.986199999999997</v>
      </c>
      <c r="J4780">
        <v>147.31100000000001</v>
      </c>
      <c r="K4780" t="str">
        <f>HYPERLINK("http://nvcl.geoscience.nsw.gov.au/NVCLDataServices/mosaic.html?datasetid=a255eeb6-f359-4a04-a69e-f5fd5eef515","ACDNG30_Core Image")</f>
        <v>ACDNG30_Core Image</v>
      </c>
    </row>
    <row r="4781" spans="1:11" x14ac:dyDescent="0.25">
      <c r="A4781" t="str">
        <f>HYPERLINK("http://www.corstruth.com.au/NSW/ACDNG31_cs.png","ACDNG31_A4")</f>
        <v>ACDNG31_A4</v>
      </c>
      <c r="B4781" t="str">
        <f>HYPERLINK("http://www.corstruth.com.au/NSW/PNG2/ACDNG31_cs.png","ACDNG31_0.25m Bins")</f>
        <v>ACDNG31_0.25m Bins</v>
      </c>
      <c r="C4781" t="str">
        <f>HYPERLINK("http://www.corstruth.com.au/NSW/CSV/ACDNG31.csv","ACDNG31_CSV File 1m Bins")</f>
        <v>ACDNG31_CSV File 1m Bins</v>
      </c>
      <c r="D4781" t="s">
        <v>3126</v>
      </c>
      <c r="E4781" t="s">
        <v>2198</v>
      </c>
      <c r="F4781" t="str">
        <f>HYPERLINK("http://dwh.geoscience.nsw.gov.au/CI/warehouse/raw/drillhole?project=MIN&amp;site_id=021461","Geol Survey Link")</f>
        <v>Geol Survey Link</v>
      </c>
      <c r="H4781" t="s">
        <v>3127</v>
      </c>
      <c r="I4781">
        <v>-33.986199999999997</v>
      </c>
      <c r="J4781">
        <v>147.30699999999999</v>
      </c>
      <c r="K4781" t="str">
        <f>HYPERLINK("http://nvcl.geoscience.nsw.gov.au/NVCLDataServices/mosaic.html?datasetid=d5e7cf57-fd91-4476-9170-ae525351b1a","ACDNG31_Core Image")</f>
        <v>ACDNG31_Core Image</v>
      </c>
    </row>
    <row r="4782" spans="1:11" x14ac:dyDescent="0.25">
      <c r="A4782" t="str">
        <f>HYPERLINK("http://www.corstruth.com.au/NSW/ACDNG32_cs.png","ACDNG32_A4")</f>
        <v>ACDNG32_A4</v>
      </c>
      <c r="B4782" t="str">
        <f>HYPERLINK("http://www.corstruth.com.au/NSW/PNG2/ACDNG32_cs.png","ACDNG32_0.25m Bins")</f>
        <v>ACDNG32_0.25m Bins</v>
      </c>
      <c r="C4782" t="str">
        <f>HYPERLINK("http://www.corstruth.com.au/NSW/CSV/ACDNG32.csv","ACDNG32_CSV File 1m Bins")</f>
        <v>ACDNG32_CSV File 1m Bins</v>
      </c>
      <c r="D4782" t="s">
        <v>3128</v>
      </c>
      <c r="E4782" t="s">
        <v>2198</v>
      </c>
      <c r="F4782" t="str">
        <f>HYPERLINK("http://dwh.geoscience.nsw.gov.au/CI/warehouse/raw/drillhole?project=MIN&amp;site_id=021462","Geol Survey Link")</f>
        <v>Geol Survey Link</v>
      </c>
      <c r="H4782" t="s">
        <v>3129</v>
      </c>
      <c r="I4782">
        <v>-34.017200000000003</v>
      </c>
      <c r="J4782">
        <v>147.31200000000001</v>
      </c>
      <c r="K4782" t="str">
        <f>HYPERLINK("http://nvcl.geoscience.nsw.gov.au/NVCLDataServices/mosaic.html?datasetid=ebd62bd2-1f93-48ca-a96f-2b9183ccf60","ACDNG32_Core Image")</f>
        <v>ACDNG32_Core Image</v>
      </c>
    </row>
    <row r="4783" spans="1:11" x14ac:dyDescent="0.25">
      <c r="A4783" t="str">
        <f>HYPERLINK("http://www.corstruth.com.au/NSW/ACDNG39_cs.png","ACDNG39_A4")</f>
        <v>ACDNG39_A4</v>
      </c>
      <c r="B4783" t="str">
        <f>HYPERLINK("http://www.corstruth.com.au/NSW/PNG2/ACDNG39_cs.png","ACDNG39_0.25m Bins")</f>
        <v>ACDNG39_0.25m Bins</v>
      </c>
      <c r="C4783" t="str">
        <f>HYPERLINK("http://www.corstruth.com.au/NSW/CSV/ACDNG39.csv","ACDNG39_CSV File 1m Bins")</f>
        <v>ACDNG39_CSV File 1m Bins</v>
      </c>
      <c r="D4783" t="s">
        <v>3130</v>
      </c>
      <c r="E4783" t="s">
        <v>2198</v>
      </c>
      <c r="F4783" t="str">
        <f>HYPERLINK("http://dwh.geoscience.nsw.gov.au/CI/warehouse/raw/drillhole?project=MIN&amp;site_id=021469","Geol Survey Link")</f>
        <v>Geol Survey Link</v>
      </c>
      <c r="H4783" t="s">
        <v>3131</v>
      </c>
      <c r="I4783">
        <v>-34.017800000000001</v>
      </c>
      <c r="J4783">
        <v>147.31200000000001</v>
      </c>
      <c r="K4783" t="str">
        <f>HYPERLINK("http://nvcl.geoscience.nsw.gov.au/NVCLDataServices/mosaic.html?datasetid=ed70e03f-d8b2-42ff-86eb-7e72f588c2d","ACDNG39_Core Image")</f>
        <v>ACDNG39_Core Image</v>
      </c>
    </row>
    <row r="4784" spans="1:11" x14ac:dyDescent="0.25">
      <c r="A4784" t="str">
        <f>HYPERLINK("http://www.corstruth.com.au/NSW/B-12_cs.png","B-12_A4")</f>
        <v>B-12_A4</v>
      </c>
      <c r="B4784" t="str">
        <f>HYPERLINK("http://www.corstruth.com.au/NSW/PNG2/B-12_cs.png","B-12_0.25m Bins")</f>
        <v>B-12_0.25m Bins</v>
      </c>
      <c r="C4784" t="str">
        <f>HYPERLINK("http://www.corstruth.com.au/NSW/CSV/B-12.csv","B-12_CSV File 1m Bins")</f>
        <v>B-12_CSV File 1m Bins</v>
      </c>
      <c r="D4784" t="s">
        <v>3132</v>
      </c>
      <c r="E4784" t="s">
        <v>2198</v>
      </c>
      <c r="F4784" t="str">
        <f>HYPERLINK("http://dwh.geoscience.nsw.gov.au/CI/warehouse/raw/drillhole?project=MIN&amp;site_id=003477","Geol Survey Link")</f>
        <v>Geol Survey Link</v>
      </c>
      <c r="H4784" t="s">
        <v>3133</v>
      </c>
      <c r="I4784">
        <v>-32.383400000000002</v>
      </c>
      <c r="J4784">
        <v>149.23699999999999</v>
      </c>
      <c r="K4784" t="str">
        <f>HYPERLINK("http://nvcl.geoscience.nsw.gov.au/NVCLDataServices/mosaic.html?datasetid=43abc4e6-a3cd-49d2-b8d0-dcaf6c775ec","B-12_Core Image")</f>
        <v>B-12_Core Image</v>
      </c>
    </row>
    <row r="4785" spans="1:11" x14ac:dyDescent="0.25">
      <c r="A4785" t="str">
        <f>HYPERLINK("http://www.corstruth.com.au/NSW/B-3_cs.png","B-3_A4")</f>
        <v>B-3_A4</v>
      </c>
      <c r="B4785" t="str">
        <f>HYPERLINK("http://www.corstruth.com.au/NSW/PNG2/B-3_cs.png","B-3_0.25m Bins")</f>
        <v>B-3_0.25m Bins</v>
      </c>
      <c r="C4785" t="str">
        <f>HYPERLINK("http://www.corstruth.com.au/NSW/CSV/B-3.csv","B-3_CSV File 1m Bins")</f>
        <v>B-3_CSV File 1m Bins</v>
      </c>
      <c r="D4785" t="s">
        <v>3134</v>
      </c>
      <c r="E4785" t="s">
        <v>2198</v>
      </c>
      <c r="F4785" t="str">
        <f>HYPERLINK("http://dwh.geoscience.nsw.gov.au/CI/warehouse/raw/drillhole?project=MIN&amp;site_id=003468","Geol Survey Link")</f>
        <v>Geol Survey Link</v>
      </c>
      <c r="H4785" t="s">
        <v>3135</v>
      </c>
      <c r="I4785">
        <v>-32.384700000000002</v>
      </c>
      <c r="J4785">
        <v>149.238</v>
      </c>
      <c r="K4785" t="str">
        <f>HYPERLINK("http://nvcl.geoscience.nsw.gov.au/NVCLDataServices/mosaic.html?datasetid=0ff5faa1-24a8-48e4-843a-2ccac7022ab","B-3_Core Image")</f>
        <v>B-3_Core Image</v>
      </c>
    </row>
    <row r="4786" spans="1:11" x14ac:dyDescent="0.25">
      <c r="A4786" t="str">
        <f>HYPERLINK("http://www.corstruth.com.au/NSW/DD90BL1A_cs.png","DD90BL1A_A4")</f>
        <v>DD90BL1A_A4</v>
      </c>
      <c r="B4786" t="str">
        <f>HYPERLINK("http://www.corstruth.com.au/NSW/PNG2/DD90BL1A_cs.png","DD90BL1A_0.25m Bins")</f>
        <v>DD90BL1A_0.25m Bins</v>
      </c>
      <c r="C4786" t="str">
        <f>HYPERLINK("http://www.corstruth.com.au/NSW/CSV/DD90BL1A.csv","DD90BL1A_CSV File 1m Bins")</f>
        <v>DD90BL1A_CSV File 1m Bins</v>
      </c>
      <c r="D4786" t="s">
        <v>3136</v>
      </c>
      <c r="E4786" t="s">
        <v>2198</v>
      </c>
      <c r="F4786" t="str">
        <f>HYPERLINK("http://dwh.geoscience.nsw.gov.au/CI/warehouse/raw/drillhole?project=MIN&amp;site_id=003481","Geol Survey Link")</f>
        <v>Geol Survey Link</v>
      </c>
      <c r="H4786" t="s">
        <v>3137</v>
      </c>
      <c r="I4786">
        <v>-32.384999999999998</v>
      </c>
      <c r="J4786">
        <v>149.238</v>
      </c>
      <c r="K4786" t="str">
        <f>HYPERLINK("http://nvcl.geoscience.nsw.gov.au/NVCLDataServices/mosaic.html?datasetid=4d317cd0-560f-4d2a-905b-ca39e1b4305","DD90BL1A_Core Image")</f>
        <v>DD90BL1A_Core Image</v>
      </c>
    </row>
    <row r="4787" spans="1:11" x14ac:dyDescent="0.25">
      <c r="A4787" t="str">
        <f>HYPERLINK("http://www.corstruth.com.au/NSW/DDH2_cs.png","DDH2_A4")</f>
        <v>DDH2_A4</v>
      </c>
      <c r="B4787" t="str">
        <f>HYPERLINK("http://www.corstruth.com.au/NSW/PNG2/DDH2_cs.png","DDH2_0.25m Bins")</f>
        <v>DDH2_0.25m Bins</v>
      </c>
      <c r="C4787" t="str">
        <f>HYPERLINK("http://www.corstruth.com.au/NSW/CSV/DDH2.csv","DDH2_CSV File 1m Bins")</f>
        <v>DDH2_CSV File 1m Bins</v>
      </c>
      <c r="D4787" t="s">
        <v>3138</v>
      </c>
      <c r="E4787" t="s">
        <v>2198</v>
      </c>
      <c r="F4787" t="str">
        <f>HYPERLINK("http://dwh.geoscience.nsw.gov.au/CI/warehouse/raw/drillhole?project=MIN&amp;site_id=003029","Geol Survey Link")</f>
        <v>Geol Survey Link</v>
      </c>
      <c r="H4787" t="s">
        <v>3139</v>
      </c>
      <c r="I4787">
        <v>-32.268599999999999</v>
      </c>
      <c r="J4787">
        <v>147.38900000000001</v>
      </c>
      <c r="K4787" t="str">
        <f>HYPERLINK("http://nvcl.geoscience.nsw.gov.au/NVCLDataServices/mosaic.html?datasetid=47045a3a-f297-4864-9264-ef1c8c85455","DDH2_Core Image")</f>
        <v>DDH2_Core Image</v>
      </c>
    </row>
    <row r="4788" spans="1:11" x14ac:dyDescent="0.25">
      <c r="A4788" t="str">
        <f>HYPERLINK("http://www.corstruth.com.au/NSW/DD95NO0001M_cs.png","DD95NO0001M_A4")</f>
        <v>DD95NO0001M_A4</v>
      </c>
      <c r="B4788" t="str">
        <f>HYPERLINK("http://www.corstruth.com.au/NSW/PNG2/DD95NO0001M_cs.png","DD95NO0001M_0.25m Bins")</f>
        <v>DD95NO0001M_0.25m Bins</v>
      </c>
      <c r="C4788" t="str">
        <f>HYPERLINK("http://www.corstruth.com.au/NSW/CSV/DD95NO0001M.csv","DD95NO0001M_CSV File 1m Bins")</f>
        <v>DD95NO0001M_CSV File 1m Bins</v>
      </c>
      <c r="D4788" t="s">
        <v>3140</v>
      </c>
      <c r="E4788" t="s">
        <v>2198</v>
      </c>
      <c r="F4788" t="str">
        <f>HYPERLINK("http://dwh.geoscience.nsw.gov.au/CI/warehouse/raw/drillhole?project=MIN&amp;site_id=031616","Geol Survey Link")</f>
        <v>Geol Survey Link</v>
      </c>
      <c r="H4788" t="s">
        <v>3141</v>
      </c>
      <c r="I4788">
        <v>-31.538399999999999</v>
      </c>
      <c r="J4788">
        <v>145.86600000000001</v>
      </c>
      <c r="K4788" t="str">
        <f>HYPERLINK("http://nvcl.geoscience.nsw.gov.au/NVCLDataServices/mosaic.html?datasetid=87b9ba47-8953-4035-94af-d1f9a891720","DD95NO0001M_Core Image")</f>
        <v>DD95NO0001M_Core Image</v>
      </c>
    </row>
    <row r="4789" spans="1:11" x14ac:dyDescent="0.25">
      <c r="A4789" t="str">
        <f>HYPERLINK("http://www.corstruth.com.au/NSW/DD95NO1H_cs.png","DD95NO1H_A4")</f>
        <v>DD95NO1H_A4</v>
      </c>
      <c r="B4789" t="str">
        <f>HYPERLINK("http://www.corstruth.com.au/NSW/PNG2/DD95NO1H_cs.png","DD95NO1H_0.25m Bins")</f>
        <v>DD95NO1H_0.25m Bins</v>
      </c>
      <c r="C4789" t="str">
        <f>HYPERLINK("http://www.corstruth.com.au/NSW/CSV/DD95NO1H.csv","DD95NO1H_CSV File 1m Bins")</f>
        <v>DD95NO1H_CSV File 1m Bins</v>
      </c>
      <c r="D4789" t="s">
        <v>3142</v>
      </c>
      <c r="E4789" t="s">
        <v>2198</v>
      </c>
      <c r="F4789" t="str">
        <f>HYPERLINK("http://dwh.geoscience.nsw.gov.au/CI/warehouse/raw/drillhole?project=MIN&amp;site_id=031611","Geol Survey Link")</f>
        <v>Geol Survey Link</v>
      </c>
      <c r="H4789" t="s">
        <v>3143</v>
      </c>
      <c r="I4789">
        <v>-31.538399999999999</v>
      </c>
      <c r="J4789">
        <v>145.86600000000001</v>
      </c>
      <c r="K4789" t="str">
        <f>HYPERLINK("http://nvcl.geoscience.nsw.gov.au/NVCLDataServices/mosaic.html?datasetid=4107b6bb-cc10-4ee5-909f-4084aae4fda","DD95NO1H_Core Image")</f>
        <v>DD95NO1H_Core Image</v>
      </c>
    </row>
    <row r="4790" spans="1:11" x14ac:dyDescent="0.25">
      <c r="A4790" t="str">
        <f>HYPERLINK("http://www.corstruth.com.au/NSW/DD95NO1I_cs.png","DD95NO1I_A4")</f>
        <v>DD95NO1I_A4</v>
      </c>
      <c r="B4790" t="str">
        <f>HYPERLINK("http://www.corstruth.com.au/NSW/PNG2/DD95NO1I_cs.png","DD95NO1I_0.25m Bins")</f>
        <v>DD95NO1I_0.25m Bins</v>
      </c>
      <c r="C4790" t="str">
        <f>HYPERLINK("http://www.corstruth.com.au/NSW/CSV/DD95NO1I.csv","DD95NO1I_CSV File 1m Bins")</f>
        <v>DD95NO1I_CSV File 1m Bins</v>
      </c>
      <c r="D4790" t="s">
        <v>3144</v>
      </c>
      <c r="E4790" t="s">
        <v>2198</v>
      </c>
      <c r="F4790" t="str">
        <f>HYPERLINK("http://dwh.geoscience.nsw.gov.au/CI/warehouse/raw/drillhole?project=MIN&amp;site_id=031612","Geol Survey Link")</f>
        <v>Geol Survey Link</v>
      </c>
      <c r="H4790" t="s">
        <v>3145</v>
      </c>
      <c r="I4790">
        <v>-31.538399999999999</v>
      </c>
      <c r="J4790">
        <v>145.86600000000001</v>
      </c>
      <c r="K4790" t="str">
        <f>HYPERLINK("http://nvcl.geoscience.nsw.gov.au/NVCLDataServices/mosaic.html?datasetid=f63e34e5-b350-477d-b28f-fcfd8a9b626","DD95NO1I_Core Image")</f>
        <v>DD95NO1I_Core Image</v>
      </c>
    </row>
    <row r="4791" spans="1:11" x14ac:dyDescent="0.25">
      <c r="A4791" t="str">
        <f>HYPERLINK("http://www.corstruth.com.au/NSW/CALDD001_cs.png","CALDD001_A4")</f>
        <v>CALDD001_A4</v>
      </c>
      <c r="B4791" t="str">
        <f>HYPERLINK("http://www.corstruth.com.au/NSW/PNG2/CALDD001_cs.png","CALDD001_0.25m Bins")</f>
        <v>CALDD001_0.25m Bins</v>
      </c>
      <c r="C4791" t="str">
        <f>HYPERLINK("http://www.corstruth.com.au/NSW/CSV/CALDD001.csv","CALDD001_CSV File 1m Bins")</f>
        <v>CALDD001_CSV File 1m Bins</v>
      </c>
      <c r="D4791" t="s">
        <v>3146</v>
      </c>
      <c r="E4791" t="s">
        <v>2198</v>
      </c>
      <c r="F4791" t="str">
        <f>HYPERLINK("http://dwh.geoscience.nsw.gov.au/CI/warehouse/raw/drillhole?project=MIN&amp;site_id=016742","Geol Survey Link")</f>
        <v>Geol Survey Link</v>
      </c>
      <c r="H4791" t="s">
        <v>3147</v>
      </c>
      <c r="I4791">
        <v>-33.341999999999999</v>
      </c>
      <c r="J4791">
        <v>148.017</v>
      </c>
      <c r="K4791" t="str">
        <f>HYPERLINK("http://nvcl.geoscience.nsw.gov.au/NVCLDataServices/mosaic.html?datasetid=910b8999-3b3e-481e-bebc-4d41e3c62f6","CALDD001_Core Image")</f>
        <v>CALDD001_Core Image</v>
      </c>
    </row>
    <row r="4792" spans="1:11" x14ac:dyDescent="0.25">
      <c r="A4792" t="str">
        <f>HYPERLINK("http://www.corstruth.com.au/NSW/CALDD002_cs.png","CALDD002_A4")</f>
        <v>CALDD002_A4</v>
      </c>
      <c r="B4792" t="str">
        <f>HYPERLINK("http://www.corstruth.com.au/NSW/PNG2/CALDD002_cs.png","CALDD002_0.25m Bins")</f>
        <v>CALDD002_0.25m Bins</v>
      </c>
      <c r="C4792" t="str">
        <f>HYPERLINK("http://www.corstruth.com.au/NSW/CSV/CALDD002.csv","CALDD002_CSV File 1m Bins")</f>
        <v>CALDD002_CSV File 1m Bins</v>
      </c>
      <c r="D4792" t="s">
        <v>3148</v>
      </c>
      <c r="E4792" t="s">
        <v>2198</v>
      </c>
      <c r="F4792" t="str">
        <f>HYPERLINK("http://dwh.geoscience.nsw.gov.au/CI/warehouse/raw/drillhole?project=MIN&amp;site_id=016743","Geol Survey Link")</f>
        <v>Geol Survey Link</v>
      </c>
      <c r="H4792" t="s">
        <v>3149</v>
      </c>
      <c r="I4792">
        <v>-33.344299999999997</v>
      </c>
      <c r="J4792">
        <v>148.01599999999999</v>
      </c>
    </row>
    <row r="4793" spans="1:11" x14ac:dyDescent="0.25">
      <c r="A4793" t="str">
        <f>HYPERLINK("http://www.corstruth.com.au/NSW/CALDD003_cs.png","CALDD003_A4")</f>
        <v>CALDD003_A4</v>
      </c>
      <c r="B4793" t="str">
        <f>HYPERLINK("http://www.corstruth.com.au/NSW/PNG2/CALDD003_cs.png","CALDD003_0.25m Bins")</f>
        <v>CALDD003_0.25m Bins</v>
      </c>
      <c r="C4793" t="str">
        <f>HYPERLINK("http://www.corstruth.com.au/NSW/CSV/CALDD003.csv","CALDD003_CSV File 1m Bins")</f>
        <v>CALDD003_CSV File 1m Bins</v>
      </c>
      <c r="D4793" t="s">
        <v>3150</v>
      </c>
      <c r="E4793" t="s">
        <v>2198</v>
      </c>
      <c r="F4793" t="str">
        <f>HYPERLINK("http://dwh.geoscience.nsw.gov.au/CI/warehouse/raw/drillhole?project=MIN&amp;site_id=016744","Geol Survey Link")</f>
        <v>Geol Survey Link</v>
      </c>
      <c r="H4793" t="s">
        <v>3149</v>
      </c>
      <c r="I4793">
        <v>-33.345199999999998</v>
      </c>
      <c r="J4793">
        <v>148.01900000000001</v>
      </c>
      <c r="K4793" t="str">
        <f>HYPERLINK("http://nvcl.geoscience.nsw.gov.au/NVCLDataServices/mosaic.html?datasetid=4c17885d-7c65-4897-896f-4f0b7c7a9de","CALDD003_Core Image")</f>
        <v>CALDD003_Core Image</v>
      </c>
    </row>
    <row r="4794" spans="1:11" x14ac:dyDescent="0.25">
      <c r="A4794" t="str">
        <f>HYPERLINK("http://www.corstruth.com.au/NSW/CALDD004_cs.png","CALDD004_A4")</f>
        <v>CALDD004_A4</v>
      </c>
      <c r="B4794" t="str">
        <f>HYPERLINK("http://www.corstruth.com.au/NSW/PNG2/CALDD004_cs.png","CALDD004_0.25m Bins")</f>
        <v>CALDD004_0.25m Bins</v>
      </c>
      <c r="C4794" t="str">
        <f>HYPERLINK("http://www.corstruth.com.au/NSW/CSV/CALDD004.csv","CALDD004_CSV File 1m Bins")</f>
        <v>CALDD004_CSV File 1m Bins</v>
      </c>
      <c r="D4794" t="s">
        <v>3151</v>
      </c>
      <c r="E4794" t="s">
        <v>2198</v>
      </c>
      <c r="F4794" t="str">
        <f>HYPERLINK("http://dwh.geoscience.nsw.gov.au/CI/warehouse/raw/drillhole?project=MIN&amp;site_id=016745","Geol Survey Link")</f>
        <v>Geol Survey Link</v>
      </c>
      <c r="H4794" t="s">
        <v>3152</v>
      </c>
      <c r="I4794">
        <v>-33.3262</v>
      </c>
      <c r="J4794">
        <v>148.02600000000001</v>
      </c>
      <c r="K4794" t="str">
        <f>HYPERLINK("http://nvcl.geoscience.nsw.gov.au/NVCLDataServices/mosaic.html?datasetid=168bdd6c-e979-4b4e-92b9-f77591df329","CALDD004_Core Image")</f>
        <v>CALDD004_Core Image</v>
      </c>
    </row>
    <row r="4795" spans="1:11" x14ac:dyDescent="0.25">
      <c r="A4795" t="str">
        <f>HYPERLINK("http://www.corstruth.com.au/NSW/CALDD005_cs.png","CALDD005_A4")</f>
        <v>CALDD005_A4</v>
      </c>
      <c r="B4795" t="str">
        <f>HYPERLINK("http://www.corstruth.com.au/NSW/PNG2/CALDD005_cs.png","CALDD005_0.25m Bins")</f>
        <v>CALDD005_0.25m Bins</v>
      </c>
      <c r="C4795" t="str">
        <f>HYPERLINK("http://www.corstruth.com.au/NSW/CSV/CALDD005.csv","CALDD005_CSV File 1m Bins")</f>
        <v>CALDD005_CSV File 1m Bins</v>
      </c>
      <c r="D4795" t="s">
        <v>3153</v>
      </c>
      <c r="E4795" t="s">
        <v>2198</v>
      </c>
      <c r="F4795" t="str">
        <f>HYPERLINK("http://dwh.geoscience.nsw.gov.au/CI/warehouse/raw/drillhole?project=MIN&amp;site_id=016746","Geol Survey Link")</f>
        <v>Geol Survey Link</v>
      </c>
      <c r="H4795" t="s">
        <v>3154</v>
      </c>
      <c r="I4795">
        <v>-33.332500000000003</v>
      </c>
      <c r="J4795">
        <v>148.024</v>
      </c>
      <c r="K4795" t="str">
        <f>HYPERLINK("http://nvcl.geoscience.nsw.gov.au/NVCLDataServices/mosaic.html?datasetid=944987ed-ed01-489c-b53b-24d6e46542b","CALDD005_Core Image")</f>
        <v>CALDD005_Core Image</v>
      </c>
    </row>
    <row r="4796" spans="1:11" x14ac:dyDescent="0.25">
      <c r="A4796" t="str">
        <f>HYPERLINK("http://www.corstruth.com.au/NSW/CALDD006_cs.png","CALDD006_A4")</f>
        <v>CALDD006_A4</v>
      </c>
      <c r="B4796" t="str">
        <f>HYPERLINK("http://www.corstruth.com.au/NSW/PNG2/CALDD006_cs.png","CALDD006_0.25m Bins")</f>
        <v>CALDD006_0.25m Bins</v>
      </c>
      <c r="C4796" t="str">
        <f>HYPERLINK("http://www.corstruth.com.au/NSW/CSV/CALDD006.csv","CALDD006_CSV File 1m Bins")</f>
        <v>CALDD006_CSV File 1m Bins</v>
      </c>
      <c r="D4796" t="s">
        <v>3155</v>
      </c>
      <c r="E4796" t="s">
        <v>2198</v>
      </c>
      <c r="F4796" t="str">
        <f>HYPERLINK("http://dwh.geoscience.nsw.gov.au/CI/warehouse/raw/drillhole?project=MIN&amp;site_id=016747","Geol Survey Link")</f>
        <v>Geol Survey Link</v>
      </c>
      <c r="H4796" t="s">
        <v>3149</v>
      </c>
      <c r="I4796">
        <v>-33.3459</v>
      </c>
      <c r="J4796">
        <v>148.017</v>
      </c>
    </row>
    <row r="4797" spans="1:11" x14ac:dyDescent="0.25">
      <c r="A4797" t="str">
        <f>HYPERLINK("http://www.corstruth.com.au/NSW/CARCD001_cs.png","CARCD001_A4")</f>
        <v>CARCD001_A4</v>
      </c>
      <c r="B4797" t="str">
        <f>HYPERLINK("http://www.corstruth.com.au/NSW/PNG2/CARCD001_cs.png","CARCD001_0.25m Bins")</f>
        <v>CARCD001_0.25m Bins</v>
      </c>
      <c r="C4797" t="str">
        <f>HYPERLINK("http://www.corstruth.com.au/NSW/CSV/CARCD001.csv","CARCD001_CSV File 1m Bins")</f>
        <v>CARCD001_CSV File 1m Bins</v>
      </c>
      <c r="D4797" t="s">
        <v>3156</v>
      </c>
      <c r="E4797" t="s">
        <v>2198</v>
      </c>
      <c r="F4797" t="str">
        <f>HYPERLINK("http://dwh.geoscience.nsw.gov.au/CI/warehouse/raw/drillhole?project=MIN&amp;site_id=016754","Geol Survey Link")</f>
        <v>Geol Survey Link</v>
      </c>
      <c r="H4797" t="s">
        <v>3157</v>
      </c>
      <c r="I4797">
        <v>-33.345500000000001</v>
      </c>
      <c r="J4797">
        <v>148.018</v>
      </c>
      <c r="K4797" t="str">
        <f>HYPERLINK("http://nvcl.geoscience.nsw.gov.au/NVCLDataServices/mosaic.html?datasetid=538816e1-e5d7-4db6-a936-46f6fdbcd66","CARCD001_Core Image")</f>
        <v>CARCD001_Core Image</v>
      </c>
    </row>
    <row r="4798" spans="1:11" x14ac:dyDescent="0.25">
      <c r="A4798" t="str">
        <f>HYPERLINK("http://www.corstruth.com.au/NSW/CARCD002_cs.png","CARCD002_A4")</f>
        <v>CARCD002_A4</v>
      </c>
      <c r="B4798" t="str">
        <f>HYPERLINK("http://www.corstruth.com.au/NSW/PNG2/CARCD002_cs.png","CARCD002_0.25m Bins")</f>
        <v>CARCD002_0.25m Bins</v>
      </c>
      <c r="C4798" t="str">
        <f>HYPERLINK("http://www.corstruth.com.au/NSW/CSV/CARCD002.csv","CARCD002_CSV File 1m Bins")</f>
        <v>CARCD002_CSV File 1m Bins</v>
      </c>
      <c r="D4798" t="s">
        <v>3158</v>
      </c>
      <c r="E4798" t="s">
        <v>2198</v>
      </c>
      <c r="F4798" t="str">
        <f>HYPERLINK("http://dwh.geoscience.nsw.gov.au/CI/warehouse/raw/drillhole?project=MIN&amp;site_id=016755","Geol Survey Link")</f>
        <v>Geol Survey Link</v>
      </c>
      <c r="H4798" t="s">
        <v>3159</v>
      </c>
      <c r="I4798">
        <v>-33.341900000000003</v>
      </c>
      <c r="J4798">
        <v>148.02000000000001</v>
      </c>
      <c r="K4798" t="str">
        <f>HYPERLINK("http://nvcl.geoscience.nsw.gov.au/NVCLDataServices/mosaic.html?datasetid=8dd4f038-d610-48d7-ba7b-a4410e4dc5b","CARCD002_Core Image")</f>
        <v>CARCD002_Core Image</v>
      </c>
    </row>
    <row r="4799" spans="1:11" x14ac:dyDescent="0.25">
      <c r="A4799" t="str">
        <f>HYPERLINK("http://www.corstruth.com.au/NSW/CARCD003_cs.png","CARCD003_A4")</f>
        <v>CARCD003_A4</v>
      </c>
      <c r="B4799" t="str">
        <f>HYPERLINK("http://www.corstruth.com.au/NSW/PNG2/CARCD003_cs.png","CARCD003_0.25m Bins")</f>
        <v>CARCD003_0.25m Bins</v>
      </c>
      <c r="C4799" t="str">
        <f>HYPERLINK("http://www.corstruth.com.au/NSW/CSV/CARCD003.csv","CARCD003_CSV File 1m Bins")</f>
        <v>CARCD003_CSV File 1m Bins</v>
      </c>
      <c r="D4799" t="s">
        <v>3160</v>
      </c>
      <c r="E4799" t="s">
        <v>2198</v>
      </c>
      <c r="F4799" t="str">
        <f>HYPERLINK("http://dwh.geoscience.nsw.gov.au/CI/warehouse/raw/drillhole?project=MIN&amp;site_id=016756","Geol Survey Link")</f>
        <v>Geol Survey Link</v>
      </c>
      <c r="H4799" t="s">
        <v>3161</v>
      </c>
      <c r="I4799">
        <v>-33.341999999999999</v>
      </c>
      <c r="J4799">
        <v>148.01900000000001</v>
      </c>
      <c r="K4799" t="str">
        <f>HYPERLINK("http://nvcl.geoscience.nsw.gov.au/NVCLDataServices/mosaic.html?datasetid=2dcd8a98-1443-4ee6-9d23-caa706079e2","CARCD003_Core Image")</f>
        <v>CARCD003_Core Image</v>
      </c>
    </row>
    <row r="4800" spans="1:11" x14ac:dyDescent="0.25">
      <c r="A4800" t="str">
        <f>HYPERLINK("http://www.corstruth.com.au/NSW/CARCD004_cs.png","CARCD004_A4")</f>
        <v>CARCD004_A4</v>
      </c>
      <c r="B4800" t="str">
        <f>HYPERLINK("http://www.corstruth.com.au/NSW/PNG2/CARCD004_cs.png","CARCD004_0.25m Bins")</f>
        <v>CARCD004_0.25m Bins</v>
      </c>
      <c r="C4800" t="str">
        <f>HYPERLINK("http://www.corstruth.com.au/NSW/CSV/CARCD004.csv","CARCD004_CSV File 1m Bins")</f>
        <v>CARCD004_CSV File 1m Bins</v>
      </c>
      <c r="D4800" t="s">
        <v>3162</v>
      </c>
      <c r="E4800" t="s">
        <v>2198</v>
      </c>
      <c r="F4800" t="str">
        <f>HYPERLINK("http://dwh.geoscience.nsw.gov.au/CI/warehouse/raw/drillhole?project=MIN&amp;site_id=016757","Geol Survey Link")</f>
        <v>Geol Survey Link</v>
      </c>
      <c r="H4800" t="s">
        <v>3163</v>
      </c>
      <c r="I4800">
        <v>-33.343400000000003</v>
      </c>
      <c r="J4800">
        <v>148.018</v>
      </c>
      <c r="K4800" t="str">
        <f>HYPERLINK("http://nvcl.geoscience.nsw.gov.au/NVCLDataServices/mosaic.html?datasetid=8cf61e0c-100b-4992-bea0-c6fbcb5a72e","CARCD004_Core Image")</f>
        <v>CARCD004_Core Image</v>
      </c>
    </row>
    <row r="4801" spans="1:11" x14ac:dyDescent="0.25">
      <c r="A4801" t="str">
        <f>HYPERLINK("http://www.corstruth.com.au/NSW/CARCD005_cs.png","CARCD005_A4")</f>
        <v>CARCD005_A4</v>
      </c>
      <c r="B4801" t="str">
        <f>HYPERLINK("http://www.corstruth.com.au/NSW/PNG2/CARCD005_cs.png","CARCD005_0.25m Bins")</f>
        <v>CARCD005_0.25m Bins</v>
      </c>
      <c r="C4801" t="str">
        <f>HYPERLINK("http://www.corstruth.com.au/NSW/CSV/CARCD005.csv","CARCD005_CSV File 1m Bins")</f>
        <v>CARCD005_CSV File 1m Bins</v>
      </c>
      <c r="D4801" t="s">
        <v>3164</v>
      </c>
      <c r="E4801" t="s">
        <v>2198</v>
      </c>
      <c r="F4801" t="str">
        <f>HYPERLINK("http://dwh.geoscience.nsw.gov.au/CI/warehouse/raw/drillhole?project=MIN&amp;site_id=016758","Geol Survey Link")</f>
        <v>Geol Survey Link</v>
      </c>
      <c r="H4801" t="s">
        <v>3165</v>
      </c>
      <c r="I4801">
        <v>-33.342300000000002</v>
      </c>
      <c r="J4801">
        <v>148.02000000000001</v>
      </c>
      <c r="K4801" t="str">
        <f>HYPERLINK("http://nvcl.geoscience.nsw.gov.au/NVCLDataServices/mosaic.html?datasetid=8cba0b18-2318-42f6-8b4a-0a216af521c","CARCD005_Core Image")</f>
        <v>CARCD005_Core Image</v>
      </c>
    </row>
    <row r="4802" spans="1:11" x14ac:dyDescent="0.25">
      <c r="A4802" t="str">
        <f>HYPERLINK("http://www.corstruth.com.au/NSW/CARCD006_cs.png","CARCD006_A4")</f>
        <v>CARCD006_A4</v>
      </c>
      <c r="B4802" t="str">
        <f>HYPERLINK("http://www.corstruth.com.au/NSW/PNG2/CARCD006_cs.png","CARCD006_0.25m Bins")</f>
        <v>CARCD006_0.25m Bins</v>
      </c>
      <c r="C4802" t="str">
        <f>HYPERLINK("http://www.corstruth.com.au/NSW/CSV/CARCD006.csv","CARCD006_CSV File 1m Bins")</f>
        <v>CARCD006_CSV File 1m Bins</v>
      </c>
      <c r="D4802" t="s">
        <v>3166</v>
      </c>
      <c r="E4802" t="s">
        <v>2198</v>
      </c>
      <c r="F4802" t="str">
        <f>HYPERLINK("http://dwh.geoscience.nsw.gov.au/CI/warehouse/raw/drillhole?project=MIN&amp;site_id=016759","Geol Survey Link")</f>
        <v>Geol Survey Link</v>
      </c>
      <c r="H4802" t="s">
        <v>3167</v>
      </c>
      <c r="I4802">
        <v>-33.343200000000003</v>
      </c>
      <c r="J4802">
        <v>148.01900000000001</v>
      </c>
      <c r="K4802" t="str">
        <f>HYPERLINK("http://nvcl.geoscience.nsw.gov.au/NVCLDataServices/mosaic.html?datasetid=bf0795ce-fe07-4fca-a3ed-f488a11f1d2","CARCD006_Core Image")</f>
        <v>CARCD006_Core Image</v>
      </c>
    </row>
    <row r="4803" spans="1:11" x14ac:dyDescent="0.25">
      <c r="A4803" t="str">
        <f>HYPERLINK("http://www.corstruth.com.au/NSW/CARCD007_cs.png","CARCD007_A4")</f>
        <v>CARCD007_A4</v>
      </c>
      <c r="B4803" t="str">
        <f>HYPERLINK("http://www.corstruth.com.au/NSW/PNG2/CARCD007_cs.png","CARCD007_0.25m Bins")</f>
        <v>CARCD007_0.25m Bins</v>
      </c>
      <c r="C4803" t="str">
        <f>HYPERLINK("http://www.corstruth.com.au/NSW/CSV/CARCD007.csv","CARCD007_CSV File 1m Bins")</f>
        <v>CARCD007_CSV File 1m Bins</v>
      </c>
      <c r="D4803" t="s">
        <v>3168</v>
      </c>
      <c r="E4803" t="s">
        <v>2198</v>
      </c>
      <c r="F4803" t="str">
        <f>HYPERLINK("http://dwh.geoscience.nsw.gov.au/CI/warehouse/raw/drillhole?project=MIN&amp;site_id=016760","Geol Survey Link")</f>
        <v>Geol Survey Link</v>
      </c>
      <c r="H4803" t="s">
        <v>3169</v>
      </c>
      <c r="I4803">
        <v>-33.345700000000001</v>
      </c>
      <c r="J4803">
        <v>148.018</v>
      </c>
      <c r="K4803" t="str">
        <f>HYPERLINK("http://nvcl.geoscience.nsw.gov.au/NVCLDataServices/mosaic.html?datasetid=b3347f61-9433-4ab7-9536-cc02d56b26e","CARCD007_Core Image")</f>
        <v>CARCD007_Core Image</v>
      </c>
    </row>
    <row r="4804" spans="1:11" x14ac:dyDescent="0.25">
      <c r="A4804" t="str">
        <f>HYPERLINK("http://www.corstruth.com.au/NSW/DDHLN-6_cs.png","DDHLN-6_A4")</f>
        <v>DDHLN-6_A4</v>
      </c>
      <c r="B4804" t="str">
        <f>HYPERLINK("http://www.corstruth.com.au/NSW/PNG2/DDHLN-6_cs.png","DDHLN-6_0.25m Bins")</f>
        <v>DDHLN-6_0.25m Bins</v>
      </c>
      <c r="C4804" t="str">
        <f>HYPERLINK("http://www.corstruth.com.au/NSW/CSV/DDHLN-6.csv","DDHLN-6_CSV File 1m Bins")</f>
        <v>DDHLN-6_CSV File 1m Bins</v>
      </c>
      <c r="D4804" t="s">
        <v>3170</v>
      </c>
      <c r="E4804" t="s">
        <v>2198</v>
      </c>
      <c r="F4804" t="str">
        <f>HYPERLINK("http://dwh.geoscience.nsw.gov.au/CI/warehouse/raw/drillhole?project=MIN&amp;site_id=016966","Geol Survey Link")</f>
        <v>Geol Survey Link</v>
      </c>
      <c r="H4804" t="s">
        <v>3171</v>
      </c>
      <c r="I4804">
        <v>-33.3401</v>
      </c>
      <c r="J4804">
        <v>148.01900000000001</v>
      </c>
      <c r="K4804" t="str">
        <f>HYPERLINK("http://nvcl.geoscience.nsw.gov.au/NVCLDataServices/mosaic.html?datasetid=1d92b848-e17c-4032-a4bd-4fa67ad0f21","DDHLN-6_Core Image")</f>
        <v>DDHLN-6_Core Image</v>
      </c>
    </row>
    <row r="4805" spans="1:11" x14ac:dyDescent="0.25">
      <c r="A4805" t="str">
        <f>HYPERLINK("http://www.corstruth.com.au/NSW/DDHLN-7_cs.png","DDHLN-7_A4")</f>
        <v>DDHLN-7_A4</v>
      </c>
      <c r="B4805" t="str">
        <f>HYPERLINK("http://www.corstruth.com.au/NSW/PNG2/DDHLN-7_cs.png","DDHLN-7_0.25m Bins")</f>
        <v>DDHLN-7_0.25m Bins</v>
      </c>
      <c r="C4805" t="str">
        <f>HYPERLINK("http://www.corstruth.com.au/NSW/CSV/DDHLN-7.csv","DDHLN-7_CSV File 1m Bins")</f>
        <v>DDHLN-7_CSV File 1m Bins</v>
      </c>
      <c r="D4805" t="s">
        <v>3172</v>
      </c>
      <c r="E4805" t="s">
        <v>2198</v>
      </c>
      <c r="F4805" t="str">
        <f>HYPERLINK("http://dwh.geoscience.nsw.gov.au/CI/warehouse/raw/drillhole?project=MIN&amp;site_id=016967","Geol Survey Link")</f>
        <v>Geol Survey Link</v>
      </c>
      <c r="H4805" t="s">
        <v>3173</v>
      </c>
      <c r="I4805">
        <v>-33.341799999999999</v>
      </c>
      <c r="J4805">
        <v>148.01900000000001</v>
      </c>
      <c r="K4805" t="str">
        <f>HYPERLINK("http://nvcl.geoscience.nsw.gov.au/NVCLDataServices/mosaic.html?datasetid=3320830c-8da9-4dc4-b2b0-2c8f4fb72d2","DDHLN-7_Core Image")</f>
        <v>DDHLN-7_Core Image</v>
      </c>
    </row>
    <row r="4806" spans="1:11" x14ac:dyDescent="0.25">
      <c r="A4806" t="str">
        <f>HYPERLINK("http://www.corstruth.com.au/NSW/DD09NV0005_cs.png","DD09NV0005_A4")</f>
        <v>DD09NV0005_A4</v>
      </c>
      <c r="B4806" t="str">
        <f>HYPERLINK("http://www.corstruth.com.au/NSW/PNG2/DD09NV0005_cs.png","DD09NV0005_0.25m Bins")</f>
        <v>DD09NV0005_0.25m Bins</v>
      </c>
      <c r="C4806" t="str">
        <f>HYPERLINK("http://www.corstruth.com.au/NSW/CSV/DD09NV0005.csv","DD09NV0005_CSV File 1m Bins")</f>
        <v>DD09NV0005_CSV File 1m Bins</v>
      </c>
      <c r="D4806" t="s">
        <v>3174</v>
      </c>
      <c r="E4806" t="s">
        <v>2198</v>
      </c>
      <c r="F4806" t="str">
        <f>HYPERLINK("http://dwh.geoscience.nsw.gov.au/CI/warehouse/raw/drillhole?project=MIN&amp;site_id=069184","Geol Survey Link")</f>
        <v>Geol Survey Link</v>
      </c>
      <c r="H4806" t="s">
        <v>3175</v>
      </c>
      <c r="I4806">
        <v>-32.189100000000003</v>
      </c>
      <c r="J4806">
        <v>145.99100000000001</v>
      </c>
      <c r="K4806" t="str">
        <f>HYPERLINK("http://nvcl.geoscience.nsw.gov.au/NVCLDataServices/mosaic.html?datasetid=2e667f3f-0915-41ca-9a27-faeeebb2963","DD09NV0005_Core Image")</f>
        <v>DD09NV0005_Core Image</v>
      </c>
    </row>
    <row r="4807" spans="1:11" x14ac:dyDescent="0.25">
      <c r="A4807" t="str">
        <f>HYPERLINK("http://www.corstruth.com.au/NSW/TF204D510_cs.png","TF204D510_A4")</f>
        <v>TF204D510_A4</v>
      </c>
      <c r="B4807" t="str">
        <f>HYPERLINK("http://www.corstruth.com.au/NSW/PNG2/TF204D510_cs.png","TF204D510_0.25m Bins")</f>
        <v>TF204D510_0.25m Bins</v>
      </c>
      <c r="C4807" t="str">
        <f>HYPERLINK("http://www.corstruth.com.au/NSW/CSV/TF204D510.csv","TF204D510_CSV File 1m Bins")</f>
        <v>TF204D510_CSV File 1m Bins</v>
      </c>
      <c r="D4807" t="s">
        <v>3176</v>
      </c>
      <c r="E4807" t="s">
        <v>2198</v>
      </c>
      <c r="F4807" t="str">
        <f>HYPERLINK("http://dwh.geoscience.nsw.gov.au/CI/warehouse/raw/drillhole?project=MIN&amp;site_id=003920","Geol Survey Link")</f>
        <v>Geol Survey Link</v>
      </c>
      <c r="H4807" t="s">
        <v>3177</v>
      </c>
      <c r="I4807">
        <v>-32.266100000000002</v>
      </c>
      <c r="J4807">
        <v>147.36799999999999</v>
      </c>
      <c r="K4807" t="str">
        <f>HYPERLINK("http://nvcl.geoscience.nsw.gov.au/NVCLDataServices/mosaic.html?datasetid=0ee3472d-ae34-4d06-9abb-d2ebeecf7ba","TF204D510_Core Image")</f>
        <v>TF204D510_Core Image</v>
      </c>
    </row>
    <row r="4808" spans="1:11" x14ac:dyDescent="0.25">
      <c r="A4808" t="str">
        <f>HYPERLINK("http://www.corstruth.com.au/NSW/COM001D_cs.png","COM001D_A4")</f>
        <v>COM001D_A4</v>
      </c>
      <c r="B4808" t="str">
        <f>HYPERLINK("http://www.corstruth.com.au/NSW/PNG2/COM001D_cs.png","COM001D_0.25m Bins")</f>
        <v>COM001D_0.25m Bins</v>
      </c>
      <c r="C4808" t="str">
        <f>HYPERLINK("http://www.corstruth.com.au/NSW/CSV/COM001D.csv","COM001D_CSV File 1m Bins")</f>
        <v>COM001D_CSV File 1m Bins</v>
      </c>
      <c r="D4808" t="s">
        <v>3178</v>
      </c>
      <c r="E4808" t="s">
        <v>2198</v>
      </c>
      <c r="F4808" t="str">
        <f>HYPERLINK("http://dwh.geoscience.nsw.gov.au/CI/warehouse/raw/drillhole?project=MIN&amp;site_id=024367","Geol Survey Link")</f>
        <v>Geol Survey Link</v>
      </c>
      <c r="H4808" t="s">
        <v>3179</v>
      </c>
      <c r="I4808">
        <v>-32.330500000000001</v>
      </c>
      <c r="J4808">
        <v>148.97800000000001</v>
      </c>
      <c r="K4808" t="str">
        <f>HYPERLINK("http://nvcl.geoscience.nsw.gov.au/NVCLDataServices/mosaic.html?datasetid=77e00d22-1597-4801-848c-f80c5d46dbc","COM001D_Core Image")</f>
        <v>COM001D_Core Image</v>
      </c>
    </row>
    <row r="4809" spans="1:11" x14ac:dyDescent="0.25">
      <c r="A4809" t="str">
        <f>HYPERLINK("http://www.corstruth.com.au/NSW/COM002D_cs.png","COM002D_A4")</f>
        <v>COM002D_A4</v>
      </c>
      <c r="B4809" t="str">
        <f>HYPERLINK("http://www.corstruth.com.au/NSW/PNG2/COM002D_cs.png","COM002D_0.25m Bins")</f>
        <v>COM002D_0.25m Bins</v>
      </c>
      <c r="C4809" t="str">
        <f>HYPERLINK("http://www.corstruth.com.au/NSW/CSV/COM002D.csv","COM002D_CSV File 1m Bins")</f>
        <v>COM002D_CSV File 1m Bins</v>
      </c>
      <c r="D4809" t="s">
        <v>3180</v>
      </c>
      <c r="E4809" t="s">
        <v>2198</v>
      </c>
      <c r="F4809" t="str">
        <f>HYPERLINK("http://dwh.geoscience.nsw.gov.au/CI/warehouse/raw/drillhole?project=MIN&amp;site_id=024368","Geol Survey Link")</f>
        <v>Geol Survey Link</v>
      </c>
      <c r="H4809" t="s">
        <v>3179</v>
      </c>
      <c r="I4809">
        <v>-32.322000000000003</v>
      </c>
      <c r="J4809">
        <v>148.976</v>
      </c>
      <c r="K4809" t="str">
        <f>HYPERLINK("http://nvcl.geoscience.nsw.gov.au/NVCLDataServices/mosaic.html?datasetid=8c4bc52b-16ab-48d9-b6da-b997533645b","COM002D_Core Image")</f>
        <v>COM002D_Core Image</v>
      </c>
    </row>
    <row r="4810" spans="1:11" x14ac:dyDescent="0.25">
      <c r="A4810" t="str">
        <f>HYPERLINK("http://www.corstruth.com.au/NSW/NP1047_cs.png","NP1047_A4")</f>
        <v>NP1047_A4</v>
      </c>
      <c r="B4810" t="str">
        <f>HYPERLINK("http://www.corstruth.com.au/NSW/PNG2/NP1047_cs.png","NP1047_0.25m Bins")</f>
        <v>NP1047_0.25m Bins</v>
      </c>
      <c r="C4810" t="str">
        <f>HYPERLINK("http://www.corstruth.com.au/NSW/CSV/NP1047.csv","NP1047_CSV File 1m Bins")</f>
        <v>NP1047_CSV File 1m Bins</v>
      </c>
      <c r="D4810" t="s">
        <v>3181</v>
      </c>
      <c r="E4810" t="s">
        <v>2198</v>
      </c>
      <c r="F4810" t="str">
        <f>HYPERLINK("http://dwh.geoscience.nsw.gov.au/CI/warehouse/raw/drillhole?project=MIN&amp;site_id=162335","Geol Survey Link")</f>
        <v>Geol Survey Link</v>
      </c>
      <c r="H4810" t="s">
        <v>3182</v>
      </c>
      <c r="I4810">
        <v>-31.1615</v>
      </c>
      <c r="J4810">
        <v>145.654</v>
      </c>
      <c r="K4810" t="str">
        <f>HYPERLINK("http://nvcl.geoscience.nsw.gov.au/NVCLDataServices/mosaic.html?datasetid=bcc174d4-4056-41dd-b8f0-360c841510b","NP1047_Core Image")</f>
        <v>NP1047_Core Image</v>
      </c>
    </row>
    <row r="4811" spans="1:11" x14ac:dyDescent="0.25">
      <c r="A4811" t="str">
        <f>HYPERLINK("http://www.corstruth.com.au/NSW/NP1235_cs.png","NP1235_A4")</f>
        <v>NP1235_A4</v>
      </c>
      <c r="B4811" t="str">
        <f>HYPERLINK("http://www.corstruth.com.au/NSW/PNG2/NP1235_cs.png","NP1235_0.25m Bins")</f>
        <v>NP1235_0.25m Bins</v>
      </c>
      <c r="C4811" t="str">
        <f>HYPERLINK("http://www.corstruth.com.au/NSW/CSV/NP1235.csv","NP1235_CSV File 1m Bins")</f>
        <v>NP1235_CSV File 1m Bins</v>
      </c>
      <c r="D4811" t="s">
        <v>3183</v>
      </c>
      <c r="E4811" t="s">
        <v>2198</v>
      </c>
      <c r="F4811" t="str">
        <f>HYPERLINK("http://dwh.geoscience.nsw.gov.au/CI/warehouse/raw/drillhole?project=MIN&amp;site_id=169919","Geol Survey Link")</f>
        <v>Geol Survey Link</v>
      </c>
      <c r="H4811" t="s">
        <v>3182</v>
      </c>
      <c r="I4811">
        <v>-31.1557</v>
      </c>
      <c r="J4811">
        <v>145.65199999999999</v>
      </c>
      <c r="K4811" t="str">
        <f>HYPERLINK("http://nvcl.geoscience.nsw.gov.au/NVCLDataServices/mosaic.html?datasetid=40f36cf8-0cc3-41b4-bcf7-2291e88cea8","NP1235_Core Image")</f>
        <v>NP1235_Core Image</v>
      </c>
    </row>
    <row r="4812" spans="1:11" x14ac:dyDescent="0.25">
      <c r="A4812" t="str">
        <f>HYPERLINK("http://www.corstruth.com.au/NSW/NP139_cs.png","NP139_A4")</f>
        <v>NP139_A4</v>
      </c>
      <c r="B4812" t="str">
        <f>HYPERLINK("http://www.corstruth.com.au/NSW/PNG2/NP139_cs.png","NP139_0.25m Bins")</f>
        <v>NP139_0.25m Bins</v>
      </c>
      <c r="C4812" t="str">
        <f>HYPERLINK("http://www.corstruth.com.au/NSW/CSV/NP139.csv","NP139_CSV File 1m Bins")</f>
        <v>NP139_CSV File 1m Bins</v>
      </c>
      <c r="D4812" t="s">
        <v>3184</v>
      </c>
      <c r="E4812" t="s">
        <v>2198</v>
      </c>
      <c r="F4812" t="str">
        <f>HYPERLINK("http://dwh.geoscience.nsw.gov.au/CI/warehouse/raw/drillhole?project=MIN&amp;site_id=162473","Geol Survey Link")</f>
        <v>Geol Survey Link</v>
      </c>
      <c r="H4812" t="s">
        <v>3182</v>
      </c>
      <c r="I4812">
        <v>-31.1616</v>
      </c>
      <c r="J4812">
        <v>145.65600000000001</v>
      </c>
      <c r="K4812" t="str">
        <f>HYPERLINK("http://nvcl.geoscience.nsw.gov.au/NVCLDataServices/mosaic.html?datasetid=c119d7e9-e939-46ae-91a6-4a1a80af0e5","NP139_Core Image")</f>
        <v>NP139_Core Image</v>
      </c>
    </row>
    <row r="4813" spans="1:11" x14ac:dyDescent="0.25">
      <c r="A4813" t="str">
        <f>HYPERLINK("http://www.corstruth.com.au/NSW/NP143_cs.png","NP143_A4")</f>
        <v>NP143_A4</v>
      </c>
      <c r="B4813" t="str">
        <f>HYPERLINK("http://www.corstruth.com.au/NSW/PNG2/NP143_cs.png","NP143_0.25m Bins")</f>
        <v>NP143_0.25m Bins</v>
      </c>
      <c r="C4813" t="str">
        <f>HYPERLINK("http://www.corstruth.com.au/NSW/CSV/NP143.csv","NP143_CSV File 1m Bins")</f>
        <v>NP143_CSV File 1m Bins</v>
      </c>
      <c r="D4813" t="s">
        <v>3185</v>
      </c>
      <c r="E4813" t="s">
        <v>2198</v>
      </c>
      <c r="F4813" t="str">
        <f>HYPERLINK("http://dwh.geoscience.nsw.gov.au/CI/warehouse/raw/drillhole?project=MIN&amp;site_id=162477","Geol Survey Link")</f>
        <v>Geol Survey Link</v>
      </c>
      <c r="H4813" t="s">
        <v>3182</v>
      </c>
      <c r="I4813">
        <v>-31.1616</v>
      </c>
      <c r="J4813">
        <v>145.65600000000001</v>
      </c>
      <c r="K4813" t="str">
        <f>HYPERLINK("http://nvcl.geoscience.nsw.gov.au/NVCLDataServices/mosaic.html?datasetid=c3f0304d-3cfa-409e-a8f3-94b1184526a","NP143_Core Image")</f>
        <v>NP143_Core Image</v>
      </c>
    </row>
    <row r="4814" spans="1:11" x14ac:dyDescent="0.25">
      <c r="A4814" t="str">
        <f>HYPERLINK("http://www.corstruth.com.au/NSW/NP922A_cs.png","NP922A_A4")</f>
        <v>NP922A_A4</v>
      </c>
      <c r="B4814" t="str">
        <f>HYPERLINK("http://www.corstruth.com.au/NSW/PNG2/NP922A_cs.png","NP922A_0.25m Bins")</f>
        <v>NP922A_0.25m Bins</v>
      </c>
      <c r="C4814" t="str">
        <f>HYPERLINK("http://www.corstruth.com.au/NSW/CSV/NP922A.csv","NP922A_CSV File 1m Bins")</f>
        <v>NP922A_CSV File 1m Bins</v>
      </c>
      <c r="D4814" t="s">
        <v>3186</v>
      </c>
      <c r="E4814" t="s">
        <v>2198</v>
      </c>
      <c r="F4814" t="str">
        <f>HYPERLINK("http://dwh.geoscience.nsw.gov.au/CI/warehouse/raw/drillhole?project=MIN&amp;site_id=163242","Geol Survey Link")</f>
        <v>Geol Survey Link</v>
      </c>
      <c r="H4814" t="s">
        <v>3182</v>
      </c>
      <c r="I4814">
        <v>-31.156099999999999</v>
      </c>
      <c r="J4814">
        <v>145.65299999999999</v>
      </c>
      <c r="K4814" t="str">
        <f>HYPERLINK("http://nvcl.geoscience.nsw.gov.au/NVCLDataServices/mosaic.html?datasetid=2191d499-c3a6-47b9-a3e2-a4a6e1482d2","NP922A_Core Image")</f>
        <v>NP922A_Core Image</v>
      </c>
    </row>
    <row r="4815" spans="1:11" x14ac:dyDescent="0.25">
      <c r="A4815" t="str">
        <f>HYPERLINK("http://www.corstruth.com.au/NSW/E26D460_cs.png","E26D460_A4")</f>
        <v>E26D460_A4</v>
      </c>
      <c r="B4815" t="str">
        <f>HYPERLINK("http://www.corstruth.com.au/NSW/PNG2/E26D460_cs.png","E26D460_0.25m Bins")</f>
        <v>E26D460_0.25m Bins</v>
      </c>
      <c r="C4815" t="str">
        <f>HYPERLINK("http://www.corstruth.com.au/NSW/CSV/E26D460.csv","E26D460_CSV File 1m Bins")</f>
        <v>E26D460_CSV File 1m Bins</v>
      </c>
      <c r="D4815" t="s">
        <v>3187</v>
      </c>
      <c r="E4815" t="s">
        <v>2198</v>
      </c>
      <c r="F4815" t="str">
        <f>HYPERLINK("http://dwh.geoscience.nsw.gov.au/CI/warehouse/raw/drillhole?project=MIN&amp;site_id=124632","Geol Survey Link")</f>
        <v>Geol Survey Link</v>
      </c>
      <c r="H4815" t="s">
        <v>3188</v>
      </c>
      <c r="I4815">
        <v>-32.939700000000002</v>
      </c>
      <c r="J4815">
        <v>148.047</v>
      </c>
      <c r="K4815" t="str">
        <f>HYPERLINK("http://nvcl.geoscience.nsw.gov.au/NVCLDataServices/mosaic.html?datasetid=ce2ea9f4-9128-44c1-a39a-cdf4f475daa","E26D460_Core Image")</f>
        <v>E26D460_Core Image</v>
      </c>
    </row>
    <row r="4816" spans="1:11" x14ac:dyDescent="0.25">
      <c r="A4816" t="str">
        <f>HYPERLINK("http://www.corstruth.com.au/NSW/E26D490_cs.png","E26D490_A4")</f>
        <v>E26D490_A4</v>
      </c>
      <c r="B4816" t="str">
        <f>HYPERLINK("http://www.corstruth.com.au/NSW/PNG2/E26D490_cs.png","E26D490_0.25m Bins")</f>
        <v>E26D490_0.25m Bins</v>
      </c>
      <c r="C4816" t="str">
        <f>HYPERLINK("http://www.corstruth.com.au/NSW/CSV/E26D490.csv","E26D490_CSV File 1m Bins")</f>
        <v>E26D490_CSV File 1m Bins</v>
      </c>
      <c r="D4816" t="s">
        <v>3189</v>
      </c>
      <c r="E4816" t="s">
        <v>2198</v>
      </c>
      <c r="F4816" t="str">
        <f>HYPERLINK("http://dwh.geoscience.nsw.gov.au/CI/warehouse/raw/drillhole?project=MIN&amp;site_id=070094","Geol Survey Link")</f>
        <v>Geol Survey Link</v>
      </c>
      <c r="H4816" t="s">
        <v>3188</v>
      </c>
      <c r="I4816">
        <v>-32.939799999999998</v>
      </c>
      <c r="J4816">
        <v>148.05000000000001</v>
      </c>
      <c r="K4816" t="str">
        <f>HYPERLINK("http://nvcl.geoscience.nsw.gov.au/NVCLDataServices/mosaic.html?datasetid=c4320c74-328f-4ce7-96b8-57336659d20","E26D490_Core Image")</f>
        <v>E26D490_Core Image</v>
      </c>
    </row>
    <row r="4817" spans="1:11" x14ac:dyDescent="0.25">
      <c r="A4817" t="str">
        <f>HYPERLINK("http://www.corstruth.com.au/NSW/E48D134_cs.png","E48D134_A4")</f>
        <v>E48D134_A4</v>
      </c>
      <c r="B4817" t="str">
        <f>HYPERLINK("http://www.corstruth.com.au/NSW/PNG2/E48D134_cs.png","E48D134_0.25m Bins")</f>
        <v>E48D134_0.25m Bins</v>
      </c>
      <c r="C4817" t="str">
        <f>HYPERLINK("http://www.corstruth.com.au/NSW/CSV/E48D134.csv","E48D134_CSV File 1m Bins")</f>
        <v>E48D134_CSV File 1m Bins</v>
      </c>
      <c r="D4817" t="s">
        <v>3190</v>
      </c>
      <c r="E4817" t="s">
        <v>2198</v>
      </c>
      <c r="F4817" t="str">
        <f>HYPERLINK("http://dwh.geoscience.nsw.gov.au/CI/warehouse/raw/drillhole?project=MIN&amp;site_id=071276","Geol Survey Link")</f>
        <v>Geol Survey Link</v>
      </c>
      <c r="H4817" t="s">
        <v>3188</v>
      </c>
      <c r="I4817">
        <v>-32.920499999999997</v>
      </c>
      <c r="J4817">
        <v>148.054</v>
      </c>
      <c r="K4817" t="str">
        <f>HYPERLINK("http://nvcl.geoscience.nsw.gov.au/NVCLDataServices/mosaic.html?datasetid=d2545ed4-0725-45e5-9739-a99cbeda9b6","E48D134_Core Image")</f>
        <v>E48D134_Core Image</v>
      </c>
    </row>
    <row r="4818" spans="1:11" x14ac:dyDescent="0.25">
      <c r="A4818" t="str">
        <f>HYPERLINK("http://www.corstruth.com.au/NSW/E48D202_cs.png","E48D202_A4")</f>
        <v>E48D202_A4</v>
      </c>
      <c r="B4818" t="str">
        <f>HYPERLINK("http://www.corstruth.com.au/NSW/PNG2/E48D202_cs.png","E48D202_0.25m Bins")</f>
        <v>E48D202_0.25m Bins</v>
      </c>
      <c r="C4818" t="str">
        <f>HYPERLINK("http://www.corstruth.com.au/NSW/CSV/E48D202.csv","E48D202_CSV File 1m Bins")</f>
        <v>E48D202_CSV File 1m Bins</v>
      </c>
      <c r="D4818" t="s">
        <v>3191</v>
      </c>
      <c r="E4818" t="s">
        <v>2198</v>
      </c>
      <c r="F4818" t="str">
        <f>HYPERLINK("http://dwh.geoscience.nsw.gov.au/CI/warehouse/raw/drillhole?project=MIN&amp;site_id=071336","Geol Survey Link")</f>
        <v>Geol Survey Link</v>
      </c>
      <c r="H4818" t="s">
        <v>3188</v>
      </c>
      <c r="I4818">
        <v>-32.924199999999999</v>
      </c>
      <c r="J4818">
        <v>148.04499999999999</v>
      </c>
      <c r="K4818" t="str">
        <f>HYPERLINK("http://nvcl.geoscience.nsw.gov.au/NVCLDataServices/mosaic.html?datasetid=fcf62d18-d121-48cf-9059-d0fb18859b0","E48D202_Core Image")</f>
        <v>E48D202_Core Image</v>
      </c>
    </row>
    <row r="4819" spans="1:11" x14ac:dyDescent="0.25">
      <c r="A4819" t="str">
        <f>HYPERLINK("http://www.corstruth.com.au/NSW/E26D559_cs.png","E26D559_A4")</f>
        <v>E26D559_A4</v>
      </c>
      <c r="B4819" t="str">
        <f>HYPERLINK("http://www.corstruth.com.au/NSW/PNG2/E26D559_cs.png","E26D559_0.25m Bins")</f>
        <v>E26D559_0.25m Bins</v>
      </c>
      <c r="C4819" t="str">
        <f>HYPERLINK("http://www.corstruth.com.au/NSW/CSV/E26D559.csv","E26D559_CSV File 1m Bins")</f>
        <v>E26D559_CSV File 1m Bins</v>
      </c>
      <c r="D4819" t="s">
        <v>3192</v>
      </c>
      <c r="E4819" t="s">
        <v>2198</v>
      </c>
      <c r="F4819" t="str">
        <f>HYPERLINK("http://dwh.geoscience.nsw.gov.au/CI/warehouse/raw/drillhole?project=MIN&amp;site_id=170520","Geol Survey Link")</f>
        <v>Geol Survey Link</v>
      </c>
      <c r="H4819" t="s">
        <v>3193</v>
      </c>
      <c r="I4819">
        <v>-32.938400000000001</v>
      </c>
      <c r="J4819">
        <v>148.048</v>
      </c>
      <c r="K4819" t="str">
        <f>HYPERLINK("http://nvcl.geoscience.nsw.gov.au/NVCLDataServices/mosaic.html?datasetid=2b5aaa84-4aea-4628-b4e5-2bfdd042948","E26D559_Core Image")</f>
        <v>E26D559_Core Image</v>
      </c>
    </row>
    <row r="4820" spans="1:11" x14ac:dyDescent="0.25">
      <c r="A4820" t="str">
        <f>HYPERLINK("http://www.corstruth.com.au/NSW/E26D572_cs.png","E26D572_A4")</f>
        <v>E26D572_A4</v>
      </c>
      <c r="B4820" t="str">
        <f>HYPERLINK("http://www.corstruth.com.au/NSW/PNG2/E26D572_cs.png","E26D572_0.25m Bins")</f>
        <v>E26D572_0.25m Bins</v>
      </c>
      <c r="C4820" t="str">
        <f>HYPERLINK("http://www.corstruth.com.au/NSW/CSV/E26D572.csv","E26D572_CSV File 1m Bins")</f>
        <v>E26D572_CSV File 1m Bins</v>
      </c>
      <c r="D4820" t="s">
        <v>3194</v>
      </c>
      <c r="E4820" t="s">
        <v>2198</v>
      </c>
      <c r="F4820" t="str">
        <f>HYPERLINK("http://dwh.geoscience.nsw.gov.au/CI/warehouse/raw/drillhole?project=MIN&amp;site_id=229708","Geol Survey Link")</f>
        <v>Geol Survey Link</v>
      </c>
      <c r="H4820" t="s">
        <v>3195</v>
      </c>
      <c r="I4820">
        <v>-32.938299999999998</v>
      </c>
      <c r="J4820">
        <v>148.047</v>
      </c>
      <c r="K4820" t="str">
        <f>HYPERLINK("http://nvcl.geoscience.nsw.gov.au/NVCLDataServices/mosaic.html?datasetid=28687122-0c4a-4b9b-bb95-7e4be8620f9","E26D572_Core Image")</f>
        <v>E26D572_Core Image</v>
      </c>
    </row>
    <row r="4821" spans="1:11" x14ac:dyDescent="0.25">
      <c r="A4821" t="str">
        <f>HYPERLINK("http://www.corstruth.com.au/NSW/E48D203_cs.png","E48D203_A4")</f>
        <v>E48D203_A4</v>
      </c>
      <c r="B4821" t="str">
        <f>HYPERLINK("http://www.corstruth.com.au/NSW/PNG2/E48D203_cs.png","E48D203_0.25m Bins")</f>
        <v>E48D203_0.25m Bins</v>
      </c>
      <c r="C4821" t="str">
        <f>HYPERLINK("http://www.corstruth.com.au/NSW/CSV/E48D203.csv","E48D203_CSV File 1m Bins")</f>
        <v>E48D203_CSV File 1m Bins</v>
      </c>
      <c r="D4821" t="s">
        <v>3196</v>
      </c>
      <c r="E4821" t="s">
        <v>2198</v>
      </c>
      <c r="F4821" t="str">
        <f>HYPERLINK("http://dwh.geoscience.nsw.gov.au/CI/warehouse/raw/drillhole?project=MIN&amp;site_id=229709","Geol Survey Link")</f>
        <v>Geol Survey Link</v>
      </c>
      <c r="H4821" t="s">
        <v>3195</v>
      </c>
      <c r="I4821">
        <v>-32.922199999999997</v>
      </c>
      <c r="J4821">
        <v>148.05099999999999</v>
      </c>
      <c r="K4821" t="str">
        <f>HYPERLINK("http://nvcl.geoscience.nsw.gov.au/NVCLDataServices/mosaic.html?datasetid=43b6a635-b506-41c3-bae8-09fb0d91aaa","E48D203_Core Image")</f>
        <v>E48D203_Core Image</v>
      </c>
    </row>
    <row r="4822" spans="1:11" x14ac:dyDescent="0.25">
      <c r="A4822" t="str">
        <f>HYPERLINK("http://www.corstruth.com.au/NSW/E48D269_cs.png","E48D269_A4")</f>
        <v>E48D269_A4</v>
      </c>
      <c r="B4822" t="str">
        <f>HYPERLINK("http://www.corstruth.com.au/NSW/PNG2/E48D269_cs.png","E48D269_0.25m Bins")</f>
        <v>E48D269_0.25m Bins</v>
      </c>
      <c r="C4822" t="str">
        <f>HYPERLINK("http://www.corstruth.com.au/NSW/CSV/E48D269.csv","E48D269_CSV File 1m Bins")</f>
        <v>E48D269_CSV File 1m Bins</v>
      </c>
      <c r="D4822" t="s">
        <v>3197</v>
      </c>
      <c r="E4822" t="s">
        <v>2198</v>
      </c>
      <c r="F4822" t="str">
        <f>HYPERLINK("http://dwh.geoscience.nsw.gov.au/CI/warehouse/raw/drillhole?project=MIN&amp;site_id=158614","Geol Survey Link")</f>
        <v>Geol Survey Link</v>
      </c>
      <c r="H4822" t="s">
        <v>3195</v>
      </c>
      <c r="I4822">
        <v>-32.928600000000003</v>
      </c>
      <c r="J4822">
        <v>148.04900000000001</v>
      </c>
      <c r="K4822" t="str">
        <f>HYPERLINK("http://nvcl.geoscience.nsw.gov.au/NVCLDataServices/mosaic.html?datasetid=d07c28e7-b96d-4413-82c0-02bdc0f6218","E48D269_Core Image")</f>
        <v>E48D269_Core Image</v>
      </c>
    </row>
    <row r="4823" spans="1:11" x14ac:dyDescent="0.25">
      <c r="A4823" t="str">
        <f>HYPERLINK("http://www.corstruth.com.au/NSW/GDDH1_cs.png","GDDH1_A4")</f>
        <v>GDDH1_A4</v>
      </c>
      <c r="B4823" t="str">
        <f>HYPERLINK("http://www.corstruth.com.au/NSW/PNG2/GDDH1_cs.png","GDDH1_0.25m Bins")</f>
        <v>GDDH1_0.25m Bins</v>
      </c>
      <c r="C4823" t="str">
        <f>HYPERLINK("http://www.corstruth.com.au/NSW/CSV/GDDH1.csv","GDDH1_CSV File 1m Bins")</f>
        <v>GDDH1_CSV File 1m Bins</v>
      </c>
      <c r="D4823" t="s">
        <v>3198</v>
      </c>
      <c r="E4823" t="s">
        <v>2198</v>
      </c>
      <c r="F4823" t="str">
        <f>HYPERLINK("http://dwh.geoscience.nsw.gov.au/CI/warehouse/raw/drillhole?project=MIN&amp;site_id=039822","Geol Survey Link")</f>
        <v>Geol Survey Link</v>
      </c>
      <c r="H4823" t="s">
        <v>3199</v>
      </c>
      <c r="I4823">
        <v>-32.067100000000003</v>
      </c>
      <c r="J4823">
        <v>146.32</v>
      </c>
      <c r="K4823" t="str">
        <f>HYPERLINK("http://nvcl.geoscience.nsw.gov.au/NVCLDataServices/mosaic.html?datasetid=96c6e5a5-e107-428d-a595-a8b13b0b088","GDDH1_Core Image")</f>
        <v>GDDH1_Core Image</v>
      </c>
    </row>
    <row r="4824" spans="1:11" x14ac:dyDescent="0.25">
      <c r="A4824" t="str">
        <f>HYPERLINK("http://www.corstruth.com.au/NSW/NMD047_cs.png","NMD047_A4")</f>
        <v>NMD047_A4</v>
      </c>
      <c r="B4824" t="str">
        <f>HYPERLINK("http://www.corstruth.com.au/NSW/PNG2/NMD047_cs.png","NMD047_0.25m Bins")</f>
        <v>NMD047_0.25m Bins</v>
      </c>
      <c r="C4824" t="str">
        <f>HYPERLINK("http://www.corstruth.com.au/NSW/CSV/NMD047.csv","NMD047_CSV File 1m Bins")</f>
        <v>NMD047_CSV File 1m Bins</v>
      </c>
      <c r="D4824" t="s">
        <v>3200</v>
      </c>
      <c r="E4824" t="s">
        <v>2198</v>
      </c>
      <c r="F4824" t="str">
        <f>HYPERLINK("http://dwh.geoscience.nsw.gov.au/CI/warehouse/raw/drillhole?project=MIN&amp;site_id=093692","Geol Survey Link")</f>
        <v>Geol Survey Link</v>
      </c>
      <c r="H4824" t="s">
        <v>3201</v>
      </c>
      <c r="I4824">
        <v>-32.062600000000003</v>
      </c>
      <c r="J4824">
        <v>146.309</v>
      </c>
      <c r="K4824" t="str">
        <f>HYPERLINK("http://nvcl.geoscience.nsw.gov.au/NVCLDataServices/mosaic.html?datasetid=944cb305-0634-4d94-8096-e2ee76f6502","NMD047_Core Image")</f>
        <v>NMD047_Core Image</v>
      </c>
    </row>
    <row r="4825" spans="1:11" x14ac:dyDescent="0.25">
      <c r="A4825" t="str">
        <f>HYPERLINK("http://www.corstruth.com.au/NSW/NMD053_cs.png","NMD053_A4")</f>
        <v>NMD053_A4</v>
      </c>
      <c r="B4825" t="str">
        <f>HYPERLINK("http://www.corstruth.com.au/NSW/PNG2/NMD053_cs.png","NMD053_0.25m Bins")</f>
        <v>NMD053_0.25m Bins</v>
      </c>
      <c r="C4825" t="str">
        <f>HYPERLINK("http://www.corstruth.com.au/NSW/CSV/NMD053.csv","NMD053_CSV File 1m Bins")</f>
        <v>NMD053_CSV File 1m Bins</v>
      </c>
      <c r="D4825" t="s">
        <v>3202</v>
      </c>
      <c r="E4825" t="s">
        <v>2198</v>
      </c>
      <c r="F4825" t="str">
        <f>HYPERLINK("http://dwh.geoscience.nsw.gov.au/CI/warehouse/raw/drillhole?project=MIN&amp;site_id=093700","Geol Survey Link")</f>
        <v>Geol Survey Link</v>
      </c>
      <c r="H4825" t="s">
        <v>3201</v>
      </c>
      <c r="I4825">
        <v>-32.066299999999998</v>
      </c>
      <c r="J4825">
        <v>146.30799999999999</v>
      </c>
      <c r="K4825" t="str">
        <f>HYPERLINK("http://nvcl.geoscience.nsw.gov.au/NVCLDataServices/mosaic.html?datasetid=657bfb49-7fc1-46dc-a5cf-cc6ec3b9f37","NMD053_Core Image")</f>
        <v>NMD053_Core Image</v>
      </c>
    </row>
    <row r="4826" spans="1:11" x14ac:dyDescent="0.25">
      <c r="A4826" t="str">
        <f>HYPERLINK("http://www.corstruth.com.au/NSW/NMD053W1_cs.png","NMD053W1_A4")</f>
        <v>NMD053W1_A4</v>
      </c>
      <c r="B4826" t="str">
        <f>HYPERLINK("http://www.corstruth.com.au/NSW/PNG2/NMD053W1_cs.png","NMD053W1_0.25m Bins")</f>
        <v>NMD053W1_0.25m Bins</v>
      </c>
      <c r="C4826" t="str">
        <f>HYPERLINK("http://www.corstruth.com.au/NSW/CSV/NMD053W1.csv","NMD053W1_CSV File 1m Bins")</f>
        <v>NMD053W1_CSV File 1m Bins</v>
      </c>
      <c r="D4826" t="s">
        <v>3203</v>
      </c>
      <c r="E4826" t="s">
        <v>2198</v>
      </c>
      <c r="F4826" t="str">
        <f>HYPERLINK("http://dwh.geoscience.nsw.gov.au/CI/warehouse/raw/drillhole?project=MIN&amp;site_id=093701","Geol Survey Link")</f>
        <v>Geol Survey Link</v>
      </c>
      <c r="H4826" t="s">
        <v>3201</v>
      </c>
      <c r="I4826">
        <v>-32.066299999999998</v>
      </c>
      <c r="J4826">
        <v>146.30799999999999</v>
      </c>
      <c r="K4826" t="str">
        <f>HYPERLINK("http://nvcl.geoscience.nsw.gov.au/NVCLDataServices/mosaic.html?datasetid=493fa22b-247b-4035-a5b4-b34fe799125","NMD053W1_Core Image")</f>
        <v>NMD053W1_Core Image</v>
      </c>
    </row>
    <row r="4827" spans="1:11" x14ac:dyDescent="0.25">
      <c r="A4827" t="str">
        <f>HYPERLINK("http://www.corstruth.com.au/NSW/NMD068_cs.png","NMD068_A4")</f>
        <v>NMD068_A4</v>
      </c>
      <c r="B4827" t="str">
        <f>HYPERLINK("http://www.corstruth.com.au/NSW/PNG2/NMD068_cs.png","NMD068_0.25m Bins")</f>
        <v>NMD068_0.25m Bins</v>
      </c>
      <c r="C4827" t="str">
        <f>HYPERLINK("http://www.corstruth.com.au/NSW/CSV/NMD068.csv","NMD068_CSV File 1m Bins")</f>
        <v>NMD068_CSV File 1m Bins</v>
      </c>
      <c r="D4827" t="s">
        <v>3204</v>
      </c>
      <c r="E4827" t="s">
        <v>2198</v>
      </c>
      <c r="F4827" t="str">
        <f>HYPERLINK("http://dwh.geoscience.nsw.gov.au/CI/warehouse/raw/drillhole?project=MIN&amp;site_id=093721","Geol Survey Link")</f>
        <v>Geol Survey Link</v>
      </c>
      <c r="H4827" t="s">
        <v>3201</v>
      </c>
      <c r="I4827">
        <v>-32.058599999999998</v>
      </c>
      <c r="J4827">
        <v>146.30500000000001</v>
      </c>
      <c r="K4827" t="str">
        <f>HYPERLINK("http://nvcl.geoscience.nsw.gov.au/NVCLDataServices/mosaic.html?datasetid=24f38b93-8ba9-478b-90ac-75f7f1cab71","NMD068_Core Image")</f>
        <v>NMD068_Core Image</v>
      </c>
    </row>
    <row r="4828" spans="1:11" x14ac:dyDescent="0.25">
      <c r="A4828" t="str">
        <f>HYPERLINK("http://www.corstruth.com.au/NSW/BOBRCPC1_cs.png","BOBRCPC1_A4")</f>
        <v>BOBRCPC1_A4</v>
      </c>
      <c r="B4828" t="str">
        <f>HYPERLINK("http://www.corstruth.com.au/NSW/PNG2/BOBRCPC1_cs.png","BOBRCPC1_0.25m Bins")</f>
        <v>BOBRCPC1_0.25m Bins</v>
      </c>
      <c r="C4828" t="str">
        <f>HYPERLINK("http://www.corstruth.com.au/NSW/CSV/BOBRCPC1.csv","BOBRCPC1_CSV File 1m Bins")</f>
        <v>BOBRCPC1_CSV File 1m Bins</v>
      </c>
      <c r="D4828" t="s">
        <v>3205</v>
      </c>
      <c r="E4828" t="s">
        <v>2198</v>
      </c>
      <c r="F4828" t="str">
        <f>HYPERLINK("http://dwh.geoscience.nsw.gov.au/CI/warehouse/raw/drillhole?project=MIN&amp;site_id=040141","Geol Survey Link")</f>
        <v>Geol Survey Link</v>
      </c>
      <c r="H4828" t="s">
        <v>3206</v>
      </c>
      <c r="I4828">
        <v>-32.304000000000002</v>
      </c>
      <c r="J4828">
        <v>146.69499999999999</v>
      </c>
      <c r="K4828" t="str">
        <f>HYPERLINK("http://nvcl.geoscience.nsw.gov.au/NVCLDataServices/mosaic.html?datasetid=69fafb8b-0ef1-4940-ad7a-db651bfd284","BOBRCPC1_Core Image")</f>
        <v>BOBRCPC1_Core Image</v>
      </c>
    </row>
    <row r="4829" spans="1:11" x14ac:dyDescent="0.25">
      <c r="A4829" t="str">
        <f>HYPERLINK("http://www.corstruth.com.au/NSW/BOBRCPC10_cs.png","BOBRCPC10_A4")</f>
        <v>BOBRCPC10_A4</v>
      </c>
      <c r="B4829" t="str">
        <f>HYPERLINK("http://www.corstruth.com.au/NSW/PNG2/BOBRCPC10_cs.png","BOBRCPC10_0.25m Bins")</f>
        <v>BOBRCPC10_0.25m Bins</v>
      </c>
      <c r="C4829" t="str">
        <f>HYPERLINK("http://www.corstruth.com.au/NSW/CSV/BOBRCPC10.csv","BOBRCPC10_CSV File 1m Bins")</f>
        <v>BOBRCPC10_CSV File 1m Bins</v>
      </c>
      <c r="D4829" t="s">
        <v>3207</v>
      </c>
      <c r="E4829" t="s">
        <v>2198</v>
      </c>
      <c r="F4829" t="str">
        <f>HYPERLINK("http://dwh.geoscience.nsw.gov.au/CI/warehouse/raw/drillhole?project=MIN&amp;site_id=040151","Geol Survey Link")</f>
        <v>Geol Survey Link</v>
      </c>
      <c r="H4829" t="s">
        <v>3208</v>
      </c>
      <c r="I4829">
        <v>-32.301400000000001</v>
      </c>
      <c r="J4829">
        <v>146.69300000000001</v>
      </c>
      <c r="K4829" t="str">
        <f>HYPERLINK("http://nvcl.geoscience.nsw.gov.au/NVCLDataServices/mosaic.html?datasetid=dd824485-b454-4ba2-afb3-18196e3ebb5","BOBRCPC10_Core Image")</f>
        <v>BOBRCPC10_Core Image</v>
      </c>
    </row>
    <row r="4830" spans="1:11" x14ac:dyDescent="0.25">
      <c r="A4830" t="str">
        <f>HYPERLINK("http://www.corstruth.com.au/NSW/BOBRCPC10_Chips_cs.png","BOBRCPC10_Chips_A4")</f>
        <v>BOBRCPC10_Chips_A4</v>
      </c>
      <c r="B4830" t="str">
        <f>HYPERLINK("http://www.corstruth.com.au/NSW/PNG2/BOBRCPC10_Chips_cs.png","BOBRCPC10_Chips_0.25m Bins")</f>
        <v>BOBRCPC10_Chips_0.25m Bins</v>
      </c>
      <c r="C4830" t="str">
        <f>HYPERLINK("http://www.corstruth.com.au/NSW/CSV/BOBRCPC10_Chips.csv","BOBRCPC10_Chips_CSV File 1m Bins")</f>
        <v>BOBRCPC10_Chips_CSV File 1m Bins</v>
      </c>
      <c r="D4830" t="s">
        <v>3207</v>
      </c>
      <c r="E4830" t="s">
        <v>2198</v>
      </c>
      <c r="F4830" t="str">
        <f>HYPERLINK("http://dwh.geoscience.nsw.gov.au/CI/warehouse/raw/drillhole?project=MIN&amp;site_id=040151","Geol Survey Link")</f>
        <v>Geol Survey Link</v>
      </c>
      <c r="H4830" t="s">
        <v>3208</v>
      </c>
      <c r="I4830">
        <v>-32.301400000000001</v>
      </c>
      <c r="J4830">
        <v>146.69300000000001</v>
      </c>
    </row>
    <row r="4831" spans="1:11" x14ac:dyDescent="0.25">
      <c r="A4831" t="str">
        <f>HYPERLINK("http://www.corstruth.com.au/NSW/BOBRCPC5_cs.png","BOBRCPC5_A4")</f>
        <v>BOBRCPC5_A4</v>
      </c>
      <c r="B4831" t="str">
        <f>HYPERLINK("http://www.corstruth.com.au/NSW/PNG2/BOBRCPC5_cs.png","BOBRCPC5_0.25m Bins")</f>
        <v>BOBRCPC5_0.25m Bins</v>
      </c>
      <c r="C4831" t="str">
        <f>HYPERLINK("http://www.corstruth.com.au/NSW/CSV/BOBRCPC5.csv","BOBRCPC5_CSV File 1m Bins")</f>
        <v>BOBRCPC5_CSV File 1m Bins</v>
      </c>
      <c r="D4831" t="s">
        <v>3209</v>
      </c>
      <c r="E4831" t="s">
        <v>2198</v>
      </c>
      <c r="F4831" t="str">
        <f>HYPERLINK("http://dwh.geoscience.nsw.gov.au/CI/warehouse/raw/drillhole?project=MIN&amp;site_id=040145","Geol Survey Link")</f>
        <v>Geol Survey Link</v>
      </c>
      <c r="H4831" t="s">
        <v>3210</v>
      </c>
      <c r="I4831">
        <v>-32.302599999999998</v>
      </c>
      <c r="J4831">
        <v>146.69399999999999</v>
      </c>
      <c r="K4831" t="str">
        <f>HYPERLINK("http://nvcl.geoscience.nsw.gov.au/NVCLDataServices/mosaic.html?datasetid=a2a63402-f108-400f-bb98-9f5a42cd369","BOBRCPC5_Core Image")</f>
        <v>BOBRCPC5_Core Image</v>
      </c>
    </row>
    <row r="4832" spans="1:11" x14ac:dyDescent="0.25">
      <c r="A4832" t="str">
        <f>HYPERLINK("http://www.corstruth.com.au/NSW/BOBRCPC5_Chips_cs.png","BOBRCPC5_Chips_A4")</f>
        <v>BOBRCPC5_Chips_A4</v>
      </c>
      <c r="B4832" t="str">
        <f>HYPERLINK("http://www.corstruth.com.au/NSW/PNG2/BOBRCPC5_Chips_cs.png","BOBRCPC5_Chips_0.25m Bins")</f>
        <v>BOBRCPC5_Chips_0.25m Bins</v>
      </c>
      <c r="C4832" t="str">
        <f>HYPERLINK("http://www.corstruth.com.au/NSW/CSV/BOBRCPC5_Chips.csv","BOBRCPC5_Chips_CSV File 1m Bins")</f>
        <v>BOBRCPC5_Chips_CSV File 1m Bins</v>
      </c>
      <c r="D4832" t="s">
        <v>3209</v>
      </c>
      <c r="E4832" t="s">
        <v>2198</v>
      </c>
      <c r="F4832" t="str">
        <f>HYPERLINK("http://dwh.geoscience.nsw.gov.au/CI/warehouse/raw/drillhole?project=MIN&amp;site_id=040145","Geol Survey Link")</f>
        <v>Geol Survey Link</v>
      </c>
      <c r="H4832" t="s">
        <v>3210</v>
      </c>
      <c r="I4832">
        <v>-32.302599999999998</v>
      </c>
      <c r="J4832">
        <v>146.69399999999999</v>
      </c>
    </row>
    <row r="4833" spans="1:11" x14ac:dyDescent="0.25">
      <c r="A4833" t="str">
        <f>HYPERLINK("http://www.corstruth.com.au/NSW/BOBRCPC6_cs.png","BOBRCPC6_A4")</f>
        <v>BOBRCPC6_A4</v>
      </c>
      <c r="B4833" t="str">
        <f>HYPERLINK("http://www.corstruth.com.au/NSW/PNG2/BOBRCPC6_cs.png","BOBRCPC6_0.25m Bins")</f>
        <v>BOBRCPC6_0.25m Bins</v>
      </c>
      <c r="C4833" t="str">
        <f>HYPERLINK("http://www.corstruth.com.au/NSW/CSV/BOBRCPC6.csv","BOBRCPC6_CSV File 1m Bins")</f>
        <v>BOBRCPC6_CSV File 1m Bins</v>
      </c>
      <c r="D4833" t="s">
        <v>3211</v>
      </c>
      <c r="E4833" t="s">
        <v>2198</v>
      </c>
      <c r="F4833" t="str">
        <f>HYPERLINK("http://dwh.geoscience.nsw.gov.au/CI/warehouse/raw/drillhole?project=MIN&amp;site_id=040146","Geol Survey Link")</f>
        <v>Geol Survey Link</v>
      </c>
      <c r="H4833" t="s">
        <v>3212</v>
      </c>
      <c r="I4833">
        <v>-32.301699999999997</v>
      </c>
      <c r="J4833">
        <v>146.69399999999999</v>
      </c>
      <c r="K4833" t="str">
        <f>HYPERLINK("http://nvcl.geoscience.nsw.gov.au/NVCLDataServices/mosaic.html?datasetid=19664e95-b914-425e-bc10-79013162fe8","BOBRCPC6_Core Image")</f>
        <v>BOBRCPC6_Core Image</v>
      </c>
    </row>
    <row r="4834" spans="1:11" x14ac:dyDescent="0.25">
      <c r="A4834" t="str">
        <f>HYPERLINK("http://www.corstruth.com.au/NSW/BOBRCPC6_Chips_cs.png","BOBRCPC6_Chips_A4")</f>
        <v>BOBRCPC6_Chips_A4</v>
      </c>
      <c r="B4834" t="str">
        <f>HYPERLINK("http://www.corstruth.com.au/NSW/PNG2/BOBRCPC6_Chips_cs.png","BOBRCPC6_Chips_0.25m Bins")</f>
        <v>BOBRCPC6_Chips_0.25m Bins</v>
      </c>
      <c r="C4834" t="str">
        <f>HYPERLINK("http://www.corstruth.com.au/NSW/CSV/BOBRCPC6_Chips.csv","BOBRCPC6_Chips_CSV File 1m Bins")</f>
        <v>BOBRCPC6_Chips_CSV File 1m Bins</v>
      </c>
      <c r="D4834" t="s">
        <v>3211</v>
      </c>
      <c r="E4834" t="s">
        <v>2198</v>
      </c>
      <c r="F4834" t="str">
        <f>HYPERLINK("http://dwh.geoscience.nsw.gov.au/CI/warehouse/raw/drillhole?project=MIN&amp;site_id=040146","Geol Survey Link")</f>
        <v>Geol Survey Link</v>
      </c>
      <c r="H4834" t="s">
        <v>3212</v>
      </c>
      <c r="I4834">
        <v>-32.301699999999997</v>
      </c>
      <c r="J4834">
        <v>146.69399999999999</v>
      </c>
    </row>
    <row r="4835" spans="1:11" x14ac:dyDescent="0.25">
      <c r="A4835" t="str">
        <f>HYPERLINK("http://www.corstruth.com.au/NSW/S_D6_cs.png","S_D6_A4")</f>
        <v>S_D6_A4</v>
      </c>
      <c r="B4835" t="str">
        <f>HYPERLINK("http://www.corstruth.com.au/NSW/PNG2/S_D6_cs.png","S_D6_0.25m Bins")</f>
        <v>S_D6_0.25m Bins</v>
      </c>
      <c r="C4835" t="str">
        <f>HYPERLINK("http://www.corstruth.com.au/NSW/CSV/S_D6.csv","S_D6_CSV File 1m Bins")</f>
        <v>S_D6_CSV File 1m Bins</v>
      </c>
      <c r="D4835" t="s">
        <v>3213</v>
      </c>
      <c r="E4835" t="s">
        <v>2198</v>
      </c>
      <c r="F4835" t="str">
        <f>HYPERLINK("http://dwh.geoscience.nsw.gov.au/CI/warehouse/raw/drillhole?project=MIN&amp;site_id=040693","Geol Survey Link")</f>
        <v>Geol Survey Link</v>
      </c>
      <c r="H4835" t="s">
        <v>3214</v>
      </c>
      <c r="I4835">
        <v>-32.515599999999999</v>
      </c>
      <c r="J4835">
        <v>145.86000000000001</v>
      </c>
      <c r="K4835" t="str">
        <f>HYPERLINK("http://nvcl.geoscience.nsw.gov.au/NVCLDataServices/mosaic.html?datasetid=54766706-dc4e-4e38-876f-9374ca2d5bb","S_D6_Core Image")</f>
        <v>S_D6_Core Image</v>
      </c>
    </row>
    <row r="4836" spans="1:11" x14ac:dyDescent="0.25">
      <c r="A4836" t="str">
        <f>HYPERLINK("http://www.corstruth.com.au/NSW/PE255D_cs.png","PE255D_A4")</f>
        <v>PE255D_A4</v>
      </c>
      <c r="B4836" t="str">
        <f>HYPERLINK("http://www.corstruth.com.au/NSW/PNG2/PE255D_cs.png","PE255D_0.25m Bins")</f>
        <v>PE255D_0.25m Bins</v>
      </c>
      <c r="C4836" t="str">
        <f>HYPERLINK("http://www.corstruth.com.au/NSW/CSV/PE255D.csv","PE255D_CSV File 1m Bins")</f>
        <v>PE255D_CSV File 1m Bins</v>
      </c>
      <c r="D4836" t="s">
        <v>3215</v>
      </c>
      <c r="E4836" t="s">
        <v>2198</v>
      </c>
      <c r="F4836" t="str">
        <f>HYPERLINK("http://dwh.geoscience.nsw.gov.au/CI/warehouse/raw/drillhole?project=MIN&amp;site_id=098089","Geol Survey Link")</f>
        <v>Geol Survey Link</v>
      </c>
      <c r="I4836">
        <v>-32.582599999999999</v>
      </c>
      <c r="J4836">
        <v>148.22399999999999</v>
      </c>
      <c r="K4836" t="str">
        <f>HYPERLINK("http://nvcl.geoscience.nsw.gov.au/NVCLDataServices/mosaic.html?datasetid=f3e7d862-39d4-4969-8c53-53415a8f644","PE255D_Core Image")</f>
        <v>PE255D_Core Image</v>
      </c>
    </row>
    <row r="4837" spans="1:11" x14ac:dyDescent="0.25">
      <c r="A4837" t="str">
        <f>HYPERLINK("http://www.corstruth.com.au/NSW/PE257D_cs.png","PE257D_A4")</f>
        <v>PE257D_A4</v>
      </c>
      <c r="B4837" t="str">
        <f>HYPERLINK("http://www.corstruth.com.au/NSW/PNG2/PE257D_cs.png","PE257D_0.25m Bins")</f>
        <v>PE257D_0.25m Bins</v>
      </c>
      <c r="C4837" t="str">
        <f>HYPERLINK("http://www.corstruth.com.au/NSW/CSV/PE257D.csv","PE257D_CSV File 1m Bins")</f>
        <v>PE257D_CSV File 1m Bins</v>
      </c>
      <c r="D4837" t="s">
        <v>3216</v>
      </c>
      <c r="E4837" t="s">
        <v>2198</v>
      </c>
      <c r="F4837" t="str">
        <f>HYPERLINK("http://dwh.geoscience.nsw.gov.au/CI/warehouse/raw/drillhole?project=MIN&amp;site_id=098091","Geol Survey Link")</f>
        <v>Geol Survey Link</v>
      </c>
      <c r="I4837">
        <v>-32.581200000000003</v>
      </c>
      <c r="J4837">
        <v>148.22399999999999</v>
      </c>
      <c r="K4837" t="str">
        <f>HYPERLINK("http://nvcl.geoscience.nsw.gov.au/NVCLDataServices/mosaic.html?datasetid=a8410fea-508f-402d-b7f6-a363530384f","PE257D_Core Image")</f>
        <v>PE257D_Core Image</v>
      </c>
    </row>
    <row r="4838" spans="1:11" x14ac:dyDescent="0.25">
      <c r="A4838" t="str">
        <f>HYPERLINK("http://www.corstruth.com.au/NSW/PE272D_cs.png","PE272D_A4")</f>
        <v>PE272D_A4</v>
      </c>
      <c r="B4838" t="str">
        <f>HYPERLINK("http://www.corstruth.com.au/NSW/PNG2/PE272D_cs.png","PE272D_0.25m Bins")</f>
        <v>PE272D_0.25m Bins</v>
      </c>
      <c r="C4838" t="str">
        <f>HYPERLINK("http://www.corstruth.com.au/NSW/CSV/PE272D.csv","PE272D_CSV File 1m Bins")</f>
        <v>PE272D_CSV File 1m Bins</v>
      </c>
      <c r="D4838" t="s">
        <v>3217</v>
      </c>
      <c r="E4838" t="s">
        <v>2198</v>
      </c>
      <c r="F4838" t="str">
        <f>HYPERLINK("http://dwh.geoscience.nsw.gov.au/CI/warehouse/raw/drillhole?project=MIN&amp;site_id=098106","Geol Survey Link")</f>
        <v>Geol Survey Link</v>
      </c>
      <c r="I4838">
        <v>-32.584200000000003</v>
      </c>
      <c r="J4838">
        <v>148.22399999999999</v>
      </c>
      <c r="K4838" t="str">
        <f>HYPERLINK("http://nvcl.geoscience.nsw.gov.au/NVCLDataServices/mosaic.html?datasetid=f44c86cc-0a1a-4bbc-ad72-978ba5640fb","PE272D_Core Image")</f>
        <v>PE272D_Core Image</v>
      </c>
    </row>
    <row r="4839" spans="1:11" x14ac:dyDescent="0.25">
      <c r="A4839" t="str">
        <f>HYPERLINK("http://www.corstruth.com.au/NSW/DDHW166_cs.png","DDHW166_A4")</f>
        <v>DDHW166_A4</v>
      </c>
      <c r="D4839" t="s">
        <v>3218</v>
      </c>
      <c r="E4839" t="s">
        <v>2198</v>
      </c>
      <c r="F4839" t="str">
        <f>HYPERLINK("http://dwh.geoscience.nsw.gov.au/CI/warehouse/raw/drillhole?project=MIN&amp;site_id=042423","Geol Survey Link")</f>
        <v>Geol Survey Link</v>
      </c>
      <c r="H4839" t="s">
        <v>3219</v>
      </c>
      <c r="I4839">
        <v>-35.057299999999998</v>
      </c>
      <c r="J4839">
        <v>149.559</v>
      </c>
      <c r="K4839" t="str">
        <f>HYPERLINK("http://nvcl.geoscience.nsw.gov.au/NVCLDataServices/mosaic.html?datasetid=4bac1831-bd7e-42c2-83ba-25271ab87f9","DDHW166_Core Image")</f>
        <v>DDHW166_Core Image</v>
      </c>
    </row>
    <row r="4840" spans="1:11" x14ac:dyDescent="0.25">
      <c r="A4840" t="str">
        <f>HYPERLINK("http://www.corstruth.com.au/NSW/UD14PE0362_cs.png","UD14PE0362_A4")</f>
        <v>UD14PE0362_A4</v>
      </c>
      <c r="B4840" t="str">
        <f>HYPERLINK("http://www.corstruth.com.au/NSW/PNG2/UD14PE0362_cs.png","UD14PE0362_0.25m Bins")</f>
        <v>UD14PE0362_0.25m Bins</v>
      </c>
      <c r="C4840" t="str">
        <f>HYPERLINK("http://www.corstruth.com.au/NSW/CSV/UD14PE0362.csv","UD14PE0362_CSV File 1m Bins")</f>
        <v>UD14PE0362_CSV File 1m Bins</v>
      </c>
      <c r="D4840" t="s">
        <v>3220</v>
      </c>
      <c r="E4840" t="s">
        <v>2198</v>
      </c>
      <c r="F4840" t="str">
        <f>HYPERLINK("http://dwh.geoscience.nsw.gov.au/CI/warehouse/raw/drillhole?project=MIN&amp;site_id=157020","Geol Survey Link")</f>
        <v>Geol Survey Link</v>
      </c>
      <c r="H4840" t="s">
        <v>3221</v>
      </c>
      <c r="I4840">
        <v>-31.571899999999999</v>
      </c>
      <c r="J4840">
        <v>145.881</v>
      </c>
      <c r="K4840" t="str">
        <f>HYPERLINK("http://nvcl.geoscience.nsw.gov.au/NVCLDataServices/mosaic.html?datasetid=c22557ef-a8ba-460f-84ac-a5c320f8d1e","UD14PE0362_Core Image")</f>
        <v>UD14PE0362_Core Image</v>
      </c>
    </row>
    <row r="4841" spans="1:11" x14ac:dyDescent="0.25">
      <c r="A4841" t="str">
        <f>HYPERLINK("http://www.corstruth.com.au/NSW/DD03PE0104_cs.png","DD03PE0104_A4")</f>
        <v>DD03PE0104_A4</v>
      </c>
      <c r="D4841" t="s">
        <v>3222</v>
      </c>
      <c r="E4841" t="s">
        <v>2198</v>
      </c>
      <c r="F4841" t="str">
        <f>HYPERLINK("http://dwh.geoscience.nsw.gov.au/CI/warehouse/raw/drillhole?project=MIN&amp;site_id=043866","Geol Survey Link")</f>
        <v>Geol Survey Link</v>
      </c>
      <c r="H4841" t="s">
        <v>3223</v>
      </c>
      <c r="I4841">
        <v>-31.5702</v>
      </c>
      <c r="J4841">
        <v>145.87799999999999</v>
      </c>
      <c r="K4841" t="str">
        <f>HYPERLINK("http://nvcl.geoscience.nsw.gov.au/NVCLDataServices/mosaic.html?datasetid=cf41f65b-b203-4dcb-96fa-2f69700ffdb","DD03PE0104_Core Image")</f>
        <v>DD03PE0104_Core Image</v>
      </c>
    </row>
    <row r="4842" spans="1:11" x14ac:dyDescent="0.25">
      <c r="A4842" t="str">
        <f>HYPERLINK("http://www.corstruth.com.au/NSW/DD07CH0046A_cs.png","DD07CH0046A_A4")</f>
        <v>DD07CH0046A_A4</v>
      </c>
      <c r="B4842" t="str">
        <f>HYPERLINK("http://www.corstruth.com.au/NSW/PNG2/DD07CH0046A_cs.png","DD07CH0046A_0.25m Bins")</f>
        <v>DD07CH0046A_0.25m Bins</v>
      </c>
      <c r="C4842" t="str">
        <f>HYPERLINK("http://www.corstruth.com.au/NSW/CSV/DD07CH0046A.csv","DD07CH0046A_CSV File 1m Bins")</f>
        <v>DD07CH0046A_CSV File 1m Bins</v>
      </c>
      <c r="D4842" t="s">
        <v>3224</v>
      </c>
      <c r="E4842" t="s">
        <v>2198</v>
      </c>
      <c r="F4842" t="str">
        <f>HYPERLINK("http://dwh.geoscience.nsw.gov.au/CI/warehouse/raw/drillhole?project=MIN&amp;site_id=229690","Geol Survey Link")</f>
        <v>Geol Survey Link</v>
      </c>
      <c r="H4842" t="s">
        <v>3223</v>
      </c>
      <c r="I4842">
        <v>-31.521699999999999</v>
      </c>
      <c r="J4842">
        <v>145.864</v>
      </c>
      <c r="K4842" t="str">
        <f>HYPERLINK("http://nvcl.geoscience.nsw.gov.au/NVCLDataServices/mosaic.html?datasetid=9efc476a-1c7a-484d-83e7-4edd01f2680","DD07CH0046A_Core Image")</f>
        <v>DD07CH0046A_Core Image</v>
      </c>
    </row>
    <row r="4843" spans="1:11" x14ac:dyDescent="0.25">
      <c r="A4843" t="str">
        <f>HYPERLINK("http://www.corstruth.com.au/NSW/DD09NC0099_cs.png","DD09NC0099_A4")</f>
        <v>DD09NC0099_A4</v>
      </c>
      <c r="B4843" t="str">
        <f>HYPERLINK("http://www.corstruth.com.au/NSW/PNG2/DD09NC0099_cs.png","DD09NC0099_0.25m Bins")</f>
        <v>DD09NC0099_0.25m Bins</v>
      </c>
      <c r="C4843" t="str">
        <f>HYPERLINK("http://www.corstruth.com.au/NSW/CSV/DD09NC0099.csv","DD09NC0099_CSV File 1m Bins")</f>
        <v>DD09NC0099_CSV File 1m Bins</v>
      </c>
      <c r="D4843" t="s">
        <v>3225</v>
      </c>
      <c r="E4843" t="s">
        <v>2198</v>
      </c>
      <c r="F4843" t="str">
        <f>HYPERLINK("http://dwh.geoscience.nsw.gov.au/CI/warehouse/raw/drillhole?project=MIN&amp;site_id=143888","Geol Survey Link")</f>
        <v>Geol Survey Link</v>
      </c>
      <c r="H4843" t="s">
        <v>3223</v>
      </c>
      <c r="I4843">
        <v>-31.513000000000002</v>
      </c>
      <c r="J4843">
        <v>145.857</v>
      </c>
      <c r="K4843" t="str">
        <f>HYPERLINK("http://nvcl.geoscience.nsw.gov.au/NVCLDataServices/mosaic.html?datasetid=f6a8d942-c17e-46ed-bad0-b3d7356ccca","DD09NC0099_Core Image")</f>
        <v>DD09NC0099_Core Image</v>
      </c>
    </row>
    <row r="4844" spans="1:11" x14ac:dyDescent="0.25">
      <c r="A4844" t="str">
        <f>HYPERLINK("http://www.corstruth.com.au/NSW/DD16DP0012_cs.png","DD16DP0012_A4")</f>
        <v>DD16DP0012_A4</v>
      </c>
      <c r="B4844" t="str">
        <f>HYPERLINK("http://www.corstruth.com.au/NSW/PNG2/DD16DP0012_cs.png","DD16DP0012_0.25m Bins")</f>
        <v>DD16DP0012_0.25m Bins</v>
      </c>
      <c r="C4844" t="str">
        <f>HYPERLINK("http://www.corstruth.com.au/NSW/CSV/DD16DP0012.csv","DD16DP0012_CSV File 1m Bins")</f>
        <v>DD16DP0012_CSV File 1m Bins</v>
      </c>
      <c r="D4844" t="s">
        <v>3226</v>
      </c>
      <c r="E4844" t="s">
        <v>2198</v>
      </c>
      <c r="F4844" t="str">
        <f>HYPERLINK("http://dwh.geoscience.nsw.gov.au/CI/warehouse/raw/drillhole?project=MIN&amp;site_id=229692","Geol Survey Link")</f>
        <v>Geol Survey Link</v>
      </c>
      <c r="H4844" t="s">
        <v>3223</v>
      </c>
      <c r="I4844">
        <v>-31.512799999999999</v>
      </c>
      <c r="J4844">
        <v>145.84800000000001</v>
      </c>
      <c r="K4844" t="str">
        <f>HYPERLINK("http://nvcl.geoscience.nsw.gov.au/NVCLDataServices/mosaic.html?datasetid=c10de14b-c99e-4b8c-a86d-59d2c6ead80","DD16DP0012_Core Image")</f>
        <v>DD16DP0012_Core Image</v>
      </c>
    </row>
    <row r="4845" spans="1:11" x14ac:dyDescent="0.25">
      <c r="A4845" t="str">
        <f>HYPERLINK("http://www.corstruth.com.au/NSW/UD02NO0032_cs.png","UD02NO0032_A4")</f>
        <v>UD02NO0032_A4</v>
      </c>
      <c r="B4845" t="str">
        <f>HYPERLINK("http://www.corstruth.com.au/NSW/PNG2/UD02NO0032_cs.png","UD02NO0032_0.25m Bins")</f>
        <v>UD02NO0032_0.25m Bins</v>
      </c>
      <c r="C4845" t="str">
        <f>HYPERLINK("http://www.corstruth.com.au/NSW/CSV/UD02NO0032.csv","UD02NO0032_CSV File 1m Bins")</f>
        <v>UD02NO0032_CSV File 1m Bins</v>
      </c>
      <c r="D4845" t="s">
        <v>3227</v>
      </c>
      <c r="E4845" t="s">
        <v>2198</v>
      </c>
      <c r="F4845" t="str">
        <f>HYPERLINK("http://dwh.geoscience.nsw.gov.au/CI/warehouse/raw/drillhole?project=MIN&amp;site_id=312031","Geol Survey Link")</f>
        <v>Geol Survey Link</v>
      </c>
      <c r="H4845" t="s">
        <v>3228</v>
      </c>
      <c r="I4845">
        <v>-31.5382</v>
      </c>
      <c r="J4845">
        <v>145.86500000000001</v>
      </c>
      <c r="K4845" t="str">
        <f>HYPERLINK("http://nvcl.geoscience.nsw.gov.au/NVCLDataServices/mosaic.html?datasetid=f556e548-d7db-4ba9-8236-5e791db1a25","UD02NO0032_Core Image")</f>
        <v>UD02NO0032_Core Image</v>
      </c>
    </row>
    <row r="4846" spans="1:11" x14ac:dyDescent="0.25">
      <c r="A4846" t="str">
        <f>HYPERLINK("http://www.corstruth.com.au/NSW/UD05PE0130_cs.png","UD05PE0130_A4")</f>
        <v>UD05PE0130_A4</v>
      </c>
      <c r="D4846" t="s">
        <v>3229</v>
      </c>
      <c r="E4846" t="s">
        <v>2198</v>
      </c>
      <c r="F4846" t="str">
        <f>HYPERLINK("http://dwh.geoscience.nsw.gov.au/CI/warehouse/raw/drillhole?project=MIN&amp;site_id=110969","Geol Survey Link")</f>
        <v>Geol Survey Link</v>
      </c>
      <c r="H4846" t="s">
        <v>3223</v>
      </c>
      <c r="I4846">
        <v>-31.570699999999999</v>
      </c>
      <c r="J4846">
        <v>145.87899999999999</v>
      </c>
      <c r="K4846" t="str">
        <f>HYPERLINK("http://nvcl.geoscience.nsw.gov.au/NVCLDataServices/mosaic.html?datasetid=8348cbe3-16c8-4b7e-8057-c736cf55715","UD05PE0130_Core Image")</f>
        <v>UD05PE0130_Core Image</v>
      </c>
    </row>
    <row r="4847" spans="1:11" x14ac:dyDescent="0.25">
      <c r="A4847" t="str">
        <f>HYPERLINK("http://www.corstruth.com.au/NSW/XD06PE0137_cs.png","XD06PE0137_A4")</f>
        <v>XD06PE0137_A4</v>
      </c>
      <c r="D4847" t="s">
        <v>3230</v>
      </c>
      <c r="E4847" t="s">
        <v>2198</v>
      </c>
      <c r="F4847" t="str">
        <f>HYPERLINK("http://dwh.geoscience.nsw.gov.au/CI/warehouse/raw/drillhole?project=MIN&amp;site_id=043865","Geol Survey Link")</f>
        <v>Geol Survey Link</v>
      </c>
      <c r="H4847" t="s">
        <v>3223</v>
      </c>
      <c r="I4847">
        <v>-31.571999999999999</v>
      </c>
      <c r="J4847">
        <v>145.881</v>
      </c>
      <c r="K4847" t="str">
        <f>HYPERLINK("http://nvcl.geoscience.nsw.gov.au/NVCLDataServices/mosaic.html?datasetid=f17667ac-ad10-4921-bee9-1af899d8ff9","XD06PE0137_Core Image")</f>
        <v>XD06PE0137_Core Image</v>
      </c>
    </row>
    <row r="4848" spans="1:11" x14ac:dyDescent="0.25">
      <c r="A4848" t="str">
        <f>HYPERLINK("http://www.corstruth.com.au/NSW/XD06PE0194_cs.png","XD06PE0194_A4")</f>
        <v>XD06PE0194_A4</v>
      </c>
      <c r="D4848" t="s">
        <v>3231</v>
      </c>
      <c r="E4848" t="s">
        <v>2198</v>
      </c>
      <c r="F4848" t="str">
        <f>HYPERLINK("http://dwh.geoscience.nsw.gov.au/CI/warehouse/raw/drillhole?project=MIN&amp;site_id=043867","Geol Survey Link")</f>
        <v>Geol Survey Link</v>
      </c>
      <c r="H4848" t="s">
        <v>3223</v>
      </c>
      <c r="I4848">
        <v>-31.571999999999999</v>
      </c>
      <c r="J4848">
        <v>145.881</v>
      </c>
      <c r="K4848" t="str">
        <f>HYPERLINK("http://nvcl.geoscience.nsw.gov.au/NVCLDataServices/mosaic.html?datasetid=d229369b-37ef-4903-92db-8045583dfb8","XD06PE0194_Core Image")</f>
        <v>XD06PE0194_Core Image</v>
      </c>
    </row>
    <row r="4849" spans="1:11" x14ac:dyDescent="0.25">
      <c r="A4849" t="str">
        <f>HYPERLINK("http://www.corstruth.com.au/NSW/UD16PE0464_cs.png","UD16PE0464_A4")</f>
        <v>UD16PE0464_A4</v>
      </c>
      <c r="B4849" t="str">
        <f>HYPERLINK("http://www.corstruth.com.au/NSW/PNG2/UD16PE0464_cs.png","UD16PE0464_0.25m Bins")</f>
        <v>UD16PE0464_0.25m Bins</v>
      </c>
      <c r="C4849" t="str">
        <f>HYPERLINK("http://www.corstruth.com.au/NSW/CSV/UD16PE0464.csv","UD16PE0464_CSV File 1m Bins")</f>
        <v>UD16PE0464_CSV File 1m Bins</v>
      </c>
      <c r="D4849" t="s">
        <v>3232</v>
      </c>
      <c r="E4849" t="s">
        <v>2198</v>
      </c>
      <c r="F4849" t="str">
        <f>HYPERLINK("http://dwh.geoscience.nsw.gov.au/CI/warehouse/raw/drillhole?project=MIN&amp;site_id=229691","Geol Survey Link")</f>
        <v>Geol Survey Link</v>
      </c>
      <c r="H4849" t="s">
        <v>3233</v>
      </c>
      <c r="I4849">
        <v>-31.569800000000001</v>
      </c>
      <c r="J4849">
        <v>145.87799999999999</v>
      </c>
      <c r="K4849" t="str">
        <f>HYPERLINK("http://nvcl.geoscience.nsw.gov.au/NVCLDataServices/mosaic.html?datasetid=917abef2-83fd-481c-93c0-edf15cb678f","UD16PE0464_Core Image")</f>
        <v>UD16PE0464_Core Image</v>
      </c>
    </row>
    <row r="4850" spans="1:11" x14ac:dyDescent="0.25">
      <c r="A4850" t="str">
        <f>HYPERLINK("http://www.corstruth.com.au/NSW/UD07PE0184_cs.png","UD07PE0184_A4")</f>
        <v>UD07PE0184_A4</v>
      </c>
      <c r="B4850" t="str">
        <f>HYPERLINK("http://www.corstruth.com.au/NSW/PNG2/UD07PE0184_cs.png","UD07PE0184_0.25m Bins")</f>
        <v>UD07PE0184_0.25m Bins</v>
      </c>
      <c r="C4850" t="str">
        <f>HYPERLINK("http://www.corstruth.com.au/NSW/CSV/UD07PE0184.csv","UD07PE0184_CSV File 1m Bins")</f>
        <v>UD07PE0184_CSV File 1m Bins</v>
      </c>
      <c r="D4850" t="s">
        <v>3234</v>
      </c>
      <c r="E4850" t="s">
        <v>2198</v>
      </c>
      <c r="F4850" t="str">
        <f>HYPERLINK("http://dwh.geoscience.nsw.gov.au/CI/warehouse/raw/drillhole?project=MIN&amp;site_id=312048","Geol Survey Link")</f>
        <v>Geol Survey Link</v>
      </c>
      <c r="H4850" t="s">
        <v>3235</v>
      </c>
      <c r="I4850">
        <v>-31.572800000000001</v>
      </c>
      <c r="J4850">
        <v>145.88200000000001</v>
      </c>
      <c r="K4850" t="str">
        <f>HYPERLINK("http://nvcl.geoscience.nsw.gov.au/NVCLDataServices/mosaic.html?datasetid=5687e792-0316-46b7-b93d-a56f46c3133","UD07PE0184_Core Image")</f>
        <v>UD07PE0184_Core Image</v>
      </c>
    </row>
    <row r="4851" spans="1:11" x14ac:dyDescent="0.25">
      <c r="A4851" t="str">
        <f>HYPERLINK("http://www.corstruth.com.au/NSW/RD86PO16_cs.png","RD86PO16_A4")</f>
        <v>RD86PO16_A4</v>
      </c>
      <c r="B4851" t="str">
        <f>HYPERLINK("http://www.corstruth.com.au/NSW/PNG2/RD86PO16_cs.png","RD86PO16_0.25m Bins")</f>
        <v>RD86PO16_0.25m Bins</v>
      </c>
      <c r="C4851" t="str">
        <f>HYPERLINK("http://www.corstruth.com.au/NSW/CSV/RD86PO16.csv","RD86PO16_CSV File 1m Bins")</f>
        <v>RD86PO16_CSV File 1m Bins</v>
      </c>
      <c r="D4851" t="s">
        <v>3236</v>
      </c>
      <c r="E4851" t="s">
        <v>2198</v>
      </c>
      <c r="F4851" t="str">
        <f>HYPERLINK("http://dwh.geoscience.nsw.gov.au/CI/warehouse/raw/drillhole?project=MIN&amp;site_id=001587","Geol Survey Link")</f>
        <v>Geol Survey Link</v>
      </c>
      <c r="H4851" t="s">
        <v>3237</v>
      </c>
      <c r="I4851">
        <v>-31.674900000000001</v>
      </c>
      <c r="J4851">
        <v>141.09399999999999</v>
      </c>
      <c r="K4851" t="str">
        <f>HYPERLINK("http://nvcl.geoscience.nsw.gov.au/NVCLDataServices/mosaic.html?datasetid=dc60fc2c-61f9-43a7-8d6c-734d9ead23b","RD86PO16_Core Image")</f>
        <v>RD86PO16_Core Image</v>
      </c>
    </row>
    <row r="4852" spans="1:11" x14ac:dyDescent="0.25">
      <c r="A4852" t="str">
        <f>HYPERLINK("http://www.corstruth.com.au/NSW/RD85PO6_cs.png","RD85PO6_A4")</f>
        <v>RD85PO6_A4</v>
      </c>
      <c r="B4852" t="str">
        <f>HYPERLINK("http://www.corstruth.com.au/NSW/PNG2/RD85PO6_cs.png","RD85PO6_0.25m Bins")</f>
        <v>RD85PO6_0.25m Bins</v>
      </c>
      <c r="C4852" t="str">
        <f>HYPERLINK("http://www.corstruth.com.au/NSW/CSV/RD85PO6.csv","RD85PO6_CSV File 1m Bins")</f>
        <v>RD85PO6_CSV File 1m Bins</v>
      </c>
      <c r="D4852" t="s">
        <v>3238</v>
      </c>
      <c r="E4852" t="s">
        <v>2198</v>
      </c>
      <c r="F4852" t="str">
        <f>HYPERLINK("http://dwh.geoscience.nsw.gov.au/CI/warehouse/raw/drillhole?project=MIN&amp;site_id=001576","Geol Survey Link")</f>
        <v>Geol Survey Link</v>
      </c>
      <c r="H4852" t="s">
        <v>3239</v>
      </c>
      <c r="I4852">
        <v>-31.674499999999998</v>
      </c>
      <c r="J4852">
        <v>141.041</v>
      </c>
      <c r="K4852" t="str">
        <f>HYPERLINK("http://nvcl.geoscience.nsw.gov.au/NVCLDataServices/mosaic.html?datasetid=2f572b1c-b881-4e53-8b41-0f44ff28c2b","RD85PO6_Core Image")</f>
        <v>RD85PO6_Core Image</v>
      </c>
    </row>
    <row r="4853" spans="1:11" x14ac:dyDescent="0.25">
      <c r="A4853" t="str">
        <f>HYPERLINK("http://www.corstruth.com.au/NSW/TARD65_cs.png","TARD65_A4")</f>
        <v>TARD65_A4</v>
      </c>
      <c r="B4853" t="str">
        <f>HYPERLINK("http://www.corstruth.com.au/NSW/PNG2/TARD65_cs.png","TARD65_0.25m Bins")</f>
        <v>TARD65_0.25m Bins</v>
      </c>
      <c r="C4853" t="str">
        <f>HYPERLINK("http://www.corstruth.com.au/NSW/CSV/TARD65.csv","TARD65_CSV File 1m Bins")</f>
        <v>TARD65_CSV File 1m Bins</v>
      </c>
      <c r="D4853" t="s">
        <v>3240</v>
      </c>
      <c r="E4853" t="s">
        <v>2198</v>
      </c>
      <c r="F4853" t="str">
        <f>HYPERLINK("http://dwh.geoscience.nsw.gov.au/CI/warehouse/raw/drillhole?project=MIN&amp;site_id=020672","Geol Survey Link")</f>
        <v>Geol Survey Link</v>
      </c>
      <c r="H4853" t="s">
        <v>3241</v>
      </c>
      <c r="I4853">
        <v>-33.741300000000003</v>
      </c>
      <c r="J4853">
        <v>147.65600000000001</v>
      </c>
      <c r="K4853" t="str">
        <f>HYPERLINK("http://nvcl.geoscience.nsw.gov.au/NVCLDataServices/mosaic.html?datasetid=44ead90b-c63f-46ce-8e84-ff0b71a9da7","TARD65_Core Image")</f>
        <v>TARD65_Core Image</v>
      </c>
    </row>
    <row r="4854" spans="1:11" x14ac:dyDescent="0.25">
      <c r="A4854" t="str">
        <f>HYPERLINK("http://www.corstruth.com.au/NSW/TARD83_cs.png","TARD83_A4")</f>
        <v>TARD83_A4</v>
      </c>
      <c r="B4854" t="str">
        <f>HYPERLINK("http://www.corstruth.com.au/NSW/PNG2/TARD83_cs.png","TARD83_0.25m Bins")</f>
        <v>TARD83_0.25m Bins</v>
      </c>
      <c r="C4854" t="str">
        <f>HYPERLINK("http://www.corstruth.com.au/NSW/CSV/TARD83.csv","TARD83_CSV File 1m Bins")</f>
        <v>TARD83_CSV File 1m Bins</v>
      </c>
      <c r="D4854" t="s">
        <v>3242</v>
      </c>
      <c r="E4854" t="s">
        <v>2198</v>
      </c>
      <c r="F4854" t="str">
        <f>HYPERLINK("http://dwh.geoscience.nsw.gov.au/CI/warehouse/raw/drillhole?project=MIN&amp;site_id=020690","Geol Survey Link")</f>
        <v>Geol Survey Link</v>
      </c>
      <c r="H4854" t="s">
        <v>3243</v>
      </c>
      <c r="I4854">
        <v>-33.736800000000002</v>
      </c>
      <c r="J4854">
        <v>147.65600000000001</v>
      </c>
      <c r="K4854" t="str">
        <f>HYPERLINK("http://nvcl.geoscience.nsw.gov.au/NVCLDataServices/mosaic.html?datasetid=4d7e61a4-fd9b-405b-a1e9-bfbb8f69612","TARD83_Core Image")</f>
        <v>TARD83_Core Image</v>
      </c>
    </row>
    <row r="4855" spans="1:11" x14ac:dyDescent="0.25">
      <c r="A4855" t="str">
        <f>HYPERLINK("http://www.corstruth.com.au/NSW/TARD84_cs.png","TARD84_A4")</f>
        <v>TARD84_A4</v>
      </c>
      <c r="B4855" t="str">
        <f>HYPERLINK("http://www.corstruth.com.au/NSW/PNG2/TARD84_cs.png","TARD84_0.25m Bins")</f>
        <v>TARD84_0.25m Bins</v>
      </c>
      <c r="C4855" t="str">
        <f>HYPERLINK("http://www.corstruth.com.au/NSW/CSV/TARD84.csv","TARD84_CSV File 1m Bins")</f>
        <v>TARD84_CSV File 1m Bins</v>
      </c>
      <c r="D4855" t="s">
        <v>3244</v>
      </c>
      <c r="E4855" t="s">
        <v>2198</v>
      </c>
      <c r="F4855" t="str">
        <f>HYPERLINK("http://dwh.geoscience.nsw.gov.au/CI/warehouse/raw/drillhole?project=MIN&amp;site_id=020691","Geol Survey Link")</f>
        <v>Geol Survey Link</v>
      </c>
      <c r="H4855" t="s">
        <v>3245</v>
      </c>
      <c r="I4855">
        <v>-33.736899999999999</v>
      </c>
      <c r="J4855">
        <v>147.65799999999999</v>
      </c>
      <c r="K4855" t="str">
        <f>HYPERLINK("http://nvcl.geoscience.nsw.gov.au/NVCLDataServices/mosaic.html?datasetid=572a13e6-c23e-445b-bd72-36737ec200e","TARD84_Core Image")</f>
        <v>TARD84_Core Image</v>
      </c>
    </row>
    <row r="4856" spans="1:11" x14ac:dyDescent="0.25">
      <c r="A4856" t="str">
        <f>HYPERLINK("http://www.corstruth.com.au/NSW/TARD85_cs.png","TARD85_A4")</f>
        <v>TARD85_A4</v>
      </c>
      <c r="B4856" t="str">
        <f>HYPERLINK("http://www.corstruth.com.au/NSW/PNG2/TARD85_cs.png","TARD85_0.25m Bins")</f>
        <v>TARD85_0.25m Bins</v>
      </c>
      <c r="C4856" t="str">
        <f>HYPERLINK("http://www.corstruth.com.au/NSW/CSV/TARD85.csv","TARD85_CSV File 1m Bins")</f>
        <v>TARD85_CSV File 1m Bins</v>
      </c>
      <c r="D4856" t="s">
        <v>3246</v>
      </c>
      <c r="E4856" t="s">
        <v>2198</v>
      </c>
      <c r="F4856" t="str">
        <f>HYPERLINK("http://dwh.geoscience.nsw.gov.au/CI/warehouse/raw/drillhole?project=MIN&amp;site_id=020692","Geol Survey Link")</f>
        <v>Geol Survey Link</v>
      </c>
      <c r="H4856" t="s">
        <v>3247</v>
      </c>
      <c r="I4856">
        <v>-33.737699999999997</v>
      </c>
      <c r="J4856">
        <v>147.65600000000001</v>
      </c>
      <c r="K4856" t="str">
        <f>HYPERLINK("http://nvcl.geoscience.nsw.gov.au/NVCLDataServices/mosaic.html?datasetid=db5a86dd-89de-4439-94b5-d89f2a3f516","TARD85_Core Image")</f>
        <v>TARD85_Core Image</v>
      </c>
    </row>
    <row r="4857" spans="1:11" x14ac:dyDescent="0.25">
      <c r="A4857" t="str">
        <f>HYPERLINK("http://www.corstruth.com.au/NSW/TARD86_cs.png","TARD86_A4")</f>
        <v>TARD86_A4</v>
      </c>
      <c r="B4857" t="str">
        <f>HYPERLINK("http://www.corstruth.com.au/NSW/PNG2/TARD86_cs.png","TARD86_0.25m Bins")</f>
        <v>TARD86_0.25m Bins</v>
      </c>
      <c r="C4857" t="str">
        <f>HYPERLINK("http://www.corstruth.com.au/NSW/CSV/TARD86.csv","TARD86_CSV File 1m Bins")</f>
        <v>TARD86_CSV File 1m Bins</v>
      </c>
      <c r="D4857" t="s">
        <v>3248</v>
      </c>
      <c r="E4857" t="s">
        <v>2198</v>
      </c>
      <c r="F4857" t="str">
        <f>HYPERLINK("http://dwh.geoscience.nsw.gov.au/CI/warehouse/raw/drillhole?project=MIN&amp;site_id=020693","Geol Survey Link")</f>
        <v>Geol Survey Link</v>
      </c>
      <c r="H4857" t="s">
        <v>3249</v>
      </c>
      <c r="I4857">
        <v>-33.7378</v>
      </c>
      <c r="J4857">
        <v>147.65799999999999</v>
      </c>
      <c r="K4857" t="str">
        <f>HYPERLINK("http://nvcl.geoscience.nsw.gov.au/NVCLDataServices/mosaic.html?datasetid=188fda88-a0ab-49e2-b346-97985096911","TARD86_Core Image")</f>
        <v>TARD86_Core Image</v>
      </c>
    </row>
    <row r="4858" spans="1:11" x14ac:dyDescent="0.25">
      <c r="A4858" t="str">
        <f>HYPERLINK("http://www.corstruth.com.au/NSW/PMD001_cs.png","PMD001_A4")</f>
        <v>PMD001_A4</v>
      </c>
      <c r="B4858" t="str">
        <f>HYPERLINK("http://www.corstruth.com.au/NSW/PNG2/PMD001_cs.png","PMD001_0.25m Bins")</f>
        <v>PMD001_0.25m Bins</v>
      </c>
      <c r="C4858" t="str">
        <f>HYPERLINK("http://www.corstruth.com.au/NSW/CSV/PMD001.csv","PMD001_CSV File 1m Bins")</f>
        <v>PMD001_CSV File 1m Bins</v>
      </c>
      <c r="D4858" t="s">
        <v>3250</v>
      </c>
      <c r="E4858" t="s">
        <v>2198</v>
      </c>
      <c r="F4858" t="str">
        <f>HYPERLINK("http://dwh.geoscience.nsw.gov.au/CI/warehouse/raw/drillhole?project=MIN&amp;site_id=099123","Geol Survey Link")</f>
        <v>Geol Survey Link</v>
      </c>
      <c r="H4858" t="s">
        <v>3251</v>
      </c>
      <c r="I4858">
        <v>-33.7363</v>
      </c>
      <c r="J4858">
        <v>147.66499999999999</v>
      </c>
      <c r="K4858" t="str">
        <f>HYPERLINK("http://nvcl.geoscience.nsw.gov.au/NVCLDataServices/mosaic.html?datasetid=87b5b6e8-543c-40c6-a33d-046f74af241","PMD001_Core Image")</f>
        <v>PMD001_Core Image</v>
      </c>
    </row>
    <row r="4859" spans="1:11" x14ac:dyDescent="0.25">
      <c r="A4859" t="str">
        <f>HYPERLINK("http://www.corstruth.com.au/NSW/DD80PYH1_cs.png","DD80PYH1_A4")</f>
        <v>DD80PYH1_A4</v>
      </c>
      <c r="B4859" t="str">
        <f>HYPERLINK("http://www.corstruth.com.au/NSW/PNG2/DD80PYH1_cs.png","DD80PYH1_0.25m Bins")</f>
        <v>DD80PYH1_0.25m Bins</v>
      </c>
      <c r="C4859" t="str">
        <f>HYPERLINK("http://www.corstruth.com.au/NSW/CSV/DD80PYH1.csv","DD80PYH1_CSV File 1m Bins")</f>
        <v>DD80PYH1_CSV File 1m Bins</v>
      </c>
      <c r="D4859" t="s">
        <v>3252</v>
      </c>
      <c r="E4859" t="s">
        <v>2198</v>
      </c>
      <c r="F4859" t="str">
        <f>HYPERLINK("http://dwh.geoscience.nsw.gov.au/CI/warehouse/raw/drillhole?project=MIN&amp;site_id=002470","Geol Survey Link")</f>
        <v>Geol Survey Link</v>
      </c>
      <c r="H4859" t="s">
        <v>3253</v>
      </c>
      <c r="I4859">
        <v>-32.090200000000003</v>
      </c>
      <c r="J4859">
        <v>141.19300000000001</v>
      </c>
      <c r="K4859" t="str">
        <f>HYPERLINK("http://nvcl.geoscience.nsw.gov.au/NVCLDataServices/mosaic.html?datasetid=a7ad7b58-2eba-4176-b656-508d2802a69","DD80PYH1_Core Image")</f>
        <v>DD80PYH1_Core Image</v>
      </c>
    </row>
    <row r="4860" spans="1:11" x14ac:dyDescent="0.25">
      <c r="A4860" t="str">
        <f>HYPERLINK("http://www.corstruth.com.au/NSW/DD80PYH13_cs.png","DD80PYH13_A4")</f>
        <v>DD80PYH13_A4</v>
      </c>
      <c r="B4860" t="str">
        <f>HYPERLINK("http://www.corstruth.com.au/NSW/PNG2/DD80PYH13_cs.png","DD80PYH13_0.25m Bins")</f>
        <v>DD80PYH13_0.25m Bins</v>
      </c>
      <c r="C4860" t="str">
        <f>HYPERLINK("http://www.corstruth.com.au/NSW/CSV/DD80PYH13.csv","DD80PYH13_CSV File 1m Bins")</f>
        <v>DD80PYH13_CSV File 1m Bins</v>
      </c>
      <c r="D4860" t="s">
        <v>3254</v>
      </c>
      <c r="E4860" t="s">
        <v>2198</v>
      </c>
      <c r="F4860" t="str">
        <f>HYPERLINK("http://dwh.geoscience.nsw.gov.au/CI/warehouse/raw/drillhole?project=MIN&amp;site_id=002482","Geol Survey Link")</f>
        <v>Geol Survey Link</v>
      </c>
      <c r="H4860" t="s">
        <v>3253</v>
      </c>
      <c r="I4860">
        <v>-32.094799999999999</v>
      </c>
      <c r="J4860">
        <v>141.19499999999999</v>
      </c>
      <c r="K4860" t="str">
        <f>HYPERLINK("http://nvcl.geoscience.nsw.gov.au/NVCLDataServices/mosaic.html?datasetid=a10a0bbb-6c6c-4d41-870e-480316fd4b8","DD80PYH13_Core Image")</f>
        <v>DD80PYH13_Core Image</v>
      </c>
    </row>
    <row r="4861" spans="1:11" x14ac:dyDescent="0.25">
      <c r="A4861" t="str">
        <f>HYPERLINK("http://www.corstruth.com.au/NSW/DD80PYH2_cs.png","DD80PYH2_A4")</f>
        <v>DD80PYH2_A4</v>
      </c>
      <c r="B4861" t="str">
        <f>HYPERLINK("http://www.corstruth.com.au/NSW/PNG2/DD80PYH2_cs.png","DD80PYH2_0.25m Bins")</f>
        <v>DD80PYH2_0.25m Bins</v>
      </c>
      <c r="C4861" t="str">
        <f>HYPERLINK("http://www.corstruth.com.au/NSW/CSV/DD80PYH2.csv","DD80PYH2_CSV File 1m Bins")</f>
        <v>DD80PYH2_CSV File 1m Bins</v>
      </c>
      <c r="D4861" t="s">
        <v>3255</v>
      </c>
      <c r="E4861" t="s">
        <v>2198</v>
      </c>
      <c r="F4861" t="str">
        <f>HYPERLINK("http://dwh.geoscience.nsw.gov.au/CI/warehouse/raw/drillhole?project=MIN&amp;site_id=002471","Geol Survey Link")</f>
        <v>Geol Survey Link</v>
      </c>
      <c r="H4861" t="s">
        <v>3253</v>
      </c>
      <c r="I4861">
        <v>-32.090200000000003</v>
      </c>
      <c r="J4861">
        <v>141.19399999999999</v>
      </c>
      <c r="K4861" t="str">
        <f>HYPERLINK("http://nvcl.geoscience.nsw.gov.au/NVCLDataServices/mosaic.html?datasetid=4c836e6f-0eb7-4a04-b571-f3a369d00aa","DD80PYH2_Core Image")</f>
        <v>DD80PYH2_Core Image</v>
      </c>
    </row>
    <row r="4862" spans="1:11" x14ac:dyDescent="0.25">
      <c r="A4862" t="str">
        <f>HYPERLINK("http://www.corstruth.com.au/NSW/DD80PYH4_cs.png","DD80PYH4_A4")</f>
        <v>DD80PYH4_A4</v>
      </c>
      <c r="B4862" t="str">
        <f>HYPERLINK("http://www.corstruth.com.au/NSW/PNG2/DD80PYH4_cs.png","DD80PYH4_0.25m Bins")</f>
        <v>DD80PYH4_0.25m Bins</v>
      </c>
      <c r="C4862" t="str">
        <f>HYPERLINK("http://www.corstruth.com.au/NSW/CSV/DD80PYH4.csv","DD80PYH4_CSV File 1m Bins")</f>
        <v>DD80PYH4_CSV File 1m Bins</v>
      </c>
      <c r="D4862" t="s">
        <v>3256</v>
      </c>
      <c r="E4862" t="s">
        <v>2198</v>
      </c>
      <c r="F4862" t="str">
        <f>HYPERLINK("http://dwh.geoscience.nsw.gov.au/CI/warehouse/raw/drillhole?project=MIN&amp;site_id=002473","Geol Survey Link")</f>
        <v>Geol Survey Link</v>
      </c>
      <c r="H4862" t="s">
        <v>3253</v>
      </c>
      <c r="I4862">
        <v>-32.093600000000002</v>
      </c>
      <c r="J4862">
        <v>141.19399999999999</v>
      </c>
      <c r="K4862" t="str">
        <f>HYPERLINK("http://nvcl.geoscience.nsw.gov.au/NVCLDataServices/mosaic.html?datasetid=1d2b42d5-bf6e-4c29-976b-4b32440b824","DD80PYH4_Core Image")</f>
        <v>DD80PYH4_Core Image</v>
      </c>
    </row>
    <row r="4863" spans="1:11" x14ac:dyDescent="0.25">
      <c r="A4863" t="str">
        <f>HYPERLINK("http://www.corstruth.com.au/NSW/DD08QB0024A_cs.png","DD08QB0024A_A4")</f>
        <v>DD08QB0024A_A4</v>
      </c>
      <c r="B4863" t="str">
        <f>HYPERLINK("http://www.corstruth.com.au/NSW/PNG2/DD08QB0024A_cs.png","DD08QB0024A_0.25m Bins")</f>
        <v>DD08QB0024A_0.25m Bins</v>
      </c>
      <c r="C4863" t="str">
        <f>HYPERLINK("http://www.corstruth.com.au/NSW/CSV/DD08QB0024A.csv","DD08QB0024A_CSV File 1m Bins")</f>
        <v>DD08QB0024A_CSV File 1m Bins</v>
      </c>
      <c r="D4863" t="s">
        <v>3257</v>
      </c>
      <c r="E4863" t="s">
        <v>2198</v>
      </c>
      <c r="F4863" t="str">
        <f>HYPERLINK("http://dwh.geoscience.nsw.gov.au/CI/warehouse/raw/drillhole?project=MIN&amp;site_id=068787","Geol Survey Link")</f>
        <v>Geol Survey Link</v>
      </c>
      <c r="H4863" t="s">
        <v>3258</v>
      </c>
      <c r="I4863">
        <v>-31.616199999999999</v>
      </c>
      <c r="J4863">
        <v>145.95500000000001</v>
      </c>
      <c r="K4863" t="str">
        <f>HYPERLINK("http://nvcl.geoscience.nsw.gov.au/NVCLDataServices/mosaic.html?datasetid=fcca096c-adc4-40d1-864a-ee757d20c17","DD08QB0024A_Core Image")</f>
        <v>DD08QB0024A_Core Image</v>
      </c>
    </row>
    <row r="4864" spans="1:11" x14ac:dyDescent="0.25">
      <c r="A4864" t="str">
        <f>HYPERLINK("http://www.corstruth.com.au/NSW/QXD001_cs.png","QXD001_A4")</f>
        <v>QXD001_A4</v>
      </c>
      <c r="D4864" t="s">
        <v>3259</v>
      </c>
      <c r="E4864" t="s">
        <v>2198</v>
      </c>
      <c r="F4864" t="str">
        <f>HYPERLINK("http://dwh.geoscience.nsw.gov.au/CI/warehouse/raw/drillhole?project=MIN&amp;site_id=017837","Geol Survey Link")</f>
        <v>Geol Survey Link</v>
      </c>
      <c r="H4864" t="s">
        <v>3260</v>
      </c>
      <c r="I4864">
        <v>-33.109000000000002</v>
      </c>
      <c r="J4864">
        <v>149.68199999999999</v>
      </c>
      <c r="K4864" t="str">
        <f>HYPERLINK("http://nvcl.geoscience.nsw.gov.au/NVCLDataServices/mosaic.html?datasetid=bc3336be-f916-4bb7-8171-1d77c57be56","QXD001_Core Image")</f>
        <v>QXD001_Core Image</v>
      </c>
    </row>
    <row r="4865" spans="1:11" x14ac:dyDescent="0.25">
      <c r="A4865" t="str">
        <f>HYPERLINK("http://www.corstruth.com.au/NSW/RSDP_Merriwa_1_cs.png","RSDP Merriwa 1_A4")</f>
        <v>RSDP Merriwa 1_A4</v>
      </c>
      <c r="D4865" t="s">
        <v>3261</v>
      </c>
      <c r="E4865" t="s">
        <v>2198</v>
      </c>
      <c r="F4865" t="str">
        <f>HYPERLINK("http://dwh.geoscience.nsw.gov.au/CI/warehouse/raw/drillhole?project=PET&amp;site_id=000551","Geol Survey Link")</f>
        <v>Geol Survey Link</v>
      </c>
      <c r="H4865" t="s">
        <v>3262</v>
      </c>
      <c r="I4865">
        <v>-32.067500000000003</v>
      </c>
      <c r="J4865">
        <v>150.244</v>
      </c>
    </row>
    <row r="4866" spans="1:11" x14ac:dyDescent="0.25">
      <c r="A4866" t="str">
        <f>HYPERLINK("http://www.corstruth.com.au/NSW/RSDP_Munmorah_1_cs.png","RSDP Munmorah 1_A4")</f>
        <v>RSDP Munmorah 1_A4</v>
      </c>
      <c r="B4866" t="str">
        <f>HYPERLINK("http://www.corstruth.com.au/NSW/PNG2/RSDP_Munmorah_1_cs.png","RSDP Munmorah 1_0.25m Bins")</f>
        <v>RSDP Munmorah 1_0.25m Bins</v>
      </c>
      <c r="C4866" t="str">
        <f>HYPERLINK("http://www.corstruth.com.au/NSW/CSV/RSDP_Munmorah_1.csv","RSDP Munmorah 1_CSV File 1m Bins")</f>
        <v>RSDP Munmorah 1_CSV File 1m Bins</v>
      </c>
      <c r="D4866" t="s">
        <v>3263</v>
      </c>
      <c r="E4866" t="s">
        <v>2198</v>
      </c>
      <c r="F4866" t="str">
        <f>HYPERLINK("http://dwh.geoscience.nsw.gov.au/CI/warehouse/raw/drillhole?project=PET&amp;site_id=000708","Geol Survey Link")</f>
        <v>Geol Survey Link</v>
      </c>
      <c r="H4866" t="s">
        <v>3264</v>
      </c>
      <c r="I4866">
        <v>-33.212400000000002</v>
      </c>
      <c r="J4866">
        <v>151.54300000000001</v>
      </c>
      <c r="K4866" t="str">
        <f>HYPERLINK("http://nvcl.geoscience.nsw.gov.au/NVCLDataServices/mosaic.html?datasetid=6a24388d-3692-444e-8275-e9d66bda6d3","RSDP Munmorah 1_Core Image")</f>
        <v>RSDP Munmorah 1_Core Image</v>
      </c>
    </row>
    <row r="4867" spans="1:11" x14ac:dyDescent="0.25">
      <c r="A4867" t="str">
        <f>HYPERLINK("http://www.corstruth.com.au/NSW/HRDD002_cs.png","HRDD002_A4")</f>
        <v>HRDD002_A4</v>
      </c>
      <c r="B4867" t="str">
        <f>HYPERLINK("http://www.corstruth.com.au/NSW/PNG2/HRDD002_cs.png","HRDD002_0.25m Bins")</f>
        <v>HRDD002_0.25m Bins</v>
      </c>
      <c r="C4867" t="str">
        <f>HYPERLINK("http://www.corstruth.com.au/NSW/CSV/HRDD002.csv","HRDD002_CSV File 1m Bins")</f>
        <v>HRDD002_CSV File 1m Bins</v>
      </c>
      <c r="D4867" t="s">
        <v>3265</v>
      </c>
      <c r="E4867" t="s">
        <v>2198</v>
      </c>
      <c r="F4867" t="str">
        <f>HYPERLINK("http://dwh.geoscience.nsw.gov.au/CI/warehouse/raw/drillhole?project=MIN&amp;site_id=235147","Geol Survey Link")</f>
        <v>Geol Survey Link</v>
      </c>
      <c r="H4867" t="s">
        <v>3266</v>
      </c>
      <c r="I4867">
        <v>-31.760100000000001</v>
      </c>
      <c r="J4867">
        <v>146.25</v>
      </c>
      <c r="K4867" t="str">
        <f>HYPERLINK("http://nvcl.geoscience.nsw.gov.au/NVCLDataServices/mosaic.html?datasetid=dd0e2d0f-e391-49e9-87b8-d6b5f9be833","HRDD002_Core Image")</f>
        <v>HRDD002_Core Image</v>
      </c>
    </row>
    <row r="4868" spans="1:11" x14ac:dyDescent="0.25">
      <c r="A4868" t="str">
        <f>HYPERLINK("http://www.corstruth.com.au/NSW/HRDD003_cs.png","HRDD003_A4")</f>
        <v>HRDD003_A4</v>
      </c>
      <c r="B4868" t="str">
        <f>HYPERLINK("http://www.corstruth.com.au/NSW/PNG2/HRDD003_cs.png","HRDD003_0.25m Bins")</f>
        <v>HRDD003_0.25m Bins</v>
      </c>
      <c r="C4868" t="str">
        <f>HYPERLINK("http://www.corstruth.com.au/NSW/CSV/HRDD003.csv","HRDD003_CSV File 1m Bins")</f>
        <v>HRDD003_CSV File 1m Bins</v>
      </c>
      <c r="D4868" t="s">
        <v>3267</v>
      </c>
      <c r="E4868" t="s">
        <v>2198</v>
      </c>
      <c r="F4868" t="str">
        <f>HYPERLINK("http://dwh.geoscience.nsw.gov.au/CI/warehouse/raw/drillhole?project=MIN&amp;site_id=235148","Geol Survey Link")</f>
        <v>Geol Survey Link</v>
      </c>
      <c r="H4868" t="s">
        <v>3266</v>
      </c>
      <c r="I4868">
        <v>-31.760100000000001</v>
      </c>
      <c r="J4868">
        <v>146.22900000000001</v>
      </c>
      <c r="K4868" t="str">
        <f>HYPERLINK("http://nvcl.geoscience.nsw.gov.au/NVCLDataServices/mosaic.html?datasetid=e615c974-1fcc-40c2-85a6-9c933e1400d","HRDD003_Core Image")</f>
        <v>HRDD003_Core Image</v>
      </c>
    </row>
    <row r="4869" spans="1:11" x14ac:dyDescent="0.25">
      <c r="A4869" t="str">
        <f>HYPERLINK("http://www.corstruth.com.au/NSW/HRDD005_cs.png","HRDD005_A4")</f>
        <v>HRDD005_A4</v>
      </c>
      <c r="B4869" t="str">
        <f>HYPERLINK("http://www.corstruth.com.au/NSW/PNG2/HRDD005_cs.png","HRDD005_0.25m Bins")</f>
        <v>HRDD005_0.25m Bins</v>
      </c>
      <c r="C4869" t="str">
        <f>HYPERLINK("http://www.corstruth.com.au/NSW/CSV/HRDD005.csv","HRDD005_CSV File 1m Bins")</f>
        <v>HRDD005_CSV File 1m Bins</v>
      </c>
      <c r="D4869" t="s">
        <v>3268</v>
      </c>
      <c r="E4869" t="s">
        <v>2198</v>
      </c>
      <c r="F4869" t="str">
        <f>HYPERLINK("http://dwh.geoscience.nsw.gov.au/CI/warehouse/raw/drillhole?project=MIN&amp;site_id=236275","Geol Survey Link")</f>
        <v>Geol Survey Link</v>
      </c>
      <c r="H4869" t="s">
        <v>3266</v>
      </c>
      <c r="I4869">
        <v>-31.757999999999999</v>
      </c>
      <c r="J4869">
        <v>146.21899999999999</v>
      </c>
      <c r="K4869" t="str">
        <f>HYPERLINK("http://nvcl.geoscience.nsw.gov.au/NVCLDataServices/mosaic.html?datasetid=3fd365a8-090e-4c94-bf39-953ec76cf12","HRDD005_Core Image")</f>
        <v>HRDD005_Core Image</v>
      </c>
    </row>
    <row r="4870" spans="1:11" x14ac:dyDescent="0.25">
      <c r="A4870" t="str">
        <f>HYPERLINK("http://www.corstruth.com.au/NSW/HRDD006_cs.png","HRDD006_A4")</f>
        <v>HRDD006_A4</v>
      </c>
      <c r="B4870" t="str">
        <f>HYPERLINK("http://www.corstruth.com.au/NSW/PNG2/HRDD006_cs.png","HRDD006_0.25m Bins")</f>
        <v>HRDD006_0.25m Bins</v>
      </c>
      <c r="C4870" t="str">
        <f>HYPERLINK("http://www.corstruth.com.au/NSW/CSV/HRDD006.csv","HRDD006_CSV File 1m Bins")</f>
        <v>HRDD006_CSV File 1m Bins</v>
      </c>
      <c r="D4870" t="s">
        <v>3269</v>
      </c>
      <c r="E4870" t="s">
        <v>2198</v>
      </c>
      <c r="F4870" t="str">
        <f>HYPERLINK("http://dwh.geoscience.nsw.gov.au/CI/warehouse/raw/drillhole?project=MIN&amp;site_id=236276","Geol Survey Link")</f>
        <v>Geol Survey Link</v>
      </c>
      <c r="H4870" t="s">
        <v>3266</v>
      </c>
      <c r="I4870">
        <v>-31.7608</v>
      </c>
      <c r="J4870">
        <v>146.23500000000001</v>
      </c>
      <c r="K4870" t="str">
        <f>HYPERLINK("http://nvcl.geoscience.nsw.gov.au/NVCLDataServices/mosaic.html?datasetid=f4a2fa96-bdbe-4d1a-b2bb-6b96e17ed9f","HRDD006_Core Image")</f>
        <v>HRDD006_Core Image</v>
      </c>
    </row>
    <row r="4871" spans="1:11" x14ac:dyDescent="0.25">
      <c r="A4871" t="str">
        <f>HYPERLINK("http://www.corstruth.com.au/NSW/HRRC101_cs.png","HRRC101_A4")</f>
        <v>HRRC101_A4</v>
      </c>
      <c r="B4871" t="str">
        <f>HYPERLINK("http://www.corstruth.com.au/NSW/PNG2/HRRC101_cs.png","HRRC101_0.25m Bins")</f>
        <v>HRRC101_0.25m Bins</v>
      </c>
      <c r="C4871" t="str">
        <f>HYPERLINK("http://www.corstruth.com.au/NSW/CSV/HRRC101.csv","HRRC101_CSV File 1m Bins")</f>
        <v>HRRC101_CSV File 1m Bins</v>
      </c>
      <c r="D4871" t="s">
        <v>3270</v>
      </c>
      <c r="E4871" t="s">
        <v>2198</v>
      </c>
      <c r="F4871" t="str">
        <f>HYPERLINK("http://dwh.geoscience.nsw.gov.au/CI/warehouse/raw/drillhole?project=MIN&amp;site_id=305245","Geol Survey Link")</f>
        <v>Geol Survey Link</v>
      </c>
      <c r="H4871" t="s">
        <v>3266</v>
      </c>
      <c r="I4871">
        <v>-31.76</v>
      </c>
      <c r="J4871">
        <v>146.25</v>
      </c>
      <c r="K4871" t="str">
        <f>HYPERLINK("http://nvcl.geoscience.nsw.gov.au/NVCLDataServices/mosaic.html?datasetid=329fb445-2d3f-4b59-8ed7-fe7053cfe19","HRRC101_Core Image")</f>
        <v>HRRC101_Core Image</v>
      </c>
    </row>
    <row r="4872" spans="1:11" x14ac:dyDescent="0.25">
      <c r="A4872" t="str">
        <f>HYPERLINK("http://www.corstruth.com.au/NSW/DDHRS-2_cs.png","DDHRS-2_A4")</f>
        <v>DDHRS-2_A4</v>
      </c>
      <c r="B4872" t="str">
        <f>HYPERLINK("http://www.corstruth.com.au/NSW/PNG2/DDHRS-2_cs.png","DDHRS-2_0.25m Bins")</f>
        <v>DDHRS-2_0.25m Bins</v>
      </c>
      <c r="C4872" t="str">
        <f>HYPERLINK("http://www.corstruth.com.au/NSW/CSV/DDHRS-2.csv","DDHRS-2_CSV File 1m Bins")</f>
        <v>DDHRS-2_CSV File 1m Bins</v>
      </c>
      <c r="D4872" t="s">
        <v>3271</v>
      </c>
      <c r="E4872" t="s">
        <v>2198</v>
      </c>
      <c r="F4872" t="str">
        <f>HYPERLINK("http://dwh.geoscience.nsw.gov.au/CI/warehouse/raw/drillhole?project=MIN&amp;site_id=001002","Geol Survey Link")</f>
        <v>Geol Survey Link</v>
      </c>
      <c r="H4872" t="s">
        <v>3272</v>
      </c>
      <c r="I4872">
        <v>-31.741900000000001</v>
      </c>
      <c r="J4872">
        <v>141.53399999999999</v>
      </c>
      <c r="K4872" t="str">
        <f>HYPERLINK("http://nvcl.geoscience.nsw.gov.au/NVCLDataServices/mosaic.html?datasetid=463dccd3-ea00-434a-bf62-b5601474a61","DDHRS-2_Core Image")</f>
        <v>DDHRS-2_Core Image</v>
      </c>
    </row>
    <row r="4873" spans="1:11" x14ac:dyDescent="0.25">
      <c r="A4873" t="str">
        <f>HYPERLINK("http://www.corstruth.com.au/NSW/DD81RW5_cs.png","DD81RW5_A4")</f>
        <v>DD81RW5_A4</v>
      </c>
      <c r="B4873" t="str">
        <f>HYPERLINK("http://www.corstruth.com.au/NSW/PNG2/DD81RW5_cs.png","DD81RW5_0.25m Bins")</f>
        <v>DD81RW5_0.25m Bins</v>
      </c>
      <c r="C4873" t="str">
        <f>HYPERLINK("http://www.corstruth.com.au/NSW/CSV/DD81RW5.csv","DD81RW5_CSV File 1m Bins")</f>
        <v>DD81RW5_CSV File 1m Bins</v>
      </c>
      <c r="D4873" t="s">
        <v>3273</v>
      </c>
      <c r="E4873" t="s">
        <v>2198</v>
      </c>
      <c r="F4873" t="str">
        <f>HYPERLINK("http://dwh.geoscience.nsw.gov.au/CI/warehouse/raw/drillhole?project=MIN&amp;site_id=002452","Geol Survey Link")</f>
        <v>Geol Survey Link</v>
      </c>
      <c r="H4873" t="s">
        <v>2807</v>
      </c>
      <c r="I4873">
        <v>-31.9998</v>
      </c>
      <c r="J4873">
        <v>141.59700000000001</v>
      </c>
      <c r="K4873" t="str">
        <f>HYPERLINK("http://nvcl.geoscience.nsw.gov.au/NVCLDataServices/mosaic.html?datasetid=510e5760-efce-473d-a87f-1785e14b025","DD81RW5_Core Image")</f>
        <v>DD81RW5_Core Image</v>
      </c>
    </row>
    <row r="4874" spans="1:11" x14ac:dyDescent="0.25">
      <c r="A4874" t="str">
        <f>HYPERLINK("http://www.corstruth.com.au/NSW/DDHRW16_cs.png","DDHRW16_A4")</f>
        <v>DDHRW16_A4</v>
      </c>
      <c r="B4874" t="str">
        <f>HYPERLINK("http://www.corstruth.com.au/NSW/PNG2/DDHRW16_cs.png","DDHRW16_0.25m Bins")</f>
        <v>DDHRW16_0.25m Bins</v>
      </c>
      <c r="C4874" t="str">
        <f>HYPERLINK("http://www.corstruth.com.au/NSW/CSV/DDHRW16.csv","DDHRW16_CSV File 1m Bins")</f>
        <v>DDHRW16_CSV File 1m Bins</v>
      </c>
      <c r="D4874" t="s">
        <v>3274</v>
      </c>
      <c r="E4874" t="s">
        <v>2198</v>
      </c>
      <c r="F4874" t="str">
        <f>HYPERLINK("http://dwh.geoscience.nsw.gov.au/CI/warehouse/raw/drillhole?project=MIN&amp;site_id=002464","Geol Survey Link")</f>
        <v>Geol Survey Link</v>
      </c>
      <c r="H4874" t="s">
        <v>2807</v>
      </c>
      <c r="I4874">
        <v>-32.019599999999997</v>
      </c>
      <c r="J4874">
        <v>141.601</v>
      </c>
      <c r="K4874" t="str">
        <f>HYPERLINK("http://nvcl.geoscience.nsw.gov.au/NVCLDataServices/mosaic.html?datasetid=0dc7ec85-c54c-482a-aafe-f9ea7a8258d","DDHRW16_Core Image")</f>
        <v>DDHRW16_Core Image</v>
      </c>
    </row>
    <row r="4875" spans="1:11" x14ac:dyDescent="0.25">
      <c r="A4875" t="str">
        <f>HYPERLINK("http://www.corstruth.com.au/NSW/DD14ST0107_cs.png","DD14ST0107_A4")</f>
        <v>DD14ST0107_A4</v>
      </c>
      <c r="B4875" t="str">
        <f>HYPERLINK("http://www.corstruth.com.au/NSW/PNG2/DD14ST0107_cs.png","DD14ST0107_0.25m Bins")</f>
        <v>DD14ST0107_0.25m Bins</v>
      </c>
      <c r="C4875" t="str">
        <f>HYPERLINK("http://www.corstruth.com.au/NSW/CSV/DD14ST0107.csv","DD14ST0107_CSV File 1m Bins")</f>
        <v>DD14ST0107_CSV File 1m Bins</v>
      </c>
      <c r="D4875" t="s">
        <v>3275</v>
      </c>
      <c r="E4875" t="s">
        <v>2198</v>
      </c>
      <c r="F4875" t="str">
        <f>HYPERLINK("http://dwh.geoscience.nsw.gov.au/CI/warehouse/raw/drillhole?project=MIN&amp;site_id=157798","Geol Survey Link")</f>
        <v>Geol Survey Link</v>
      </c>
      <c r="H4875" t="s">
        <v>3276</v>
      </c>
      <c r="I4875">
        <v>-31.940999999999999</v>
      </c>
      <c r="J4875">
        <v>146.16900000000001</v>
      </c>
      <c r="K4875" t="str">
        <f>HYPERLINK("http://nvcl.geoscience.nsw.gov.au/NVCLDataServices/mosaic.html?datasetid=1a44435b-31f3-4474-abcc-c8ba00746ec","DD14ST0107_Core Image")</f>
        <v>DD14ST0107_Core Image</v>
      </c>
    </row>
    <row r="4876" spans="1:11" x14ac:dyDescent="0.25">
      <c r="A4876" t="str">
        <f>HYPERLINK("http://www.corstruth.com.au/NSW/R1_cs.png","R1_A4")</f>
        <v>R1_A4</v>
      </c>
      <c r="B4876" t="str">
        <f>HYPERLINK("http://www.corstruth.com.au/NSW/PNG2/R1_cs.png","R1_0.25m Bins")</f>
        <v>R1_0.25m Bins</v>
      </c>
      <c r="C4876" t="str">
        <f>HYPERLINK("http://www.corstruth.com.au/NSW/CSV/R1.csv","R1_CSV File 1m Bins")</f>
        <v>R1_CSV File 1m Bins</v>
      </c>
      <c r="D4876" t="s">
        <v>3277</v>
      </c>
      <c r="E4876" t="s">
        <v>2198</v>
      </c>
      <c r="F4876" t="str">
        <f>HYPERLINK("http://dwh.geoscience.nsw.gov.au/CI/warehouse/raw/drillhole?project=MIN&amp;site_id=003561","Geol Survey Link")</f>
        <v>Geol Survey Link</v>
      </c>
      <c r="H4876" t="s">
        <v>3278</v>
      </c>
      <c r="I4876">
        <v>-34.766199999999998</v>
      </c>
      <c r="J4876">
        <v>148.20599999999999</v>
      </c>
      <c r="K4876" t="str">
        <f>HYPERLINK("http://nvcl.geoscience.nsw.gov.au/NVCLDataServices/mosaic.html?datasetid=747c9f54-2da8-4271-92f4-fad2d2cf9ef","R1_Core Image")</f>
        <v>R1_Core Image</v>
      </c>
    </row>
    <row r="4877" spans="1:11" x14ac:dyDescent="0.25">
      <c r="A4877" t="str">
        <f>HYPERLINK("http://www.corstruth.com.au/NSW/BH81-5_cs.png","BH81-5_A4")</f>
        <v>BH81-5_A4</v>
      </c>
      <c r="B4877" t="str">
        <f>HYPERLINK("http://www.corstruth.com.au/NSW/PNG2/BH81-5_cs.png","BH81-5_0.25m Bins")</f>
        <v>BH81-5_0.25m Bins</v>
      </c>
      <c r="C4877" t="str">
        <f>HYPERLINK("http://www.corstruth.com.au/NSW/CSV/BH81-5.csv","BH81-5_CSV File 1m Bins")</f>
        <v>BH81-5_CSV File 1m Bins</v>
      </c>
      <c r="D4877" t="s">
        <v>3279</v>
      </c>
      <c r="E4877" t="s">
        <v>2198</v>
      </c>
      <c r="F4877" t="str">
        <f>HYPERLINK("http://dwh.geoscience.nsw.gov.au/CI/warehouse/raw/drillhole?project=MIN&amp;site_id=002041","Geol Survey Link")</f>
        <v>Geol Survey Link</v>
      </c>
      <c r="H4877" t="s">
        <v>3280</v>
      </c>
      <c r="I4877">
        <v>-32.026400000000002</v>
      </c>
      <c r="J4877">
        <v>141.489</v>
      </c>
      <c r="K4877" t="str">
        <f>HYPERLINK("http://nvcl.geoscience.nsw.gov.au/NVCLDataServices/mosaic.html?datasetid=07960c48-abb7-4758-9f76-74516442b2b","BH81-5_Core Image")</f>
        <v>BH81-5_Core Image</v>
      </c>
    </row>
    <row r="4878" spans="1:11" x14ac:dyDescent="0.25">
      <c r="A4878" t="str">
        <f>HYPERLINK("http://www.corstruth.com.au/NSW/PSCDD001_cs.png","PSCDD001_A4")</f>
        <v>PSCDD001_A4</v>
      </c>
      <c r="B4878" t="str">
        <f>HYPERLINK("http://www.corstruth.com.au/NSW/PNG2/PSCDD001_cs.png","PSCDD001_0.25m Bins")</f>
        <v>PSCDD001_0.25m Bins</v>
      </c>
      <c r="C4878" t="str">
        <f>HYPERLINK("http://www.corstruth.com.au/NSW/CSV/PSCDD001.csv","PSCDD001_CSV File 1m Bins")</f>
        <v>PSCDD001_CSV File 1m Bins</v>
      </c>
      <c r="D4878" t="s">
        <v>3281</v>
      </c>
      <c r="E4878" t="s">
        <v>2198</v>
      </c>
      <c r="F4878" t="str">
        <f>HYPERLINK("http://dwh.geoscience.nsw.gov.au/CI/warehouse/raw/drillhole?project=MIN&amp;site_id=139633","Geol Survey Link")</f>
        <v>Geol Survey Link</v>
      </c>
      <c r="H4878" t="s">
        <v>3282</v>
      </c>
      <c r="I4878">
        <v>-32.218299999999999</v>
      </c>
      <c r="J4878">
        <v>146.09700000000001</v>
      </c>
      <c r="K4878" t="str">
        <f>HYPERLINK("http://nvcl.geoscience.nsw.gov.au/NVCLDataServices/mosaic.html?datasetid=44eab679-c9e7-41bc-b342-ccf4f5688a9","PSCDD001_Core Image")</f>
        <v>PSCDD001_Core Image</v>
      </c>
    </row>
    <row r="4879" spans="1:11" x14ac:dyDescent="0.25">
      <c r="A4879" t="str">
        <f>HYPERLINK("http://www.corstruth.com.au/NSW/DD92SK2_cs.png","DD92SK2_A4")</f>
        <v>DD92SK2_A4</v>
      </c>
      <c r="B4879" t="str">
        <f>HYPERLINK("http://www.corstruth.com.au/NSW/PNG2/DD92SK2_cs.png","DD92SK2_0.25m Bins")</f>
        <v>DD92SK2_0.25m Bins</v>
      </c>
      <c r="C4879" t="str">
        <f>HYPERLINK("http://www.corstruth.com.au/NSW/CSV/DD92SK2.csv","DD92SK2_CSV File 1m Bins")</f>
        <v>DD92SK2_CSV File 1m Bins</v>
      </c>
      <c r="D4879" t="s">
        <v>3283</v>
      </c>
      <c r="E4879" t="s">
        <v>2198</v>
      </c>
      <c r="F4879" t="str">
        <f>HYPERLINK("http://dwh.geoscience.nsw.gov.au/CI/warehouse/raw/drillhole?project=MIN&amp;site_id=001771","Geol Survey Link")</f>
        <v>Geol Survey Link</v>
      </c>
      <c r="H4879" t="s">
        <v>3284</v>
      </c>
      <c r="I4879">
        <v>-31.6462</v>
      </c>
      <c r="J4879">
        <v>141.38200000000001</v>
      </c>
      <c r="K4879" t="str">
        <f>HYPERLINK("http://nvcl.geoscience.nsw.gov.au/NVCLDataServices/mosaic.html?datasetid=5a4bca4c-b84e-4e01-85f9-79f8b6894e3","DD92SK2_Core Image")</f>
        <v>DD92SK2_Core Image</v>
      </c>
    </row>
    <row r="4880" spans="1:11" x14ac:dyDescent="0.25">
      <c r="A4880" t="str">
        <f>HYPERLINK("http://www.corstruth.com.au/NSW/PD83SL1_cs.png","PD83SL1_A4")</f>
        <v>PD83SL1_A4</v>
      </c>
      <c r="B4880" t="str">
        <f>HYPERLINK("http://www.corstruth.com.au/NSW/PNG2/PD83SL1_cs.png","PD83SL1_0.25m Bins")</f>
        <v>PD83SL1_0.25m Bins</v>
      </c>
      <c r="C4880" t="str">
        <f>HYPERLINK("http://www.corstruth.com.au/NSW/CSV/PD83SL1.csv","PD83SL1_CSV File 1m Bins")</f>
        <v>PD83SL1_CSV File 1m Bins</v>
      </c>
      <c r="D4880" t="s">
        <v>3285</v>
      </c>
      <c r="E4880" t="s">
        <v>2198</v>
      </c>
      <c r="F4880" t="str">
        <f>HYPERLINK("http://dwh.geoscience.nsw.gov.au/CI/warehouse/raw/drillhole?project=MIN&amp;site_id=001544","Geol Survey Link")</f>
        <v>Geol Survey Link</v>
      </c>
      <c r="H4880" t="s">
        <v>3286</v>
      </c>
      <c r="I4880">
        <v>-31.889700000000001</v>
      </c>
      <c r="J4880">
        <v>141.19399999999999</v>
      </c>
      <c r="K4880" t="str">
        <f>HYPERLINK("http://nvcl.geoscience.nsw.gov.au/NVCLDataServices/mosaic.html?datasetid=0e84f5b2-a123-4b72-8cb2-53cfb72ba2b","PD83SL1_Core Image")</f>
        <v>PD83SL1_Core Image</v>
      </c>
    </row>
    <row r="4881" spans="1:11" x14ac:dyDescent="0.25">
      <c r="A4881" t="str">
        <f>HYPERLINK("http://www.corstruth.com.au/NSW/B1065_cs.png","B1065_A4")</f>
        <v>B1065_A4</v>
      </c>
      <c r="B4881" t="str">
        <f>HYPERLINK("http://www.corstruth.com.au/NSW/PNG2/B1065_cs.png","B1065_0.25m Bins")</f>
        <v>B1065_0.25m Bins</v>
      </c>
      <c r="C4881" t="str">
        <f>HYPERLINK("http://www.corstruth.com.au/NSW/CSV/B1065.csv","B1065_CSV File 1m Bins")</f>
        <v>B1065_CSV File 1m Bins</v>
      </c>
      <c r="D4881" t="s">
        <v>3287</v>
      </c>
      <c r="E4881" t="s">
        <v>2198</v>
      </c>
      <c r="F4881" t="str">
        <f>HYPERLINK("http://dwh.geoscience.nsw.gov.au/CI/warehouse/raw/drillhole?project=MIN&amp;site_id=165422","Geol Survey Link")</f>
        <v>Geol Survey Link</v>
      </c>
      <c r="H4881" t="s">
        <v>3288</v>
      </c>
      <c r="I4881">
        <v>-34.326599999999999</v>
      </c>
      <c r="J4881">
        <v>146.85499999999999</v>
      </c>
      <c r="K4881" t="str">
        <f>HYPERLINK("http://nvcl.geoscience.nsw.gov.au/NVCLDataServices/mosaic.html?datasetid=2ea208b1-0c2d-45bb-af5e-5141ca61cf1","B1065_Core Image")</f>
        <v>B1065_Core Image</v>
      </c>
    </row>
    <row r="4882" spans="1:11" x14ac:dyDescent="0.25">
      <c r="A4882" t="str">
        <f>HYPERLINK("http://www.corstruth.com.au/NSW/B1103_cs.png","B1103_A4")</f>
        <v>B1103_A4</v>
      </c>
      <c r="B4882" t="str">
        <f>HYPERLINK("http://www.corstruth.com.au/NSW/PNG2/B1103_cs.png","B1103_0.25m Bins")</f>
        <v>B1103_0.25m Bins</v>
      </c>
      <c r="C4882" t="str">
        <f>HYPERLINK("http://www.corstruth.com.au/NSW/CSV/B1103.csv","B1103_CSV File 1m Bins")</f>
        <v>B1103_CSV File 1m Bins</v>
      </c>
      <c r="D4882" t="s">
        <v>3289</v>
      </c>
      <c r="E4882" t="s">
        <v>2198</v>
      </c>
      <c r="F4882" t="str">
        <f>HYPERLINK("http://dwh.geoscience.nsw.gov.au/CI/warehouse/raw/drillhole?project=MIN&amp;site_id=165423","Geol Survey Link")</f>
        <v>Geol Survey Link</v>
      </c>
      <c r="H4882" t="s">
        <v>3288</v>
      </c>
      <c r="I4882">
        <v>-34.326999999999998</v>
      </c>
      <c r="J4882">
        <v>146.85300000000001</v>
      </c>
      <c r="K4882" t="str">
        <f>HYPERLINK("http://nvcl.geoscience.nsw.gov.au/NVCLDataServices/mosaic.html?datasetid=9da1aef8-f260-4162-a619-eed8cb343c6","B1103_Core Image")</f>
        <v>B1103_Core Image</v>
      </c>
    </row>
    <row r="4883" spans="1:11" x14ac:dyDescent="0.25">
      <c r="A4883" t="str">
        <f>HYPERLINK("http://www.corstruth.com.au/NSW/37S-1DWEDGE_cs.png","37S-1DWEDGE_A4")</f>
        <v>37S-1DWEDGE_A4</v>
      </c>
      <c r="B4883" t="str">
        <f>HYPERLINK("http://www.corstruth.com.au/NSW/PNG2/37S-1DWEDGE_cs.png","37S-1DWEDGE_0.25m Bins")</f>
        <v>37S-1DWEDGE_0.25m Bins</v>
      </c>
      <c r="C4883" t="str">
        <f>HYPERLINK("http://www.corstruth.com.au/NSW/CSV/37S-1DWEDGE.csv","37S-1DWEDGE_CSV File 1m Bins")</f>
        <v>37S-1DWEDGE_CSV File 1m Bins</v>
      </c>
      <c r="D4883" t="s">
        <v>3290</v>
      </c>
      <c r="E4883" t="s">
        <v>2198</v>
      </c>
      <c r="F4883" t="str">
        <f>HYPERLINK("http://dwh.geoscience.nsw.gov.au/CI/warehouse/raw/drillhole?project=MIN&amp;site_id=039892","Geol Survey Link")</f>
        <v>Geol Survey Link</v>
      </c>
      <c r="H4883" t="s">
        <v>3291</v>
      </c>
      <c r="I4883">
        <v>-32.128500000000003</v>
      </c>
      <c r="J4883">
        <v>146.07499999999999</v>
      </c>
      <c r="K4883" t="str">
        <f>HYPERLINK("http://nvcl.geoscience.nsw.gov.au/NVCLDataServices/mosaic.html?datasetid=40ae7cd1-2d97-4f42-99cf-17063455142","37S-1DWEDGE_Core Image")</f>
        <v>37S-1DWEDGE_Core Image</v>
      </c>
    </row>
    <row r="4884" spans="1:11" x14ac:dyDescent="0.25">
      <c r="A4884" t="str">
        <f>HYPERLINK("http://www.corstruth.com.au/NSW/37S-2D_cs.png","37S-2D_A4")</f>
        <v>37S-2D_A4</v>
      </c>
      <c r="B4884" t="str">
        <f>HYPERLINK("http://www.corstruth.com.au/NSW/PNG2/37S-2D_cs.png","37S-2D_0.25m Bins")</f>
        <v>37S-2D_0.25m Bins</v>
      </c>
      <c r="C4884" t="str">
        <f>HYPERLINK("http://www.corstruth.com.au/NSW/CSV/37S-2D.csv","37S-2D_CSV File 1m Bins")</f>
        <v>37S-2D_CSV File 1m Bins</v>
      </c>
      <c r="D4884" t="s">
        <v>3292</v>
      </c>
      <c r="E4884" t="s">
        <v>2198</v>
      </c>
      <c r="F4884" t="str">
        <f>HYPERLINK("http://dwh.geoscience.nsw.gov.au/CI/warehouse/raw/drillhole?project=MIN&amp;site_id=039893","Geol Survey Link")</f>
        <v>Geol Survey Link</v>
      </c>
      <c r="H4884" t="s">
        <v>3291</v>
      </c>
      <c r="I4884">
        <v>-32.129399999999997</v>
      </c>
      <c r="J4884">
        <v>146.07499999999999</v>
      </c>
      <c r="K4884" t="str">
        <f>HYPERLINK("http://nvcl.geoscience.nsw.gov.au/NVCLDataServices/mosaic.html?datasetid=22d12953-8c1b-45f9-b62f-90f276fcec4","37S-2D_Core Image")</f>
        <v>37S-2D_Core Image</v>
      </c>
    </row>
    <row r="4885" spans="1:11" x14ac:dyDescent="0.25">
      <c r="A4885" t="str">
        <f>HYPERLINK("http://www.corstruth.com.au/NSW/37S-3D_cs.png","37S-3D_A4")</f>
        <v>37S-3D_A4</v>
      </c>
      <c r="B4885" t="str">
        <f>HYPERLINK("http://www.corstruth.com.au/NSW/PNG2/37S-3D_cs.png","37S-3D_0.25m Bins")</f>
        <v>37S-3D_0.25m Bins</v>
      </c>
      <c r="C4885" t="str">
        <f>HYPERLINK("http://www.corstruth.com.au/NSW/CSV/37S-3D.csv","37S-3D_CSV File 1m Bins")</f>
        <v>37S-3D_CSV File 1m Bins</v>
      </c>
      <c r="D4885" t="s">
        <v>3293</v>
      </c>
      <c r="E4885" t="s">
        <v>2198</v>
      </c>
      <c r="F4885" t="str">
        <f>HYPERLINK("http://dwh.geoscience.nsw.gov.au/CI/warehouse/raw/drillhole?project=MIN&amp;site_id=039894","Geol Survey Link")</f>
        <v>Geol Survey Link</v>
      </c>
      <c r="H4885" t="s">
        <v>3291</v>
      </c>
      <c r="I4885">
        <v>-32.127000000000002</v>
      </c>
      <c r="J4885">
        <v>146.07499999999999</v>
      </c>
      <c r="K4885" t="str">
        <f>HYPERLINK("http://nvcl.geoscience.nsw.gov.au/NVCLDataServices/mosaic.html?datasetid=61bed5c7-e693-4e91-9240-16fbe04b18f","37S-3D_Core Image")</f>
        <v>37S-3D_Core Image</v>
      </c>
    </row>
    <row r="4886" spans="1:11" x14ac:dyDescent="0.25">
      <c r="A4886" t="str">
        <f>HYPERLINK("http://www.corstruth.com.au/NSW/Congararra_1_cs.png","Congararra 1_A4")</f>
        <v>Congararra 1_A4</v>
      </c>
      <c r="B4886" t="str">
        <f>HYPERLINK("http://www.corstruth.com.au/NSW/PNG2/Congararra_1_cs.png","Congararra 1_0.25m Bins")</f>
        <v>Congararra 1_0.25m Bins</v>
      </c>
      <c r="C4886" t="str">
        <f>HYPERLINK("http://www.corstruth.com.au/NSW/CSV/Congararra_1.csv","Congararra 1_CSV File 1m Bins")</f>
        <v>Congararra 1_CSV File 1m Bins</v>
      </c>
      <c r="D4886" t="s">
        <v>3294</v>
      </c>
      <c r="E4886" t="s">
        <v>2198</v>
      </c>
      <c r="F4886" t="str">
        <f>HYPERLINK("http://dwh.geoscience.nsw.gov.au/CI/warehouse/raw/drillhole?project=MIN&amp;site_id=229717","Geol Survey Link")</f>
        <v>Geol Survey Link</v>
      </c>
      <c r="H4886" t="s">
        <v>3295</v>
      </c>
      <c r="I4886">
        <v>-29.486000000000001</v>
      </c>
      <c r="J4886">
        <v>145.72300000000001</v>
      </c>
      <c r="K4886" t="str">
        <f>HYPERLINK("http://nvcl.geoscience.nsw.gov.au/NVCLDataServices/mosaic.html?datasetid=2192a828-9a26-4a3c-b189-39a7a23d817","Congararra 1_Core Image")</f>
        <v>Congararra 1_Core Image</v>
      </c>
    </row>
    <row r="4887" spans="1:11" x14ac:dyDescent="0.25">
      <c r="A4887" t="str">
        <f>HYPERLINK("http://www.corstruth.com.au/NSW/Congararra_2_cs.png","Congararra 2_A4")</f>
        <v>Congararra 2_A4</v>
      </c>
      <c r="B4887" t="str">
        <f>HYPERLINK("http://www.corstruth.com.au/NSW/PNG2/Congararra_2_cs.png","Congararra 2_0.25m Bins")</f>
        <v>Congararra 2_0.25m Bins</v>
      </c>
      <c r="C4887" t="str">
        <f>HYPERLINK("http://www.corstruth.com.au/NSW/CSV/Congararra_2.csv","Congararra 2_CSV File 1m Bins")</f>
        <v>Congararra 2_CSV File 1m Bins</v>
      </c>
      <c r="D4887" t="s">
        <v>3296</v>
      </c>
      <c r="E4887" t="s">
        <v>2198</v>
      </c>
      <c r="F4887" t="str">
        <f>HYPERLINK("http://dwh.geoscience.nsw.gov.au/CI/warehouse/raw/drillhole?project=MIN&amp;site_id=229718","Geol Survey Link")</f>
        <v>Geol Survey Link</v>
      </c>
      <c r="H4887" t="s">
        <v>3295</v>
      </c>
      <c r="I4887">
        <v>-29.4679</v>
      </c>
      <c r="J4887">
        <v>145.69900000000001</v>
      </c>
      <c r="K4887" t="str">
        <f>HYPERLINK("http://nvcl.geoscience.nsw.gov.au/NVCLDataServices/mosaic.html?datasetid=08ff059f-e8e6-4b0c-967e-4be7ddcfd47","Congararra 2_Core Image")</f>
        <v>Congararra 2_Core Image</v>
      </c>
    </row>
    <row r="4888" spans="1:11" x14ac:dyDescent="0.25">
      <c r="A4888" t="str">
        <f>HYPERLINK("http://www.corstruth.com.au/NSW/Euroli_1_cs.png","Euroli 1_A4")</f>
        <v>Euroli 1_A4</v>
      </c>
      <c r="B4888" t="str">
        <f>HYPERLINK("http://www.corstruth.com.au/NSW/PNG2/Euroli_1_cs.png","Euroli 1_0.25m Bins")</f>
        <v>Euroli 1_0.25m Bins</v>
      </c>
      <c r="C4888" t="str">
        <f>HYPERLINK("http://www.corstruth.com.au/NSW/CSV/Euroli_1.csv","Euroli 1_CSV File 1m Bins")</f>
        <v>Euroli 1_CSV File 1m Bins</v>
      </c>
      <c r="D4888" t="s">
        <v>3297</v>
      </c>
      <c r="E4888" t="s">
        <v>2198</v>
      </c>
      <c r="F4888" t="str">
        <f>HYPERLINK("http://dwh.geoscience.nsw.gov.au/CI/warehouse/raw/drillhole?project=MIN&amp;site_id=229713","Geol Survey Link")</f>
        <v>Geol Survey Link</v>
      </c>
      <c r="H4888" t="s">
        <v>3295</v>
      </c>
      <c r="I4888">
        <v>-29.1998</v>
      </c>
      <c r="J4888">
        <v>144.35</v>
      </c>
      <c r="K4888" t="str">
        <f>HYPERLINK("http://nvcl.geoscience.nsw.gov.au/NVCLDataServices/mosaic.html?datasetid=e987ba29-a736-41a0-81b7-7aa015ec0bb","Euroli 1_Core Image")</f>
        <v>Euroli 1_Core Image</v>
      </c>
    </row>
    <row r="4889" spans="1:11" x14ac:dyDescent="0.25">
      <c r="A4889" t="str">
        <f>HYPERLINK("http://www.corstruth.com.au/NSW/Janina_1_cs.png","Janina 1_A4")</f>
        <v>Janina 1_A4</v>
      </c>
      <c r="B4889" t="str">
        <f>HYPERLINK("http://www.corstruth.com.au/NSW/PNG2/Janina_1_cs.png","Janina 1_0.25m Bins")</f>
        <v>Janina 1_0.25m Bins</v>
      </c>
      <c r="C4889" t="str">
        <f>HYPERLINK("http://www.corstruth.com.au/NSW/CSV/Janina_1.csv","Janina 1_CSV File 1m Bins")</f>
        <v>Janina 1_CSV File 1m Bins</v>
      </c>
      <c r="D4889" t="s">
        <v>3298</v>
      </c>
      <c r="E4889" t="s">
        <v>2198</v>
      </c>
      <c r="F4889" t="str">
        <f>HYPERLINK("http://dwh.geoscience.nsw.gov.au/CI/warehouse/raw/drillhole?project=MIN&amp;site_id=229716","Geol Survey Link")</f>
        <v>Geol Survey Link</v>
      </c>
      <c r="H4889" t="s">
        <v>3295</v>
      </c>
      <c r="I4889">
        <v>-30.096599999999999</v>
      </c>
      <c r="J4889">
        <v>144.791</v>
      </c>
      <c r="K4889" t="str">
        <f>HYPERLINK("http://nvcl.geoscience.nsw.gov.au/NVCLDataServices/mosaic.html?datasetid=6d717c71-92ab-4ff8-b146-e5f49e9b3d2","Janina 1_Core Image")</f>
        <v>Janina 1_Core Image</v>
      </c>
    </row>
    <row r="4890" spans="1:11" x14ac:dyDescent="0.25">
      <c r="A4890" t="str">
        <f>HYPERLINK("http://www.corstruth.com.au/NSW/Laurelvale_1_cs.png","Laurelvale 1_A4")</f>
        <v>Laurelvale 1_A4</v>
      </c>
      <c r="B4890" t="str">
        <f>HYPERLINK("http://www.corstruth.com.au/NSW/PNG2/Laurelvale_1_cs.png","Laurelvale 1_0.25m Bins")</f>
        <v>Laurelvale 1_0.25m Bins</v>
      </c>
      <c r="C4890" t="str">
        <f>HYPERLINK("http://www.corstruth.com.au/NSW/CSV/Laurelvale_1.csv","Laurelvale 1_CSV File 1m Bins")</f>
        <v>Laurelvale 1_CSV File 1m Bins</v>
      </c>
      <c r="D4890" t="s">
        <v>3299</v>
      </c>
      <c r="E4890" t="s">
        <v>2198</v>
      </c>
      <c r="F4890" t="str">
        <f>HYPERLINK("http://dwh.geoscience.nsw.gov.au/CI/warehouse/raw/drillhole?project=MIN&amp;site_id=229715","Geol Survey Link")</f>
        <v>Geol Survey Link</v>
      </c>
      <c r="H4890" t="s">
        <v>3295</v>
      </c>
      <c r="I4890">
        <v>-30.3889</v>
      </c>
      <c r="J4890">
        <v>143.94399999999999</v>
      </c>
      <c r="K4890" t="str">
        <f>HYPERLINK("http://nvcl.geoscience.nsw.gov.au/NVCLDataServices/mosaic.html?datasetid=45a93c52-7e4c-44c4-9e48-0f4cd849172","Laurelvale 1_Core Image")</f>
        <v>Laurelvale 1_Core Image</v>
      </c>
    </row>
    <row r="4891" spans="1:11" x14ac:dyDescent="0.25">
      <c r="A4891" t="str">
        <f>HYPERLINK("http://www.corstruth.com.au/NSW/Milcarpa_1_cs.png","Milcarpa 1_A4")</f>
        <v>Milcarpa 1_A4</v>
      </c>
      <c r="B4891" t="str">
        <f>HYPERLINK("http://www.corstruth.com.au/NSW/PNG2/Milcarpa_1_cs.png","Milcarpa 1_0.25m Bins")</f>
        <v>Milcarpa 1_0.25m Bins</v>
      </c>
      <c r="C4891" t="str">
        <f>HYPERLINK("http://www.corstruth.com.au/NSW/CSV/Milcarpa_1.csv","Milcarpa 1_CSV File 1m Bins")</f>
        <v>Milcarpa 1_CSV File 1m Bins</v>
      </c>
      <c r="D4891" t="s">
        <v>3300</v>
      </c>
      <c r="E4891" t="s">
        <v>2198</v>
      </c>
      <c r="F4891" t="str">
        <f>HYPERLINK("http://dwh.geoscience.nsw.gov.au/CI/warehouse/raw/drillhole?project=MIN&amp;site_id=229712","Geol Survey Link")</f>
        <v>Geol Survey Link</v>
      </c>
      <c r="H4891" t="s">
        <v>3295</v>
      </c>
      <c r="I4891">
        <v>-29.072299999999998</v>
      </c>
      <c r="J4891">
        <v>144.44900000000001</v>
      </c>
      <c r="K4891" t="str">
        <f>HYPERLINK("http://nvcl.geoscience.nsw.gov.au/NVCLDataServices/mosaic.html?datasetid=f950b355-347e-41f0-a3e6-703886b50f5","Milcarpa 1_Core Image")</f>
        <v>Milcarpa 1_Core Image</v>
      </c>
    </row>
    <row r="4892" spans="1:11" x14ac:dyDescent="0.25">
      <c r="A4892" t="str">
        <f>HYPERLINK("http://www.corstruth.com.au/NSW/Tongo_1_cs.png","Tongo 1_A4")</f>
        <v>Tongo 1_A4</v>
      </c>
      <c r="B4892" t="str">
        <f>HYPERLINK("http://www.corstruth.com.au/NSW/PNG2/Tongo_1_cs.png","Tongo 1_0.25m Bins")</f>
        <v>Tongo 1_0.25m Bins</v>
      </c>
      <c r="C4892" t="str">
        <f>HYPERLINK("http://www.corstruth.com.au/NSW/CSV/Tongo_1.csv","Tongo 1_CSV File 1m Bins")</f>
        <v>Tongo 1_CSV File 1m Bins</v>
      </c>
      <c r="D4892" t="s">
        <v>3301</v>
      </c>
      <c r="E4892" t="s">
        <v>2198</v>
      </c>
      <c r="F4892" t="str">
        <f>HYPERLINK("http://dwh.geoscience.nsw.gov.au/CI/warehouse/raw/drillhole?project=MIN&amp;site_id=229714","Geol Survey Link")</f>
        <v>Geol Survey Link</v>
      </c>
      <c r="H4892" t="s">
        <v>3295</v>
      </c>
      <c r="I4892">
        <v>-30.3733</v>
      </c>
      <c r="J4892">
        <v>143.74700000000001</v>
      </c>
      <c r="K4892" t="str">
        <f>HYPERLINK("http://nvcl.geoscience.nsw.gov.au/NVCLDataServices/mosaic.html?datasetid=6cb77147-d938-4caf-9df3-d943ded43a3","Tongo 1_Core Image")</f>
        <v>Tongo 1_Core Image</v>
      </c>
    </row>
    <row r="4893" spans="1:11" x14ac:dyDescent="0.25">
      <c r="A4893" t="str">
        <f>HYPERLINK("http://www.corstruth.com.au/NSW/SP2_cs.png","SP2_A4")</f>
        <v>SP2_A4</v>
      </c>
      <c r="B4893" t="str">
        <f>HYPERLINK("http://www.corstruth.com.au/NSW/PNG2/SP2_cs.png","SP2_0.25m Bins")</f>
        <v>SP2_0.25m Bins</v>
      </c>
      <c r="C4893" t="str">
        <f>HYPERLINK("http://www.corstruth.com.au/NSW/CSV/SP2.csv","SP2_CSV File 1m Bins")</f>
        <v>SP2_CSV File 1m Bins</v>
      </c>
      <c r="D4893" t="s">
        <v>3302</v>
      </c>
      <c r="E4893" t="s">
        <v>2198</v>
      </c>
      <c r="F4893" t="str">
        <f>HYPERLINK("http://dwh.geoscience.nsw.gov.au/CI/warehouse/raw/drillhole?project=MIN&amp;site_id=023271","Geol Survey Link")</f>
        <v>Geol Survey Link</v>
      </c>
      <c r="H4893" t="s">
        <v>3303</v>
      </c>
      <c r="I4893">
        <v>-33.408200000000001</v>
      </c>
      <c r="J4893">
        <v>147.684</v>
      </c>
      <c r="K4893" t="str">
        <f>HYPERLINK("http://nvcl.geoscience.nsw.gov.au/NVCLDataServices/mosaic.html?datasetid=6bfd351a-c628-4b35-8f29-872264f7996","SP2_Core Image")</f>
        <v>SP2_Core Image</v>
      </c>
    </row>
    <row r="4894" spans="1:11" x14ac:dyDescent="0.25">
      <c r="A4894" t="str">
        <f>HYPERLINK("http://www.corstruth.com.au/NSW/SP3_cs.png","SP3_A4")</f>
        <v>SP3_A4</v>
      </c>
      <c r="B4894" t="str">
        <f>HYPERLINK("http://www.corstruth.com.au/NSW/PNG2/SP3_cs.png","SP3_0.25m Bins")</f>
        <v>SP3_0.25m Bins</v>
      </c>
      <c r="C4894" t="str">
        <f>HYPERLINK("http://www.corstruth.com.au/NSW/CSV/SP3.csv","SP3_CSV File 1m Bins")</f>
        <v>SP3_CSV File 1m Bins</v>
      </c>
      <c r="D4894" t="s">
        <v>3304</v>
      </c>
      <c r="E4894" t="s">
        <v>2198</v>
      </c>
      <c r="F4894" t="str">
        <f>HYPERLINK("http://dwh.geoscience.nsw.gov.au/CI/warehouse/raw/drillhole?project=MIN&amp;site_id=023272","Geol Survey Link")</f>
        <v>Geol Survey Link</v>
      </c>
      <c r="H4894" t="s">
        <v>3305</v>
      </c>
      <c r="I4894">
        <v>-33.408999999999999</v>
      </c>
      <c r="J4894">
        <v>147.64599999999999</v>
      </c>
      <c r="K4894" t="str">
        <f>HYPERLINK("http://nvcl.geoscience.nsw.gov.au/NVCLDataServices/mosaic.html?datasetid=9aa8c5d0-ef21-4ec6-8dfb-6a813c13ea5","SP3_Core Image")</f>
        <v>SP3_Core Image</v>
      </c>
    </row>
    <row r="4895" spans="1:11" x14ac:dyDescent="0.25">
      <c r="A4895" t="str">
        <f>HYPERLINK("http://www.corstruth.com.au/NSW/SCDH-1_cs.png","SCDH-1_A4")</f>
        <v>SCDH-1_A4</v>
      </c>
      <c r="D4895" t="s">
        <v>3306</v>
      </c>
      <c r="E4895" t="s">
        <v>2198</v>
      </c>
      <c r="F4895" t="str">
        <f>HYPERLINK("http://dwh.geoscience.nsw.gov.au/CI/warehouse/raw/drillhole?project=MIN&amp;site_id=027910","Geol Survey Link")</f>
        <v>Geol Survey Link</v>
      </c>
      <c r="H4895" t="s">
        <v>3307</v>
      </c>
      <c r="I4895">
        <v>-29.9221</v>
      </c>
      <c r="J4895">
        <v>150.60499999999999</v>
      </c>
      <c r="K4895" t="str">
        <f>HYPERLINK("http://nvcl.geoscience.nsw.gov.au/NVCLDataServices/mosaic.html?datasetid=24b929bd-0c24-4cea-ba3f-ba114a38e80","SCDH-1_Core Image")</f>
        <v>SCDH-1_Core Image</v>
      </c>
    </row>
    <row r="4896" spans="1:11" x14ac:dyDescent="0.25">
      <c r="A4896" t="str">
        <f>HYPERLINK("http://www.corstruth.com.au/NSW/SCDH-7_cs.png","SCDH-7_A4")</f>
        <v>SCDH-7_A4</v>
      </c>
      <c r="D4896" t="s">
        <v>3308</v>
      </c>
      <c r="E4896" t="s">
        <v>2198</v>
      </c>
      <c r="F4896" t="str">
        <f>HYPERLINK("http://dwh.geoscience.nsw.gov.au/CI/warehouse/raw/drillhole?project=MIN&amp;site_id=027916","Geol Survey Link")</f>
        <v>Geol Survey Link</v>
      </c>
      <c r="H4896" t="s">
        <v>3307</v>
      </c>
      <c r="I4896">
        <v>-29.926200000000001</v>
      </c>
      <c r="J4896">
        <v>150.607</v>
      </c>
      <c r="K4896" t="str">
        <f>HYPERLINK("http://nvcl.geoscience.nsw.gov.au/NVCLDataServices/mosaic.html?datasetid=1c67f73e-3990-4fde-99e1-9a6628a8bf0","SCDH-7_Core Image")</f>
        <v>SCDH-7_Core Image</v>
      </c>
    </row>
    <row r="4897" spans="1:11" x14ac:dyDescent="0.25">
      <c r="A4897" t="str">
        <f>HYPERLINK("http://www.corstruth.com.au/NSW/95SMD-67_cs.png","95SMD-67_A4")</f>
        <v>95SMD-67_A4</v>
      </c>
      <c r="B4897" t="str">
        <f>HYPERLINK("http://www.corstruth.com.au/NSW/PNG2/95SMD-67_cs.png","95SMD-67_0.25m Bins")</f>
        <v>95SMD-67_0.25m Bins</v>
      </c>
      <c r="C4897" t="str">
        <f>HYPERLINK("http://www.corstruth.com.au/NSW/CSV/95SMD-67.csv","95SMD-67_CSV File 1m Bins")</f>
        <v>95SMD-67_CSV File 1m Bins</v>
      </c>
      <c r="D4897" t="s">
        <v>3309</v>
      </c>
      <c r="E4897" t="s">
        <v>2198</v>
      </c>
      <c r="F4897" t="str">
        <f>HYPERLINK("http://dwh.geoscience.nsw.gov.au/CI/warehouse/raw/drillhole?project=MIN&amp;site_id=018826","Geol Survey Link")</f>
        <v>Geol Survey Link</v>
      </c>
      <c r="H4897" t="s">
        <v>3310</v>
      </c>
      <c r="I4897">
        <v>-34.569499999999998</v>
      </c>
      <c r="J4897">
        <v>147.696</v>
      </c>
      <c r="K4897" t="str">
        <f>HYPERLINK("http://nvcl.geoscience.nsw.gov.au/NVCLDataServices/mosaic.html?datasetid=1b688019-bdf7-4005-ac19-353ab04ea0d","95SMD-67_Core Image")</f>
        <v>95SMD-67_Core Image</v>
      </c>
    </row>
    <row r="4898" spans="1:11" x14ac:dyDescent="0.25">
      <c r="A4898" t="str">
        <f>HYPERLINK("http://www.corstruth.com.au/NSW/TD9209_cs.png","TD9209_A4")</f>
        <v>TD9209_A4</v>
      </c>
      <c r="B4898" t="str">
        <f>HYPERLINK("http://www.corstruth.com.au/NSW/PNG2/TD9209_cs.png","TD9209_0.25m Bins")</f>
        <v>TD9209_0.25m Bins</v>
      </c>
      <c r="C4898" t="str">
        <f>HYPERLINK("http://www.corstruth.com.au/NSW/CSV/TD9209.csv","TD9209_CSV File 1m Bins")</f>
        <v>TD9209_CSV File 1m Bins</v>
      </c>
      <c r="D4898" t="s">
        <v>3311</v>
      </c>
      <c r="E4898" t="s">
        <v>2198</v>
      </c>
      <c r="F4898" t="str">
        <f>HYPERLINK("http://dwh.geoscience.nsw.gov.au/CI/warehouse/raw/drillhole?project=MIN&amp;site_id=001212","Geol Survey Link")</f>
        <v>Geol Survey Link</v>
      </c>
      <c r="H4898" t="s">
        <v>3312</v>
      </c>
      <c r="I4898">
        <v>-30.480499999999999</v>
      </c>
      <c r="J4898">
        <v>141.03200000000001</v>
      </c>
      <c r="K4898" t="str">
        <f>HYPERLINK("http://nvcl.geoscience.nsw.gov.au/NVCLDataServices/mosaic.html?datasetid=9a42b41b-ea42-47f9-9898-95be413bdf3","TD9209_Core Image")</f>
        <v>TD9209_Core Image</v>
      </c>
    </row>
    <row r="4899" spans="1:11" x14ac:dyDescent="0.25">
      <c r="A4899" t="str">
        <f>HYPERLINK("http://www.corstruth.com.au/NSW/DDHTS03_cs.png","DDHTS03_A4")</f>
        <v>DDHTS03_A4</v>
      </c>
      <c r="B4899" t="str">
        <f>HYPERLINK("http://www.corstruth.com.au/NSW/PNG2/DDHTS03_cs.png","DDHTS03_0.25m Bins")</f>
        <v>DDHTS03_0.25m Bins</v>
      </c>
      <c r="C4899" t="str">
        <f>HYPERLINK("http://www.corstruth.com.au/NSW/CSV/DDHTS03.csv","DDHTS03_CSV File 1m Bins")</f>
        <v>DDHTS03_CSV File 1m Bins</v>
      </c>
      <c r="D4899" t="s">
        <v>3313</v>
      </c>
      <c r="E4899" t="s">
        <v>2198</v>
      </c>
      <c r="F4899" t="str">
        <f>HYPERLINK("http://dwh.geoscience.nsw.gov.au/CI/warehouse/raw/drillhole?project=MIN&amp;site_id=001032","Geol Survey Link")</f>
        <v>Geol Survey Link</v>
      </c>
      <c r="H4899" t="s">
        <v>3314</v>
      </c>
      <c r="I4899">
        <v>-31.847300000000001</v>
      </c>
      <c r="J4899">
        <v>141.46100000000001</v>
      </c>
      <c r="K4899" t="str">
        <f>HYPERLINK("http://nvcl.geoscience.nsw.gov.au/NVCLDataServices/mosaic.html?datasetid=a59a00a0-db28-4ea2-920b-00aa8d66271","DDHTS03_Core Image")</f>
        <v>DDHTS03_Core Image</v>
      </c>
    </row>
    <row r="4900" spans="1:11" x14ac:dyDescent="0.25">
      <c r="A4900" t="str">
        <f>HYPERLINK("http://www.corstruth.com.au/NSW/STV3_cs.png","STV3_A4")</f>
        <v>STV3_A4</v>
      </c>
      <c r="B4900" t="str">
        <f>HYPERLINK("http://www.corstruth.com.au/NSW/PNG2/STV3_cs.png","STV3_0.25m Bins")</f>
        <v>STV3_0.25m Bins</v>
      </c>
      <c r="C4900" t="str">
        <f>HYPERLINK("http://www.corstruth.com.au/NSW/CSV/STV3.csv","STV3_CSV File 1m Bins")</f>
        <v>STV3_CSV File 1m Bins</v>
      </c>
      <c r="D4900" t="s">
        <v>3315</v>
      </c>
      <c r="E4900" t="s">
        <v>2198</v>
      </c>
      <c r="F4900" t="str">
        <f>HYPERLINK("http://dwh.geoscience.nsw.gov.au/CI/warehouse/raw/drillhole?project=MIN&amp;site_id=001759","Geol Survey Link")</f>
        <v>Geol Survey Link</v>
      </c>
      <c r="H4900" t="s">
        <v>3316</v>
      </c>
      <c r="I4900">
        <v>-31.957799999999999</v>
      </c>
      <c r="J4900">
        <v>141.35</v>
      </c>
      <c r="K4900" t="str">
        <f>HYPERLINK("http://nvcl.geoscience.nsw.gov.au/NVCLDataServices/mosaic.html?datasetid=b8026fe1-f6ee-48c6-a96e-fee9337fc7e","STV3_Core Image")</f>
        <v>STV3_Core Image</v>
      </c>
    </row>
    <row r="4901" spans="1:11" x14ac:dyDescent="0.25">
      <c r="A4901" t="str">
        <f>HYPERLINK("http://www.corstruth.com.au/NSW/TBD001_cs.png","TBD001_A4")</f>
        <v>TBD001_A4</v>
      </c>
      <c r="B4901" t="str">
        <f>HYPERLINK("http://www.corstruth.com.au/NSW/PNG2/TBD001_cs.png","TBD001_0.25m Bins")</f>
        <v>TBD001_0.25m Bins</v>
      </c>
      <c r="C4901" t="str">
        <f>HYPERLINK("http://www.corstruth.com.au/NSW/CSV/TBD001.csv","TBD001_CSV File 1m Bins")</f>
        <v>TBD001_CSV File 1m Bins</v>
      </c>
      <c r="D4901" t="s">
        <v>3317</v>
      </c>
      <c r="E4901" t="s">
        <v>2198</v>
      </c>
      <c r="F4901" t="str">
        <f>HYPERLINK("http://dwh.geoscience.nsw.gov.au/CI/warehouse/raw/drillhole?project=MIN&amp;site_id=338026","Geol Survey Link")</f>
        <v>Geol Survey Link</v>
      </c>
      <c r="H4901" t="s">
        <v>3318</v>
      </c>
      <c r="I4901">
        <v>-32.747399999999999</v>
      </c>
      <c r="J4901">
        <v>146.583</v>
      </c>
      <c r="K4901" t="str">
        <f>HYPERLINK("http://nvcl.geoscience.nsw.gov.au/NVCLDataServices/mosaic.html?datasetid=84a07fc8-f8c6-4bca-81ef-01d1a62bc7b","TBD001_Core Image")</f>
        <v>TBD001_Core Image</v>
      </c>
    </row>
    <row r="4902" spans="1:11" x14ac:dyDescent="0.25">
      <c r="A4902" t="str">
        <f>HYPERLINK("http://www.corstruth.com.au/NSW/TBRCD003_cs.png","TBRCD003_A4")</f>
        <v>TBRCD003_A4</v>
      </c>
      <c r="B4902" t="str">
        <f>HYPERLINK("http://www.corstruth.com.au/NSW/PNG2/TBRCD003_cs.png","TBRCD003_0.25m Bins")</f>
        <v>TBRCD003_0.25m Bins</v>
      </c>
      <c r="C4902" t="str">
        <f>HYPERLINK("http://www.corstruth.com.au/NSW/CSV/TBRCD003.csv","TBRCD003_CSV File 1m Bins")</f>
        <v>TBRCD003_CSV File 1m Bins</v>
      </c>
      <c r="D4902" t="s">
        <v>3319</v>
      </c>
      <c r="E4902" t="s">
        <v>2198</v>
      </c>
      <c r="F4902" t="str">
        <f>HYPERLINK("http://dwh.geoscience.nsw.gov.au/CI/warehouse/raw/drillhole?project=MIN&amp;site_id=338028","Geol Survey Link")</f>
        <v>Geol Survey Link</v>
      </c>
      <c r="H4902" t="s">
        <v>3320</v>
      </c>
      <c r="I4902">
        <v>-32.745699999999999</v>
      </c>
      <c r="J4902">
        <v>146.58199999999999</v>
      </c>
      <c r="K4902" t="str">
        <f>HYPERLINK("http://nvcl.geoscience.nsw.gov.au/NVCLDataServices/mosaic.html?datasetid=2869a9e6-af95-4913-b7a8-406d6076db1","TBRCD003_Core Image")</f>
        <v>TBRCD003_Core Image</v>
      </c>
    </row>
    <row r="4903" spans="1:11" x14ac:dyDescent="0.25">
      <c r="A4903" t="str">
        <f>HYPERLINK("http://www.corstruth.com.au/NSW/Tallebung11_cs.png","Tallebung11_A4")</f>
        <v>Tallebung11_A4</v>
      </c>
      <c r="B4903" t="str">
        <f>HYPERLINK("http://www.corstruth.com.au/NSW/PNG2/Tallebung11_cs.png","Tallebung11_0.25m Bins")</f>
        <v>Tallebung11_0.25m Bins</v>
      </c>
      <c r="C4903" t="str">
        <f>HYPERLINK("http://www.corstruth.com.au/NSW/CSV/Tallebung11.csv","Tallebung11_CSV File 1m Bins")</f>
        <v>Tallebung11_CSV File 1m Bins</v>
      </c>
      <c r="D4903" t="s">
        <v>3321</v>
      </c>
      <c r="E4903" t="s">
        <v>2198</v>
      </c>
      <c r="F4903" t="str">
        <f>HYPERLINK("http://dwh.geoscience.nsw.gov.au/CI/warehouse/raw/drillhole?project=MIN&amp;site_id=007415","Geol Survey Link")</f>
        <v>Geol Survey Link</v>
      </c>
      <c r="H4903" t="s">
        <v>3322</v>
      </c>
      <c r="I4903">
        <v>-32.747399999999999</v>
      </c>
      <c r="J4903">
        <v>146.58099999999999</v>
      </c>
    </row>
    <row r="4904" spans="1:11" x14ac:dyDescent="0.25">
      <c r="A4904" t="str">
        <f>HYPERLINK("http://www.corstruth.com.au/NSW/DG520-3_cs.png","DG520-3_A4")</f>
        <v>DG520-3_A4</v>
      </c>
      <c r="D4904" t="s">
        <v>3323</v>
      </c>
      <c r="E4904" t="s">
        <v>2198</v>
      </c>
      <c r="F4904" t="str">
        <f>HYPERLINK("http://dwh.geoscience.nsw.gov.au/CI/warehouse/raw/drillhole?project=MIN&amp;site_id=027275","Geol Survey Link")</f>
        <v>Geol Survey Link</v>
      </c>
      <c r="H4904" t="s">
        <v>3324</v>
      </c>
      <c r="I4904">
        <v>-29.386299999999999</v>
      </c>
      <c r="J4904">
        <v>151.55199999999999</v>
      </c>
      <c r="K4904" t="str">
        <f>HYPERLINK("http://nvcl.geoscience.nsw.gov.au/NVCLDataServices/mosaic.html?datasetid=b8d3bad9-1e62-4012-840c-c2f046a6650","DG520-3_Core Image")</f>
        <v>DG520-3_Core Image</v>
      </c>
    </row>
    <row r="4905" spans="1:11" x14ac:dyDescent="0.25">
      <c r="A4905" t="str">
        <f>HYPERLINK("http://www.corstruth.com.au/NSW/TD9210_cs.png","TD9210_A4")</f>
        <v>TD9210_A4</v>
      </c>
      <c r="B4905" t="str">
        <f>HYPERLINK("http://www.corstruth.com.au/NSW/PNG2/TD9210_cs.png","TD9210_0.25m Bins")</f>
        <v>TD9210_0.25m Bins</v>
      </c>
      <c r="C4905" t="str">
        <f>HYPERLINK("http://www.corstruth.com.au/NSW/CSV/TD9210.csv","TD9210_CSV File 1m Bins")</f>
        <v>TD9210_CSV File 1m Bins</v>
      </c>
      <c r="D4905" t="s">
        <v>3325</v>
      </c>
      <c r="E4905" t="s">
        <v>2198</v>
      </c>
      <c r="F4905" t="str">
        <f>HYPERLINK("http://dwh.geoscience.nsw.gov.au/CI/warehouse/raw/drillhole?project=MIN&amp;site_id=001213","Geol Survey Link")</f>
        <v>Geol Survey Link</v>
      </c>
      <c r="H4905" t="s">
        <v>3326</v>
      </c>
      <c r="I4905">
        <v>-30.888200000000001</v>
      </c>
      <c r="J4905">
        <v>141.32</v>
      </c>
      <c r="K4905" t="str">
        <f>HYPERLINK("http://nvcl.geoscience.nsw.gov.au/NVCLDataServices/mosaic.html?datasetid=e8d62215-ee5d-4507-8580-f19de05d2c0","TD9210_Core Image")</f>
        <v>TD9210_Core Image</v>
      </c>
    </row>
    <row r="4906" spans="1:11" x14ac:dyDescent="0.25">
      <c r="A4906" t="str">
        <f>HYPERLINK("http://www.corstruth.com.au/NSW/DD95TH02_cs.png","DD95TH02_A4")</f>
        <v>DD95TH02_A4</v>
      </c>
      <c r="B4906" t="str">
        <f>HYPERLINK("http://www.corstruth.com.au/NSW/PNG2/DD95TH02_cs.png","DD95TH02_0.25m Bins")</f>
        <v>DD95TH02_0.25m Bins</v>
      </c>
      <c r="C4906" t="str">
        <f>HYPERLINK("http://www.corstruth.com.au/NSW/CSV/DD95TH02.csv","DD95TH02_CSV File 1m Bins")</f>
        <v>DD95TH02_CSV File 1m Bins</v>
      </c>
      <c r="D4906" t="s">
        <v>3327</v>
      </c>
      <c r="E4906" t="s">
        <v>2198</v>
      </c>
      <c r="F4906" t="str">
        <f>HYPERLINK("http://dwh.geoscience.nsw.gov.au/CI/warehouse/raw/drillhole?project=MIN&amp;site_id=001619","Geol Survey Link")</f>
        <v>Geol Survey Link</v>
      </c>
      <c r="H4906" t="s">
        <v>3328</v>
      </c>
      <c r="I4906">
        <v>-32.053600000000003</v>
      </c>
      <c r="J4906">
        <v>141.13900000000001</v>
      </c>
      <c r="K4906" t="str">
        <f>HYPERLINK("http://nvcl.geoscience.nsw.gov.au/NVCLDataServices/mosaic.html?datasetid=86efa128-4eb1-44fe-93c5-afaa24a930b","DD95TH02_Core Image")</f>
        <v>DD95TH02_Core Image</v>
      </c>
    </row>
    <row r="4907" spans="1:11" x14ac:dyDescent="0.25">
      <c r="A4907" t="str">
        <f>HYPERLINK("http://www.corstruth.com.au/NSW/DD95TH05_cs.png","DD95TH05_A4")</f>
        <v>DD95TH05_A4</v>
      </c>
      <c r="D4907" t="s">
        <v>3329</v>
      </c>
      <c r="E4907" t="s">
        <v>2198</v>
      </c>
      <c r="F4907" t="str">
        <f>HYPERLINK("http://dwh.geoscience.nsw.gov.au/CI/warehouse/raw/drillhole?project=MIN&amp;site_id=001622","Geol Survey Link")</f>
        <v>Geol Survey Link</v>
      </c>
      <c r="H4907" t="s">
        <v>3328</v>
      </c>
      <c r="I4907">
        <v>-32.050800000000002</v>
      </c>
      <c r="J4907">
        <v>141.12799999999999</v>
      </c>
      <c r="K4907" t="str">
        <f>HYPERLINK("http://nvcl.geoscience.nsw.gov.au/NVCLDataServices/mosaic.html?datasetid=9228bf7a-5d2a-4869-baf2-22f2dc14fc7","DD95TH05_Core Image")</f>
        <v>DD95TH05_Core Image</v>
      </c>
    </row>
    <row r="4908" spans="1:11" x14ac:dyDescent="0.25">
      <c r="A4908" t="str">
        <f>HYPERLINK("http://www.corstruth.com.au/NSW/DD95TH06_cs.png","DD95TH06_A4")</f>
        <v>DD95TH06_A4</v>
      </c>
      <c r="D4908" t="s">
        <v>3330</v>
      </c>
      <c r="E4908" t="s">
        <v>2198</v>
      </c>
      <c r="F4908" t="str">
        <f>HYPERLINK("http://dwh.geoscience.nsw.gov.au/CI/warehouse/raw/drillhole?project=MIN&amp;site_id=001623","Geol Survey Link")</f>
        <v>Geol Survey Link</v>
      </c>
      <c r="H4908" t="s">
        <v>3328</v>
      </c>
      <c r="I4908">
        <v>-32.049799999999998</v>
      </c>
      <c r="J4908">
        <v>141.13300000000001</v>
      </c>
      <c r="K4908" t="str">
        <f>HYPERLINK("http://nvcl.geoscience.nsw.gov.au/NVCLDataServices/mosaic.html?datasetid=062d1235-711b-4e0b-ae7e-323b1e25095","DD95TH06_Core Image")</f>
        <v>DD95TH06_Core Image</v>
      </c>
    </row>
    <row r="4909" spans="1:11" x14ac:dyDescent="0.25">
      <c r="A4909" t="str">
        <f>HYPERLINK("http://www.corstruth.com.au/NSW/DDHCD5_cs.png","DDHCD5_A4")</f>
        <v>DDHCD5_A4</v>
      </c>
      <c r="D4909" t="s">
        <v>3331</v>
      </c>
      <c r="E4909" t="s">
        <v>2198</v>
      </c>
      <c r="F4909" t="str">
        <f>HYPERLINK("http://dwh.geoscience.nsw.gov.au/CI/warehouse/raw/drillhole?project=MIN&amp;site_id=005831","Geol Survey Link")</f>
        <v>Geol Survey Link</v>
      </c>
      <c r="H4909" t="s">
        <v>3332</v>
      </c>
      <c r="I4909">
        <v>-34.932000000000002</v>
      </c>
      <c r="J4909">
        <v>149.54599999999999</v>
      </c>
      <c r="K4909" t="str">
        <f>HYPERLINK("http://nvcl.geoscience.nsw.gov.au/NVCLDataServices/mosaic.html?datasetid=3ca0f0b5-216d-4dc4-b16c-3cf0903d7a9","DDHCD5_Core Image")</f>
        <v>DDHCD5_Core Image</v>
      </c>
    </row>
    <row r="4910" spans="1:11" x14ac:dyDescent="0.25">
      <c r="A4910" t="str">
        <f>HYPERLINK("http://www.corstruth.com.au/NSW/DDHCD6_cs.png","DDHCD6_A4")</f>
        <v>DDHCD6_A4</v>
      </c>
      <c r="D4910" t="s">
        <v>3333</v>
      </c>
      <c r="E4910" t="s">
        <v>2198</v>
      </c>
      <c r="F4910" t="str">
        <f>HYPERLINK("http://dwh.geoscience.nsw.gov.au/CI/warehouse/raw/drillhole?project=MIN&amp;site_id=005832","Geol Survey Link")</f>
        <v>Geol Survey Link</v>
      </c>
      <c r="H4910" t="s">
        <v>3332</v>
      </c>
      <c r="I4910">
        <v>-34.927900000000001</v>
      </c>
      <c r="J4910">
        <v>149.55000000000001</v>
      </c>
      <c r="K4910" t="str">
        <f>HYPERLINK("http://nvcl.geoscience.nsw.gov.au/NVCLDataServices/mosaic.html?datasetid=ae28ecf5-9e7b-45fc-9656-3daead98620","DDHCD6_Core Image")</f>
        <v>DDHCD6_Core Image</v>
      </c>
    </row>
    <row r="4911" spans="1:11" x14ac:dyDescent="0.25">
      <c r="A4911" t="str">
        <f>HYPERLINK("http://www.corstruth.com.au/NSW/DDHCD7_cs.png","DDHCD7_A4")</f>
        <v>DDHCD7_A4</v>
      </c>
      <c r="D4911" t="s">
        <v>3334</v>
      </c>
      <c r="E4911" t="s">
        <v>2198</v>
      </c>
      <c r="F4911" t="str">
        <f>HYPERLINK("http://dwh.geoscience.nsw.gov.au/CI/warehouse/raw/drillhole?project=MIN&amp;site_id=005833","Geol Survey Link")</f>
        <v>Geol Survey Link</v>
      </c>
      <c r="H4911" t="s">
        <v>3332</v>
      </c>
      <c r="I4911">
        <v>-34.926600000000001</v>
      </c>
      <c r="J4911">
        <v>149.55099999999999</v>
      </c>
      <c r="K4911" t="str">
        <f>HYPERLINK("http://nvcl.geoscience.nsw.gov.au/NVCLDataServices/mosaic.html?datasetid=babcc97f-c976-4c2d-8914-0456a02ee42","DDHCD7_Core Image")</f>
        <v>DDHCD7_Core Image</v>
      </c>
    </row>
    <row r="4912" spans="1:11" x14ac:dyDescent="0.25">
      <c r="A4912" t="str">
        <f>HYPERLINK("http://www.corstruth.com.au/NSW/DD87TI1_cs.png","DD87TI1_A4")</f>
        <v>DD87TI1_A4</v>
      </c>
      <c r="B4912" t="str">
        <f>HYPERLINK("http://www.corstruth.com.au/NSW/PNG2/DD87TI1_cs.png","DD87TI1_0.25m Bins")</f>
        <v>DD87TI1_0.25m Bins</v>
      </c>
      <c r="C4912" t="str">
        <f>HYPERLINK("http://www.corstruth.com.au/NSW/CSV/DD87TI1.csv","DD87TI1_CSV File 1m Bins")</f>
        <v>DD87TI1_CSV File 1m Bins</v>
      </c>
      <c r="D4912" t="s">
        <v>3335</v>
      </c>
      <c r="E4912" t="s">
        <v>2198</v>
      </c>
      <c r="F4912" t="str">
        <f>HYPERLINK("http://dwh.geoscience.nsw.gov.au/CI/warehouse/raw/drillhole?project=MIN&amp;site_id=016107","Geol Survey Link")</f>
        <v>Geol Survey Link</v>
      </c>
      <c r="H4912" t="s">
        <v>3336</v>
      </c>
      <c r="I4912">
        <v>-31.170400000000001</v>
      </c>
      <c r="J4912">
        <v>145.77799999999999</v>
      </c>
      <c r="K4912" t="str">
        <f>HYPERLINK("http://nvcl.geoscience.nsw.gov.au/NVCLDataServices/mosaic.html?datasetid=555a13b1-57c0-468a-9af3-ecb08b209aa","DD87TI1_Core Image")</f>
        <v>DD87TI1_Core Image</v>
      </c>
    </row>
    <row r="4913" spans="1:11" x14ac:dyDescent="0.25">
      <c r="A4913" t="str">
        <f>HYPERLINK("http://www.corstruth.com.au/NSW/DD87TI3_cs.png","DD87TI3_A4")</f>
        <v>DD87TI3_A4</v>
      </c>
      <c r="B4913" t="str">
        <f>HYPERLINK("http://www.corstruth.com.au/NSW/PNG2/DD87TI3_cs.png","DD87TI3_0.25m Bins")</f>
        <v>DD87TI3_0.25m Bins</v>
      </c>
      <c r="C4913" t="str">
        <f>HYPERLINK("http://www.corstruth.com.au/NSW/CSV/DD87TI3.csv","DD87TI3_CSV File 1m Bins")</f>
        <v>DD87TI3_CSV File 1m Bins</v>
      </c>
      <c r="D4913" t="s">
        <v>3337</v>
      </c>
      <c r="E4913" t="s">
        <v>2198</v>
      </c>
      <c r="F4913" t="str">
        <f>HYPERLINK("http://dwh.geoscience.nsw.gov.au/CI/warehouse/raw/drillhole?project=MIN&amp;site_id=016108","Geol Survey Link")</f>
        <v>Geol Survey Link</v>
      </c>
      <c r="H4913" t="s">
        <v>3338</v>
      </c>
      <c r="I4913">
        <v>-31.170999999999999</v>
      </c>
      <c r="J4913">
        <v>145.779</v>
      </c>
      <c r="K4913" t="str">
        <f>HYPERLINK("http://nvcl.geoscience.nsw.gov.au/NVCLDataServices/mosaic.html?datasetid=f37462c3-10c3-4ad9-994f-24be03e576d","DD87TI3_Core Image")</f>
        <v>DD87TI3_Core Image</v>
      </c>
    </row>
    <row r="4914" spans="1:11" x14ac:dyDescent="0.25">
      <c r="A4914" t="str">
        <f>HYPERLINK("http://www.corstruth.com.au/NSW/T-4A_cs.png","T-4A_A4")</f>
        <v>T-4A_A4</v>
      </c>
      <c r="D4914" t="s">
        <v>3339</v>
      </c>
      <c r="E4914" t="s">
        <v>2198</v>
      </c>
      <c r="F4914" t="str">
        <f>HYPERLINK("http://dwh.geoscience.nsw.gov.au/CI/warehouse/raw/drillhole?project=MIN&amp;site_id=005383","Geol Survey Link")</f>
        <v>Geol Survey Link</v>
      </c>
      <c r="H4914" t="s">
        <v>3340</v>
      </c>
      <c r="I4914">
        <v>-30.2514</v>
      </c>
      <c r="J4914">
        <v>145.56700000000001</v>
      </c>
      <c r="K4914" t="str">
        <f>HYPERLINK("http://nvcl.geoscience.nsw.gov.au/NVCLDataServices/mosaic.html?datasetid=b0f2da6a-5e47-4b69-ba8a-8f35735c63e","T-4A_Core Image")</f>
        <v>T-4A_Core Image</v>
      </c>
    </row>
    <row r="4915" spans="1:11" x14ac:dyDescent="0.25">
      <c r="A4915" t="str">
        <f>HYPERLINK("http://www.corstruth.com.au/NSW/TD01_cs.png","TD01_A4")</f>
        <v>TD01_A4</v>
      </c>
      <c r="D4915" t="s">
        <v>3341</v>
      </c>
      <c r="E4915" t="s">
        <v>2198</v>
      </c>
      <c r="F4915" t="str">
        <f>HYPERLINK("http://dwh.geoscience.nsw.gov.au/CI/warehouse/raw/drillhole?project=MIN&amp;site_id=024275","Geol Survey Link")</f>
        <v>Geol Survey Link</v>
      </c>
      <c r="H4915" t="s">
        <v>3342</v>
      </c>
      <c r="I4915">
        <v>-32.104999999999997</v>
      </c>
      <c r="J4915">
        <v>147.97499999999999</v>
      </c>
      <c r="K4915" t="str">
        <f>HYPERLINK("http://nvcl.geoscience.nsw.gov.au/NVCLDataServices/mosaic.html?datasetid=1bfb0a2b-49f1-45e9-8095-9ff1f1b9a1c","TD01_Core Image")</f>
        <v>TD01_Core Image</v>
      </c>
    </row>
    <row r="4916" spans="1:11" x14ac:dyDescent="0.25">
      <c r="A4916" t="str">
        <f>HYPERLINK("http://www.corstruth.com.au/NSW/TTDD028_cs.png","TTDD028_A4")</f>
        <v>TTDD028_A4</v>
      </c>
      <c r="B4916" t="str">
        <f>HYPERLINK("http://www.corstruth.com.au/NSW/PNG2/TTDD028_cs.png","TTDD028_0.25m Bins")</f>
        <v>TTDD028_0.25m Bins</v>
      </c>
      <c r="C4916" t="str">
        <f>HYPERLINK("http://www.corstruth.com.au/NSW/CSV/TTDD028.csv","TTDD028_CSV File 1m Bins")</f>
        <v>TTDD028_CSV File 1m Bins</v>
      </c>
      <c r="D4916" t="s">
        <v>3343</v>
      </c>
      <c r="E4916" t="s">
        <v>2198</v>
      </c>
      <c r="F4916" t="str">
        <f>HYPERLINK("http://dwh.geoscience.nsw.gov.au/CI/warehouse/raw/drillhole?project=MIN&amp;site_id=110403","Geol Survey Link")</f>
        <v>Geol Survey Link</v>
      </c>
      <c r="H4916" t="s">
        <v>3344</v>
      </c>
      <c r="I4916">
        <v>-31.396599999999999</v>
      </c>
      <c r="J4916">
        <v>146.732</v>
      </c>
      <c r="K4916" t="str">
        <f>HYPERLINK("http://nvcl.geoscience.nsw.gov.au/NVCLDataServices/mosaic.html?datasetid=c9988ae1-ea89-461a-98ec-6d4d2cc3b7d","TTDD028_Core Image")</f>
        <v>TTDD028_Core Image</v>
      </c>
    </row>
    <row r="4917" spans="1:11" x14ac:dyDescent="0.25">
      <c r="A4917" t="str">
        <f>HYPERLINK("http://www.corstruth.com.au/NSW/Valla1_cs.png","Valla1_A4")</f>
        <v>Valla1_A4</v>
      </c>
      <c r="D4917" t="s">
        <v>3345</v>
      </c>
      <c r="E4917" t="s">
        <v>2198</v>
      </c>
      <c r="F4917" t="str">
        <f>HYPERLINK("http://dwh.geoscience.nsw.gov.au/CI/warehouse/raw/drillhole?project=MIN&amp;site_id=025219","Geol Survey Link")</f>
        <v>Geol Survey Link</v>
      </c>
      <c r="H4917" t="s">
        <v>3346</v>
      </c>
      <c r="I4917">
        <v>-30.561199999999999</v>
      </c>
      <c r="J4917">
        <v>153.00800000000001</v>
      </c>
      <c r="K4917" t="str">
        <f>HYPERLINK("http://nvcl.geoscience.nsw.gov.au/NVCLDataServices/mosaic.html?datasetid=fdfd6e7a-4859-452a-b122-16d4c47eaf0","Valla1_Core Image")</f>
        <v>Valla1_Core Image</v>
      </c>
    </row>
    <row r="4918" spans="1:11" x14ac:dyDescent="0.25">
      <c r="A4918" t="str">
        <f>HYPERLINK("http://www.corstruth.com.au/NSW/DD89HWTD21B_cs.png","DD89HWTD21B_A4")</f>
        <v>DD89HWTD21B_A4</v>
      </c>
      <c r="B4918" t="str">
        <f>HYPERLINK("http://www.corstruth.com.au/NSW/PNG2/DD89HWTD21B_cs.png","DD89HWTD21B_0.25m Bins")</f>
        <v>DD89HWTD21B_0.25m Bins</v>
      </c>
      <c r="C4918" t="str">
        <f>HYPERLINK("http://www.corstruth.com.au/NSW/CSV/DD89HWTD21B.csv","DD89HWTD21B_CSV File 1m Bins")</f>
        <v>DD89HWTD21B_CSV File 1m Bins</v>
      </c>
      <c r="D4918" t="s">
        <v>3347</v>
      </c>
      <c r="E4918" t="s">
        <v>2198</v>
      </c>
      <c r="F4918" t="str">
        <f>HYPERLINK("http://dwh.geoscience.nsw.gov.au/CI/warehouse/raw/drillhole?project=MIN&amp;site_id=040419","Geol Survey Link")</f>
        <v>Geol Survey Link</v>
      </c>
      <c r="H4918" t="s">
        <v>3348</v>
      </c>
      <c r="I4918">
        <v>-32.643799999999999</v>
      </c>
      <c r="J4918">
        <v>145.71</v>
      </c>
      <c r="K4918" t="str">
        <f>HYPERLINK("http://nvcl.geoscience.nsw.gov.au/NVCLDataServices/mosaic.html?datasetid=35d5f212-d39f-493d-a40f-f1a20713d2e","DD89HWTD21B_Core Image")</f>
        <v>DD89HWTD21B_Core Image</v>
      </c>
    </row>
    <row r="4919" spans="1:11" x14ac:dyDescent="0.25">
      <c r="A4919" t="str">
        <f>HYPERLINK("http://www.corstruth.com.au/NSW/HWTD-02_cs.png","HWTD-02_A4")</f>
        <v>HWTD-02_A4</v>
      </c>
      <c r="B4919" t="str">
        <f>HYPERLINK("http://www.corstruth.com.au/NSW/PNG2/HWTD-02_cs.png","HWTD-02_0.25m Bins")</f>
        <v>HWTD-02_0.25m Bins</v>
      </c>
      <c r="C4919" t="str">
        <f>HYPERLINK("http://www.corstruth.com.au/NSW/CSV/HWTD-02.csv","HWTD-02_CSV File 1m Bins")</f>
        <v>HWTD-02_CSV File 1m Bins</v>
      </c>
      <c r="D4919" t="s">
        <v>3349</v>
      </c>
      <c r="E4919" t="s">
        <v>2198</v>
      </c>
      <c r="F4919" t="str">
        <f>HYPERLINK("http://dwh.geoscience.nsw.gov.au/CI/warehouse/raw/drillhole?project=MIN&amp;site_id=040397","Geol Survey Link")</f>
        <v>Geol Survey Link</v>
      </c>
      <c r="H4919" t="s">
        <v>3350</v>
      </c>
      <c r="I4919">
        <v>-32.643000000000001</v>
      </c>
      <c r="J4919">
        <v>145.70599999999999</v>
      </c>
      <c r="K4919" t="str">
        <f>HYPERLINK("http://nvcl.geoscience.nsw.gov.au/NVCLDataServices/mosaic.html?datasetid=193f7af3-143a-478b-859d-b60b8cec8da","HWTD-02_Core Image")</f>
        <v>HWTD-02_Core Image</v>
      </c>
    </row>
    <row r="4920" spans="1:11" x14ac:dyDescent="0.25">
      <c r="A4920" t="str">
        <f>HYPERLINK("http://www.corstruth.com.au/NSW/HWTD-06_cs.png","HWTD-06_A4")</f>
        <v>HWTD-06_A4</v>
      </c>
      <c r="B4920" t="str">
        <f>HYPERLINK("http://www.corstruth.com.au/NSW/PNG2/HWTD-06_cs.png","HWTD-06_0.25m Bins")</f>
        <v>HWTD-06_0.25m Bins</v>
      </c>
      <c r="C4920" t="str">
        <f>HYPERLINK("http://www.corstruth.com.au/NSW/CSV/HWTD-06.csv","HWTD-06_CSV File 1m Bins")</f>
        <v>HWTD-06_CSV File 1m Bins</v>
      </c>
      <c r="D4920" t="s">
        <v>3351</v>
      </c>
      <c r="E4920" t="s">
        <v>2198</v>
      </c>
      <c r="F4920" t="str">
        <f>HYPERLINK("http://dwh.geoscience.nsw.gov.au/CI/warehouse/raw/drillhole?project=MIN&amp;site_id=040401","Geol Survey Link")</f>
        <v>Geol Survey Link</v>
      </c>
      <c r="H4920" t="s">
        <v>3352</v>
      </c>
      <c r="I4920">
        <v>-32.642899999999997</v>
      </c>
      <c r="J4920">
        <v>145.70500000000001</v>
      </c>
      <c r="K4920" t="str">
        <f>HYPERLINK("http://nvcl.geoscience.nsw.gov.au/NVCLDataServices/mosaic.html?datasetid=e39d2610-b3e1-4c82-9344-80de35fe83c","HWTD-06_Core Image")</f>
        <v>HWTD-06_Core Image</v>
      </c>
    </row>
    <row r="4921" spans="1:11" x14ac:dyDescent="0.25">
      <c r="A4921" t="str">
        <f>HYPERLINK("http://www.corstruth.com.au/NSW/HWTD-08_cs.png","HWTD-08_A4")</f>
        <v>HWTD-08_A4</v>
      </c>
      <c r="B4921" t="str">
        <f>HYPERLINK("http://www.corstruth.com.au/NSW/PNG2/HWTD-08_cs.png","HWTD-08_0.25m Bins")</f>
        <v>HWTD-08_0.25m Bins</v>
      </c>
      <c r="C4921" t="str">
        <f>HYPERLINK("http://www.corstruth.com.au/NSW/CSV/HWTD-08.csv","HWTD-08_CSV File 1m Bins")</f>
        <v>HWTD-08_CSV File 1m Bins</v>
      </c>
      <c r="D4921" t="s">
        <v>3353</v>
      </c>
      <c r="E4921" t="s">
        <v>2198</v>
      </c>
      <c r="F4921" t="str">
        <f>HYPERLINK("http://dwh.geoscience.nsw.gov.au/CI/warehouse/raw/drillhole?project=MIN&amp;site_id=040403","Geol Survey Link")</f>
        <v>Geol Survey Link</v>
      </c>
      <c r="H4921" t="s">
        <v>3354</v>
      </c>
      <c r="I4921">
        <v>-32.643599999999999</v>
      </c>
      <c r="J4921">
        <v>145.70699999999999</v>
      </c>
      <c r="K4921" t="str">
        <f>HYPERLINK("http://nvcl.geoscience.nsw.gov.au/NVCLDataServices/mosaic.html?datasetid=7cfdc1ef-464e-4958-a605-e8e7e259a91","HWTD-08_Core Image")</f>
        <v>HWTD-08_Core Image</v>
      </c>
    </row>
    <row r="4922" spans="1:11" x14ac:dyDescent="0.25">
      <c r="A4922" t="str">
        <f>HYPERLINK("http://www.corstruth.com.au/NSW/HWTD-09_cs.png","HWTD-09_A4")</f>
        <v>HWTD-09_A4</v>
      </c>
      <c r="B4922" t="str">
        <f>HYPERLINK("http://www.corstruth.com.au/NSW/PNG2/HWTD-09_cs.png","HWTD-09_0.25m Bins")</f>
        <v>HWTD-09_0.25m Bins</v>
      </c>
      <c r="C4922" t="str">
        <f>HYPERLINK("http://www.corstruth.com.au/NSW/CSV/HWTD-09.csv","HWTD-09_CSV File 1m Bins")</f>
        <v>HWTD-09_CSV File 1m Bins</v>
      </c>
      <c r="D4922" t="s">
        <v>3355</v>
      </c>
      <c r="E4922" t="s">
        <v>2198</v>
      </c>
      <c r="F4922" t="str">
        <f>HYPERLINK("http://dwh.geoscience.nsw.gov.au/CI/warehouse/raw/drillhole?project=MIN&amp;site_id=040405","Geol Survey Link")</f>
        <v>Geol Survey Link</v>
      </c>
      <c r="H4922" t="s">
        <v>3356</v>
      </c>
      <c r="I4922">
        <v>-32.642499999999998</v>
      </c>
      <c r="J4922">
        <v>145.70599999999999</v>
      </c>
      <c r="K4922" t="str">
        <f>HYPERLINK("http://nvcl.geoscience.nsw.gov.au/NVCLDataServices/mosaic.html?datasetid=4fd97ed1-9744-40f4-b5e8-a7a8799da31","HWTD-09_Core Image")</f>
        <v>HWTD-09_Core Image</v>
      </c>
    </row>
    <row r="4923" spans="1:11" x14ac:dyDescent="0.25">
      <c r="A4923" t="str">
        <f>HYPERLINK("http://www.corstruth.com.au/NSW/HWTD-10_cs.png","HWTD-10_A4")</f>
        <v>HWTD-10_A4</v>
      </c>
      <c r="B4923" t="str">
        <f>HYPERLINK("http://www.corstruth.com.au/NSW/PNG2/HWTD-10_cs.png","HWTD-10_0.25m Bins")</f>
        <v>HWTD-10_0.25m Bins</v>
      </c>
      <c r="C4923" t="str">
        <f>HYPERLINK("http://www.corstruth.com.au/NSW/CSV/HWTD-10.csv","HWTD-10_CSV File 1m Bins")</f>
        <v>HWTD-10_CSV File 1m Bins</v>
      </c>
      <c r="D4923" t="s">
        <v>3357</v>
      </c>
      <c r="E4923" t="s">
        <v>2198</v>
      </c>
      <c r="F4923" t="str">
        <f>HYPERLINK("http://dwh.geoscience.nsw.gov.au/CI/warehouse/raw/drillhole?project=MIN&amp;site_id=040406","Geol Survey Link")</f>
        <v>Geol Survey Link</v>
      </c>
      <c r="H4923" t="s">
        <v>3358</v>
      </c>
      <c r="I4923">
        <v>-32.6419</v>
      </c>
      <c r="J4923">
        <v>145.70500000000001</v>
      </c>
      <c r="K4923" t="str">
        <f>HYPERLINK("http://nvcl.geoscience.nsw.gov.au/NVCLDataServices/mosaic.html?datasetid=0a5a5389-1c00-4815-afbf-f29bc7a3fad","HWTD-10_Core Image")</f>
        <v>HWTD-10_Core Image</v>
      </c>
    </row>
    <row r="4924" spans="1:11" x14ac:dyDescent="0.25">
      <c r="A4924" t="str">
        <f>HYPERLINK("http://www.corstruth.com.au/NSW/NWTD-01_cs.png","NWTD-01_A4")</f>
        <v>NWTD-01_A4</v>
      </c>
      <c r="B4924" t="str">
        <f>HYPERLINK("http://www.corstruth.com.au/NSW/PNG2/NWTD-01_cs.png","NWTD-01_0.25m Bins")</f>
        <v>NWTD-01_0.25m Bins</v>
      </c>
      <c r="C4924" t="str">
        <f>HYPERLINK("http://www.corstruth.com.au/NSW/CSV/NWTD-01.csv","NWTD-01_CSV File 1m Bins")</f>
        <v>NWTD-01_CSV File 1m Bins</v>
      </c>
      <c r="D4924" t="s">
        <v>3359</v>
      </c>
      <c r="E4924" t="s">
        <v>2198</v>
      </c>
      <c r="F4924" t="str">
        <f>HYPERLINK("http://dwh.geoscience.nsw.gov.au/CI/warehouse/raw/drillhole?project=MIN&amp;site_id=040396","Geol Survey Link")</f>
        <v>Geol Survey Link</v>
      </c>
      <c r="H4924" t="s">
        <v>3360</v>
      </c>
      <c r="I4924">
        <v>-32.6447</v>
      </c>
      <c r="J4924">
        <v>145.70599999999999</v>
      </c>
      <c r="K4924" t="str">
        <f>HYPERLINK("http://nvcl.geoscience.nsw.gov.au/NVCLDataServices/mosaic.html?datasetid=06e148bf-0bca-4f04-b604-40e3cfdb013","NWTD-01_Core Image")</f>
        <v>NWTD-01_Core Image</v>
      </c>
    </row>
    <row r="4925" spans="1:11" x14ac:dyDescent="0.25">
      <c r="A4925" t="str">
        <f>HYPERLINK("http://www.corstruth.com.au/NSW/WTRCDD061_cs.png","WTRCDD061_A4")</f>
        <v>WTRCDD061_A4</v>
      </c>
      <c r="B4925" t="str">
        <f>HYPERLINK("http://www.corstruth.com.au/NSW/PNG2/WTRCDD061_cs.png","WTRCDD061_0.25m Bins")</f>
        <v>WTRCDD061_0.25m Bins</v>
      </c>
      <c r="C4925" t="str">
        <f>HYPERLINK("http://www.corstruth.com.au/NSW/CSV/WTRCDD061.csv","WTRCDD061_CSV File 1m Bins")</f>
        <v>WTRCDD061_CSV File 1m Bins</v>
      </c>
      <c r="D4925" t="s">
        <v>3361</v>
      </c>
      <c r="E4925" t="s">
        <v>2198</v>
      </c>
      <c r="F4925" t="str">
        <f>HYPERLINK("http://dwh.geoscience.nsw.gov.au/CI/warehouse/raw/drillhole?project=MIN&amp;site_id=239455","Geol Survey Link")</f>
        <v>Geol Survey Link</v>
      </c>
      <c r="H4925" t="s">
        <v>3362</v>
      </c>
      <c r="I4925">
        <v>-32.653799999999997</v>
      </c>
      <c r="J4925">
        <v>145.703</v>
      </c>
      <c r="K4925" t="str">
        <f>HYPERLINK("http://nvcl.geoscience.nsw.gov.au/NVCLDataServices/mosaic.html?datasetid=e16ea67e-0ad1-464a-8a61-6dad356920a","WTRCDD061_Core Image")</f>
        <v>WTRCDD061_Core Image</v>
      </c>
    </row>
    <row r="4926" spans="1:11" x14ac:dyDescent="0.25">
      <c r="A4926" t="str">
        <f>HYPERLINK("http://www.corstruth.com.au/NSW/WTRCDD082_cs.png","WTRCDD082_A4")</f>
        <v>WTRCDD082_A4</v>
      </c>
      <c r="B4926" t="str">
        <f>HYPERLINK("http://www.corstruth.com.au/NSW/PNG2/WTRCDD082_cs.png","WTRCDD082_0.25m Bins")</f>
        <v>WTRCDD082_0.25m Bins</v>
      </c>
      <c r="C4926" t="str">
        <f>HYPERLINK("http://www.corstruth.com.au/NSW/CSV/WTRCDD082.csv","WTRCDD082_CSV File 1m Bins")</f>
        <v>WTRCDD082_CSV File 1m Bins</v>
      </c>
      <c r="D4926" t="s">
        <v>3363</v>
      </c>
      <c r="E4926" t="s">
        <v>2198</v>
      </c>
      <c r="F4926" t="str">
        <f>HYPERLINK("http://dwh.geoscience.nsw.gov.au/CI/warehouse/raw/drillhole?project=MIN&amp;site_id=254010","Geol Survey Link")</f>
        <v>Geol Survey Link</v>
      </c>
      <c r="H4926" t="s">
        <v>3364</v>
      </c>
      <c r="I4926">
        <v>-32.6556</v>
      </c>
      <c r="J4926">
        <v>145.70400000000001</v>
      </c>
      <c r="K4926" t="str">
        <f>HYPERLINK("http://nvcl.geoscience.nsw.gov.au/NVCLDataServices/mosaic.html?datasetid=820dc908-1727-4b87-bff7-f5a9d43da57","WTRCDD082_Core Image")</f>
        <v>WTRCDD082_Core Image</v>
      </c>
    </row>
    <row r="4927" spans="1:11" x14ac:dyDescent="0.25">
      <c r="A4927" t="str">
        <f>HYPERLINK("http://www.corstruth.com.au/NSW/WTRCDD100_cs.png","WTRCDD100_A4")</f>
        <v>WTRCDD100_A4</v>
      </c>
      <c r="B4927" t="str">
        <f>HYPERLINK("http://www.corstruth.com.au/NSW/PNG2/WTRCDD100_cs.png","WTRCDD100_0.25m Bins")</f>
        <v>WTRCDD100_0.25m Bins</v>
      </c>
      <c r="C4927" t="str">
        <f>HYPERLINK("http://www.corstruth.com.au/NSW/CSV/WTRCDD100.csv","WTRCDD100_CSV File 1m Bins")</f>
        <v>WTRCDD100_CSV File 1m Bins</v>
      </c>
      <c r="D4927" t="s">
        <v>3365</v>
      </c>
      <c r="E4927" t="s">
        <v>2198</v>
      </c>
      <c r="F4927" t="str">
        <f>HYPERLINK("http://dwh.geoscience.nsw.gov.au/CI/warehouse/raw/drillhole?project=MIN&amp;site_id=254020","Geol Survey Link")</f>
        <v>Geol Survey Link</v>
      </c>
      <c r="H4927" t="s">
        <v>3366</v>
      </c>
      <c r="I4927">
        <v>-32.650300000000001</v>
      </c>
      <c r="J4927">
        <v>145.70400000000001</v>
      </c>
      <c r="K4927" t="str">
        <f>HYPERLINK("http://nvcl.geoscience.nsw.gov.au/NVCLDataServices/mosaic.html?datasetid=02e081c5-61ad-495c-a557-6f25ab6b24e","WTRCDD100_Core Image")</f>
        <v>WTRCDD100_Core Image</v>
      </c>
    </row>
    <row r="4928" spans="1:11" x14ac:dyDescent="0.25">
      <c r="A4928" t="str">
        <f>HYPERLINK("http://www.corstruth.com.au/NSW/WTRCDD141_cs.png","WTRCDD141_A4")</f>
        <v>WTRCDD141_A4</v>
      </c>
      <c r="B4928" t="str">
        <f>HYPERLINK("http://www.corstruth.com.au/NSW/PNG2/WTRCDD141_cs.png","WTRCDD141_0.25m Bins")</f>
        <v>WTRCDD141_0.25m Bins</v>
      </c>
      <c r="C4928" t="str">
        <f>HYPERLINK("http://www.corstruth.com.au/NSW/CSV/WTRCDD141.csv","WTRCDD141_CSV File 1m Bins")</f>
        <v>WTRCDD141_CSV File 1m Bins</v>
      </c>
      <c r="D4928" t="s">
        <v>3367</v>
      </c>
      <c r="E4928" t="s">
        <v>2198</v>
      </c>
      <c r="F4928" t="str">
        <f>HYPERLINK("http://dwh.geoscience.nsw.gov.au/CI/warehouse/raw/drillhole?project=MIN&amp;site_id=311901","Geol Survey Link")</f>
        <v>Geol Survey Link</v>
      </c>
      <c r="H4928" t="s">
        <v>3368</v>
      </c>
      <c r="I4928">
        <v>-32.648200000000003</v>
      </c>
      <c r="J4928">
        <v>145.708</v>
      </c>
    </row>
    <row r="4929" spans="1:11" x14ac:dyDescent="0.25">
      <c r="A4929" t="str">
        <f>HYPERLINK("http://www.corstruth.com.au/NSW/WTRCDD141W1_cs.png","WTRCDD141W1_A4")</f>
        <v>WTRCDD141W1_A4</v>
      </c>
      <c r="B4929" t="str">
        <f>HYPERLINK("http://www.corstruth.com.au/NSW/PNG2/WTRCDD141W1_cs.png","WTRCDD141W1_0.25m Bins")</f>
        <v>WTRCDD141W1_0.25m Bins</v>
      </c>
      <c r="C4929" t="str">
        <f>HYPERLINK("http://www.corstruth.com.au/NSW/CSV/WTRCDD141W1.csv","WTRCDD141W1_CSV File 1m Bins")</f>
        <v>WTRCDD141W1_CSV File 1m Bins</v>
      </c>
      <c r="D4929" t="s">
        <v>3369</v>
      </c>
      <c r="E4929" t="s">
        <v>2198</v>
      </c>
      <c r="F4929" t="str">
        <f>HYPERLINK("http://dwh.geoscience.nsw.gov.au/CI/warehouse/raw/drillhole?project=MIN&amp;site_id=311877","Geol Survey Link")</f>
        <v>Geol Survey Link</v>
      </c>
      <c r="H4929" t="s">
        <v>3370</v>
      </c>
      <c r="I4929">
        <v>-32.648200000000003</v>
      </c>
      <c r="J4929">
        <v>145.708</v>
      </c>
      <c r="K4929" t="str">
        <f>HYPERLINK("http://nvcl.geoscience.nsw.gov.au/NVCLDataServices/mosaic.html?datasetid=8ebf8959-9208-4793-bba0-cf30ffa44d7","WTRCDD141W1_Core Image")</f>
        <v>WTRCDD141W1_Core Image</v>
      </c>
    </row>
    <row r="4930" spans="1:11" x14ac:dyDescent="0.25">
      <c r="A4930" t="str">
        <f>HYPERLINK("http://www.corstruth.com.au/NSW/WTRCDD141W2_cs.png","WTRCDD141W2_A4")</f>
        <v>WTRCDD141W2_A4</v>
      </c>
      <c r="B4930" t="str">
        <f>HYPERLINK("http://www.corstruth.com.au/NSW/PNG2/WTRCDD141W2_cs.png","WTRCDD141W2_0.25m Bins")</f>
        <v>WTRCDD141W2_0.25m Bins</v>
      </c>
      <c r="C4930" t="str">
        <f>HYPERLINK("http://www.corstruth.com.au/NSW/CSV/WTRCDD141W2.csv","WTRCDD141W2_CSV File 1m Bins")</f>
        <v>WTRCDD141W2_CSV File 1m Bins</v>
      </c>
      <c r="D4930" t="s">
        <v>3371</v>
      </c>
      <c r="E4930" t="s">
        <v>2198</v>
      </c>
      <c r="F4930" t="str">
        <f>HYPERLINK("http://dwh.geoscience.nsw.gov.au/CI/warehouse/raw/drillhole?project=MIN&amp;site_id=311879","Geol Survey Link")</f>
        <v>Geol Survey Link</v>
      </c>
      <c r="H4930" t="s">
        <v>3372</v>
      </c>
      <c r="I4930">
        <v>-32.648200000000003</v>
      </c>
      <c r="J4930">
        <v>145.708</v>
      </c>
      <c r="K4930" t="str">
        <f>HYPERLINK("http://nvcl.geoscience.nsw.gov.au/NVCLDataServices/mosaic.html?datasetid=98b1cf74-e067-4570-a367-2eb0b6945b6","WTRCDD141W2_Core Image")</f>
        <v>WTRCDD141W2_Core Image</v>
      </c>
    </row>
    <row r="4931" spans="1:11" x14ac:dyDescent="0.25">
      <c r="A4931" t="str">
        <f>HYPERLINK("http://www.corstruth.com.au/NSW/WTRCDD178_cs.png","WTRCDD178_A4")</f>
        <v>WTRCDD178_A4</v>
      </c>
      <c r="B4931" t="str">
        <f>HYPERLINK("http://www.corstruth.com.au/NSW/PNG2/WTRCDD178_cs.png","WTRCDD178_0.25m Bins")</f>
        <v>WTRCDD178_0.25m Bins</v>
      </c>
      <c r="C4931" t="str">
        <f>HYPERLINK("http://www.corstruth.com.au/NSW/CSV/WTRCDD178.csv","WTRCDD178_CSV File 1m Bins")</f>
        <v>WTRCDD178_CSV File 1m Bins</v>
      </c>
      <c r="D4931" t="s">
        <v>3373</v>
      </c>
      <c r="E4931" t="s">
        <v>2198</v>
      </c>
      <c r="F4931" t="str">
        <f>HYPERLINK("http://dwh.geoscience.nsw.gov.au/CI/warehouse/raw/drillhole?project=MIN&amp;site_id=311915","Geol Survey Link")</f>
        <v>Geol Survey Link</v>
      </c>
      <c r="H4931" t="s">
        <v>3374</v>
      </c>
      <c r="I4931">
        <v>-32.643500000000003</v>
      </c>
      <c r="J4931">
        <v>145.71100000000001</v>
      </c>
      <c r="K4931" t="str">
        <f>HYPERLINK("http://nvcl.geoscience.nsw.gov.au/NVCLDataServices/mosaic.html?datasetid=66e09e94-88a3-4978-bf03-ef30c10c769","WTRCDD178_Core Image")</f>
        <v>WTRCDD178_Core Image</v>
      </c>
    </row>
    <row r="4932" spans="1:11" x14ac:dyDescent="0.25">
      <c r="A4932" t="str">
        <f>HYPERLINK("http://www.corstruth.com.au/NSW/WTRCDD241_cs.png","WTRCDD241_A4")</f>
        <v>WTRCDD241_A4</v>
      </c>
      <c r="B4932" t="str">
        <f>HYPERLINK("http://www.corstruth.com.au/NSW/PNG2/WTRCDD241_cs.png","WTRCDD241_0.25m Bins")</f>
        <v>WTRCDD241_0.25m Bins</v>
      </c>
      <c r="C4932" t="str">
        <f>HYPERLINK("http://www.corstruth.com.au/NSW/CSV/WTRCDD241.csv","WTRCDD241_CSV File 1m Bins")</f>
        <v>WTRCDD241_CSV File 1m Bins</v>
      </c>
      <c r="D4932" t="s">
        <v>3375</v>
      </c>
      <c r="E4932" t="s">
        <v>2198</v>
      </c>
      <c r="F4932" t="str">
        <f>HYPERLINK("http://dwh.geoscience.nsw.gov.au/CI/warehouse/raw/drillhole?project=MIN&amp;site_id=311967","Geol Survey Link")</f>
        <v>Geol Survey Link</v>
      </c>
      <c r="H4932" t="s">
        <v>3376</v>
      </c>
      <c r="I4932">
        <v>-32.659399999999998</v>
      </c>
      <c r="J4932">
        <v>145.702</v>
      </c>
      <c r="K4932" t="str">
        <f>HYPERLINK("http://nvcl.geoscience.nsw.gov.au/NVCLDataServices/mosaic.html?datasetid=09a1a8b5-307d-49da-aabd-f720ca10c2f","WTRCDD241_Core Image")</f>
        <v>WTRCDD241_Core Image</v>
      </c>
    </row>
    <row r="4933" spans="1:11" x14ac:dyDescent="0.25">
      <c r="A4933" t="str">
        <f>HYPERLINK("http://www.corstruth.com.au/NSW/DDHDM2_cs.png","DDHDM2_A4")</f>
        <v>DDHDM2_A4</v>
      </c>
      <c r="D4933" t="s">
        <v>3377</v>
      </c>
      <c r="E4933" t="s">
        <v>2198</v>
      </c>
      <c r="F4933" t="str">
        <f>HYPERLINK("http://dwh.geoscience.nsw.gov.au/CI/warehouse/raw/drillhole?project=MIN&amp;site_id=042686","Geol Survey Link")</f>
        <v>Geol Survey Link</v>
      </c>
      <c r="H4933" t="s">
        <v>3378</v>
      </c>
      <c r="I4933">
        <v>-33.128300000000003</v>
      </c>
      <c r="J4933">
        <v>149.691</v>
      </c>
      <c r="K4933" t="str">
        <f>HYPERLINK("http://nvcl.geoscience.nsw.gov.au/NVCLDataServices/mosaic.html?datasetid=1f94e1bf-fd0a-4577-9d15-a9ee9d0c7da","DDHDM2_Core Image")</f>
        <v>DDHDM2_Core Image</v>
      </c>
    </row>
    <row r="4934" spans="1:11" x14ac:dyDescent="0.25">
      <c r="A4934" t="str">
        <f>HYPERLINK("http://www.corstruth.com.au/NSW/PC302_cs.png","PC302_A4")</f>
        <v>PC302_A4</v>
      </c>
      <c r="B4934" t="str">
        <f>HYPERLINK("http://www.corstruth.com.au/NSW/PNG2/PC302_cs.png","PC302_0.25m Bins")</f>
        <v>PC302_0.25m Bins</v>
      </c>
      <c r="C4934" t="str">
        <f>HYPERLINK("http://www.corstruth.com.au/NSW/CSV/PC302.csv","PC302_CSV File 1m Bins")</f>
        <v>PC302_CSV File 1m Bins</v>
      </c>
      <c r="D4934" t="s">
        <v>3379</v>
      </c>
      <c r="E4934" t="s">
        <v>2198</v>
      </c>
      <c r="F4934" t="str">
        <f>HYPERLINK("http://dwh.geoscience.nsw.gov.au/CI/warehouse/raw/drillhole?project=MIN&amp;site_id=003365","Geol Survey Link")</f>
        <v>Geol Survey Link</v>
      </c>
      <c r="H4934" t="s">
        <v>3380</v>
      </c>
      <c r="I4934">
        <v>-33.450400000000002</v>
      </c>
      <c r="J4934">
        <v>148.98599999999999</v>
      </c>
      <c r="K4934" t="str">
        <f>HYPERLINK("http://nvcl.geoscience.nsw.gov.au/NVCLDataServices/mosaic.html?datasetid=cbb88b7a-921b-404a-8523-b3074878deb","PC302_Core Image")</f>
        <v>PC302_Core Image</v>
      </c>
    </row>
    <row r="4935" spans="1:11" x14ac:dyDescent="0.25">
      <c r="A4935" t="str">
        <f>HYPERLINK("http://www.corstruth.com.au/NSW/PC303_cs.png","PC303_A4")</f>
        <v>PC303_A4</v>
      </c>
      <c r="B4935" t="str">
        <f>HYPERLINK("http://www.corstruth.com.au/NSW/PNG2/PC303_cs.png","PC303_0.25m Bins")</f>
        <v>PC303_0.25m Bins</v>
      </c>
      <c r="C4935" t="str">
        <f>HYPERLINK("http://www.corstruth.com.au/NSW/CSV/PC303.csv","PC303_CSV File 1m Bins")</f>
        <v>PC303_CSV File 1m Bins</v>
      </c>
      <c r="D4935" t="s">
        <v>3381</v>
      </c>
      <c r="E4935" t="s">
        <v>2198</v>
      </c>
      <c r="F4935" t="str">
        <f>HYPERLINK("http://dwh.geoscience.nsw.gov.au/CI/warehouse/raw/drillhole?project=MIN&amp;site_id=003366","Geol Survey Link")</f>
        <v>Geol Survey Link</v>
      </c>
      <c r="H4935" t="s">
        <v>3382</v>
      </c>
      <c r="I4935">
        <v>-33.449399999999997</v>
      </c>
      <c r="J4935">
        <v>148.988</v>
      </c>
      <c r="K4935" t="str">
        <f>HYPERLINK("http://nvcl.geoscience.nsw.gov.au/NVCLDataServices/mosaic.html?datasetid=1b2d60df-5d1b-4f0d-81f3-eb32b038f82","PC303_Core Image")</f>
        <v>PC303_Core Image</v>
      </c>
    </row>
    <row r="4936" spans="1:11" x14ac:dyDescent="0.25">
      <c r="A4936" t="str">
        <f>HYPERLINK("http://www.corstruth.com.au/NSW/OCM1_cs.png","OCM1_A4")</f>
        <v>OCM1_A4</v>
      </c>
      <c r="B4936" t="str">
        <f>HYPERLINK("http://www.corstruth.com.au/NSW/PNG2/OCM1_cs.png","OCM1_0.25m Bins")</f>
        <v>OCM1_0.25m Bins</v>
      </c>
      <c r="C4936" t="str">
        <f>HYPERLINK("http://www.corstruth.com.au/NSW/CSV/OCM1.csv","OCM1_CSV File 1m Bins")</f>
        <v>OCM1_CSV File 1m Bins</v>
      </c>
      <c r="D4936" t="s">
        <v>3383</v>
      </c>
      <c r="E4936" t="s">
        <v>2198</v>
      </c>
      <c r="F4936" t="str">
        <f>HYPERLINK("http://dwh.geoscience.nsw.gov.au/CI/warehouse/raw/drillhole?project=MIN&amp;site_id=005427","Geol Survey Link")</f>
        <v>Geol Survey Link</v>
      </c>
      <c r="H4936" t="s">
        <v>3384</v>
      </c>
      <c r="I4936">
        <v>-32.5167</v>
      </c>
      <c r="J4936">
        <v>149.61000000000001</v>
      </c>
      <c r="K4936" t="str">
        <f>HYPERLINK("http://nvcl.geoscience.nsw.gov.au/NVCLDataServices/mosaic.html?datasetid=9d90d22d-0694-4da5-be34-eaf4dcc1ab1","OCM1_Core Image")</f>
        <v>OCM1_Core Image</v>
      </c>
    </row>
    <row r="4937" spans="1:11" x14ac:dyDescent="0.25">
      <c r="A4937" t="str">
        <f>HYPERLINK("http://www.corstruth.com.au/NSW/B1011_cs.png","B1011_A4")</f>
        <v>B1011_A4</v>
      </c>
      <c r="B4937" t="str">
        <f>HYPERLINK("http://www.corstruth.com.au/NSW/PNG2/B1011_cs.png","B1011_0.25m Bins")</f>
        <v>B1011_0.25m Bins</v>
      </c>
      <c r="C4937" t="str">
        <f>HYPERLINK("http://www.corstruth.com.au/NSW/CSV/B1011.csv","B1011_CSV File 1m Bins")</f>
        <v>B1011_CSV File 1m Bins</v>
      </c>
      <c r="D4937" t="s">
        <v>3385</v>
      </c>
      <c r="E4937" t="s">
        <v>2198</v>
      </c>
      <c r="F4937" t="str">
        <f>HYPERLINK("http://dwh.geoscience.nsw.gov.au/CI/warehouse/raw/drillhole?project=MIN&amp;site_id=165419","Geol Survey Link")</f>
        <v>Geol Survey Link</v>
      </c>
      <c r="H4937" t="s">
        <v>3386</v>
      </c>
      <c r="I4937">
        <v>-34.325499999999998</v>
      </c>
      <c r="J4937">
        <v>146.85599999999999</v>
      </c>
      <c r="K4937" t="str">
        <f>HYPERLINK("http://nvcl.geoscience.nsw.gov.au/NVCLDataServices/mosaic.html?datasetid=cb878f96-5954-4f24-9afe-3c33de342ba","B1011_Core Image")</f>
        <v>B1011_Core Image</v>
      </c>
    </row>
    <row r="4938" spans="1:11" x14ac:dyDescent="0.25">
      <c r="A4938" t="str">
        <f>HYPERLINK("http://www.corstruth.com.au/NSW/TD9207_cs.png","TD9207_A4")</f>
        <v>TD9207_A4</v>
      </c>
      <c r="B4938" t="str">
        <f>HYPERLINK("http://www.corstruth.com.au/NSW/PNG2/TD9207_cs.png","TD9207_0.25m Bins")</f>
        <v>TD9207_0.25m Bins</v>
      </c>
      <c r="C4938" t="str">
        <f>HYPERLINK("http://www.corstruth.com.au/NSW/CSV/TD9207.csv","TD9207_CSV File 1m Bins")</f>
        <v>TD9207_CSV File 1m Bins</v>
      </c>
      <c r="D4938" t="s">
        <v>3387</v>
      </c>
      <c r="E4938" t="s">
        <v>2198</v>
      </c>
      <c r="F4938" t="str">
        <f>HYPERLINK("http://dwh.geoscience.nsw.gov.au/CI/warehouse/raw/drillhole?project=MIN&amp;site_id=001210","Geol Survey Link")</f>
        <v>Geol Survey Link</v>
      </c>
      <c r="H4938" t="s">
        <v>3388</v>
      </c>
      <c r="I4938">
        <v>-30.754300000000001</v>
      </c>
      <c r="J4938">
        <v>141.005</v>
      </c>
      <c r="K4938" t="str">
        <f>HYPERLINK("http://nvcl.geoscience.nsw.gov.au/NVCLDataServices/mosaic.html?datasetid=40038457-5b31-4fbc-b132-c4c2807d1d3","TD9207_Core Image")</f>
        <v>TD9207_Core Image</v>
      </c>
    </row>
    <row r="4939" spans="1:11" x14ac:dyDescent="0.25">
      <c r="A4939" t="str">
        <f>HYPERLINK("http://www.corstruth.com.au/NSW/DD80WW18_cs.png","DD80WW18_A4")</f>
        <v>DD80WW18_A4</v>
      </c>
      <c r="D4939" t="s">
        <v>3389</v>
      </c>
      <c r="E4939" t="s">
        <v>2198</v>
      </c>
      <c r="F4939" t="str">
        <f>HYPERLINK("http://dwh.geoscience.nsw.gov.au/CI/warehouse/raw/drillhole?project=MIN&amp;site_id=027315","Geol Survey Link")</f>
        <v>Geol Survey Link</v>
      </c>
      <c r="H4939" t="s">
        <v>3390</v>
      </c>
      <c r="I4939">
        <v>-30.960799999999999</v>
      </c>
      <c r="J4939">
        <v>152.38499999999999</v>
      </c>
      <c r="K4939" t="str">
        <f>HYPERLINK("http://nvcl.geoscience.nsw.gov.au/NVCLDataServices/mosaic.html?datasetid=cf2b93cb-eccb-4787-8ac3-e3d429ba45d","DD80WW18_Core Image")</f>
        <v>DD80WW18_Core Image</v>
      </c>
    </row>
    <row r="4940" spans="1:11" x14ac:dyDescent="0.25">
      <c r="A4940" t="str">
        <f>HYPERLINK("http://www.corstruth.com.au/NSW/DD80WW19_cs.png","DD80WW19_A4")</f>
        <v>DD80WW19_A4</v>
      </c>
      <c r="D4940" t="s">
        <v>3391</v>
      </c>
      <c r="E4940" t="s">
        <v>2198</v>
      </c>
      <c r="F4940" t="str">
        <f>HYPERLINK("http://dwh.geoscience.nsw.gov.au/CI/warehouse/raw/drillhole?project=MIN&amp;site_id=027316","Geol Survey Link")</f>
        <v>Geol Survey Link</v>
      </c>
      <c r="H4940" t="s">
        <v>3390</v>
      </c>
      <c r="I4940">
        <v>-30.962499999999999</v>
      </c>
      <c r="J4940">
        <v>152.38399999999999</v>
      </c>
      <c r="K4940" t="str">
        <f>HYPERLINK("http://nvcl.geoscience.nsw.gov.au/NVCLDataServices/mosaic.html?datasetid=565903e9-99a0-4c49-a47b-7aadfe7481f","DD80WW19_Core Image")</f>
        <v>DD80WW19_Core Image</v>
      </c>
    </row>
    <row r="4941" spans="1:11" x14ac:dyDescent="0.25">
      <c r="A4941" t="str">
        <f>HYPERLINK("http://www.corstruth.com.au/NSW/DD80WW20_cs.png","DD80WW20_A4")</f>
        <v>DD80WW20_A4</v>
      </c>
      <c r="D4941" t="s">
        <v>3392</v>
      </c>
      <c r="E4941" t="s">
        <v>2198</v>
      </c>
      <c r="F4941" t="str">
        <f>HYPERLINK("http://dwh.geoscience.nsw.gov.au/CI/warehouse/raw/drillhole?project=MIN&amp;site_id=027317","Geol Survey Link")</f>
        <v>Geol Survey Link</v>
      </c>
      <c r="H4941" t="s">
        <v>3390</v>
      </c>
      <c r="I4941">
        <v>-30.962499999999999</v>
      </c>
      <c r="J4941">
        <v>152.38399999999999</v>
      </c>
      <c r="K4941" t="str">
        <f>HYPERLINK("http://nvcl.geoscience.nsw.gov.au/NVCLDataServices/mosaic.html?datasetid=3cc9fcc4-e01e-40be-944d-7902f348e17","DD80WW20_Core Image")</f>
        <v>DD80WW20_Core Image</v>
      </c>
    </row>
    <row r="4942" spans="1:11" x14ac:dyDescent="0.25">
      <c r="A4942" t="str">
        <f>HYPERLINK("http://www.corstruth.com.au/NSW/PDD015_cs.png","PDD015_A4")</f>
        <v>PDD015_A4</v>
      </c>
      <c r="B4942" t="str">
        <f>HYPERLINK("http://www.corstruth.com.au/NSW/PNG2/PDD015_cs.png","PDD015_0.25m Bins")</f>
        <v>PDD015_0.25m Bins</v>
      </c>
      <c r="C4942" t="str">
        <f>HYPERLINK("http://www.corstruth.com.au/NSW/CSV/PDD015.csv","PDD015_CSV File 1m Bins")</f>
        <v>PDD015_CSV File 1m Bins</v>
      </c>
      <c r="D4942" t="s">
        <v>3393</v>
      </c>
      <c r="E4942" t="s">
        <v>2198</v>
      </c>
      <c r="F4942" t="str">
        <f>HYPERLINK("http://dwh.geoscience.nsw.gov.au/CI/warehouse/raw/drillhole?project=MIN&amp;site_id=229707","Geol Survey Link")</f>
        <v>Geol Survey Link</v>
      </c>
      <c r="H4942" t="s">
        <v>3394</v>
      </c>
      <c r="I4942">
        <v>-36.544600000000003</v>
      </c>
      <c r="J4942">
        <v>148.74799999999999</v>
      </c>
    </row>
    <row r="4943" spans="1:11" x14ac:dyDescent="0.25">
      <c r="A4943" t="str">
        <f>HYPERLINK("http://www.corstruth.com.au/NSW/WLDD001_cs.png","WLDD001_A4")</f>
        <v>WLDD001_A4</v>
      </c>
      <c r="B4943" t="str">
        <f>HYPERLINK("http://www.corstruth.com.au/NSW/PNG2/WLDD001_cs.png","WLDD001_0.25m Bins")</f>
        <v>WLDD001_0.25m Bins</v>
      </c>
      <c r="C4943" t="str">
        <f>HYPERLINK("http://www.corstruth.com.au/NSW/CSV/WLDD001.csv","WLDD001_CSV File 1m Bins")</f>
        <v>WLDD001_CSV File 1m Bins</v>
      </c>
      <c r="D4943" t="s">
        <v>3395</v>
      </c>
      <c r="E4943" t="s">
        <v>2198</v>
      </c>
      <c r="F4943" t="str">
        <f>HYPERLINK("http://dwh.geoscience.nsw.gov.au/CI/warehouse/raw/drillhole?project=MIN&amp;site_id=229710","Geol Survey Link")</f>
        <v>Geol Survey Link</v>
      </c>
      <c r="H4943" t="s">
        <v>3396</v>
      </c>
      <c r="I4943">
        <v>-32.110399999999998</v>
      </c>
      <c r="J4943">
        <v>146.13800000000001</v>
      </c>
      <c r="K4943" t="str">
        <f>HYPERLINK("http://nvcl.geoscience.nsw.gov.au/NVCLDataServices/mosaic.html?datasetid=a29fc7fa-355e-4010-9ccc-05d0596df2b","WLDD001_Core Image")</f>
        <v>WLDD001_Core Image</v>
      </c>
    </row>
    <row r="4944" spans="1:11" x14ac:dyDescent="0.25">
      <c r="A4944" t="str">
        <f>HYPERLINK("http://www.corstruth.com.au/NSW/WOND4_cs.png","WOND4_A4")</f>
        <v>WOND4_A4</v>
      </c>
      <c r="D4944" t="s">
        <v>3397</v>
      </c>
      <c r="E4944" t="s">
        <v>2198</v>
      </c>
      <c r="F4944" t="str">
        <f>HYPERLINK("http://dwh.geoscience.nsw.gov.au/CI/warehouse/raw/drillhole?project=MIN&amp;site_id=040807","Geol Survey Link")</f>
        <v>Geol Survey Link</v>
      </c>
      <c r="H4944" t="s">
        <v>3398</v>
      </c>
      <c r="I4944">
        <v>-32.225099999999998</v>
      </c>
      <c r="J4944">
        <v>145.73599999999999</v>
      </c>
      <c r="K4944" t="str">
        <f>HYPERLINK("http://nvcl.geoscience.nsw.gov.au/NVCLDataServices/mosaic.html?datasetid=cabb672a-254d-48ea-a221-fccad051351","WOND4_Core Image")</f>
        <v>WOND4_Core Image</v>
      </c>
    </row>
    <row r="4945" spans="1:11" x14ac:dyDescent="0.25">
      <c r="A4945" t="str">
        <f>HYPERLINK("http://www.corstruth.com.au/NSW/WOND6_cs.png","WOND6_A4")</f>
        <v>WOND6_A4</v>
      </c>
      <c r="D4945" t="s">
        <v>3399</v>
      </c>
      <c r="E4945" t="s">
        <v>2198</v>
      </c>
      <c r="F4945" t="str">
        <f>HYPERLINK("http://dwh.geoscience.nsw.gov.au/CI/warehouse/raw/drillhole?project=MIN&amp;site_id=040809","Geol Survey Link")</f>
        <v>Geol Survey Link</v>
      </c>
      <c r="H4945" t="s">
        <v>3398</v>
      </c>
      <c r="I4945">
        <v>-32.2087</v>
      </c>
      <c r="J4945">
        <v>145.727</v>
      </c>
      <c r="K4945" t="str">
        <f>HYPERLINK("http://nvcl.geoscience.nsw.gov.au/NVCLDataServices/mosaic.html?datasetid=e24fea66-09cc-4dab-869e-8c5a52049c7","WOND6_Core Image")</f>
        <v>WOND6_Core Image</v>
      </c>
    </row>
    <row r="4946" spans="1:11" x14ac:dyDescent="0.25">
      <c r="A4946" t="str">
        <f>HYPERLINK("http://www.corstruth.com.au/NSW/WOND7_cs.png","WOND7_A4")</f>
        <v>WOND7_A4</v>
      </c>
      <c r="D4946" t="s">
        <v>3400</v>
      </c>
      <c r="E4946" t="s">
        <v>2198</v>
      </c>
      <c r="F4946" t="str">
        <f>HYPERLINK("http://dwh.geoscience.nsw.gov.au/CI/warehouse/raw/drillhole?project=MIN&amp;site_id=040810","Geol Survey Link")</f>
        <v>Geol Survey Link</v>
      </c>
      <c r="H4946" t="s">
        <v>3398</v>
      </c>
      <c r="I4946">
        <v>-32.218600000000002</v>
      </c>
      <c r="J4946">
        <v>145.72999999999999</v>
      </c>
      <c r="K4946" t="str">
        <f>HYPERLINK("http://nvcl.geoscience.nsw.gov.au/NVCLDataServices/mosaic.html?datasetid=a605905c-5ac7-45ae-ac38-3b22ccc4112","WOND7_Core Image")</f>
        <v>WOND7_Core Image</v>
      </c>
    </row>
    <row r="4947" spans="1:11" x14ac:dyDescent="0.25">
      <c r="A4947" t="str">
        <f>HYPERLINK("http://www.corstruth.com.au/NSW/DDHW129_cs.png","DDHW129_A4")</f>
        <v>DDHW129_A4</v>
      </c>
      <c r="B4947" t="str">
        <f>HYPERLINK("http://www.corstruth.com.au/NSW/PNG2/DDHW129_cs.png","DDHW129_0.25m Bins")</f>
        <v>DDHW129_0.25m Bins</v>
      </c>
      <c r="C4947" t="str">
        <f>HYPERLINK("http://www.corstruth.com.au/NSW/CSV/DDHW129.csv","DDHW129_CSV File 1m Bins")</f>
        <v>DDHW129_CSV File 1m Bins</v>
      </c>
      <c r="D4947" t="s">
        <v>3401</v>
      </c>
      <c r="E4947" t="s">
        <v>2198</v>
      </c>
      <c r="F4947" t="str">
        <f>HYPERLINK("http://dwh.geoscience.nsw.gov.au/CI/warehouse/raw/drillhole?project=MIN&amp;site_id=042383","Geol Survey Link")</f>
        <v>Geol Survey Link</v>
      </c>
      <c r="H4947" t="s">
        <v>3402</v>
      </c>
      <c r="I4947">
        <v>-35.0595</v>
      </c>
      <c r="J4947">
        <v>149.566</v>
      </c>
      <c r="K4947" t="str">
        <f>HYPERLINK("http://nvcl.geoscience.nsw.gov.au/NVCLDataServices/mosaic.html?datasetid=93736b0f-2b08-4ee7-8717-e45b595c8a4","DDHW129_Core Image")</f>
        <v>DDHW129_Core Image</v>
      </c>
    </row>
    <row r="4948" spans="1:11" x14ac:dyDescent="0.25">
      <c r="A4948" t="str">
        <f>HYPERLINK("http://www.corstruth.com.au/NSW/DDHW138_cs.png","DDHW138_A4")</f>
        <v>DDHW138_A4</v>
      </c>
      <c r="B4948" t="str">
        <f>HYPERLINK("http://www.corstruth.com.au/NSW/PNG2/DDHW138_cs.png","DDHW138_0.25m Bins")</f>
        <v>DDHW138_0.25m Bins</v>
      </c>
      <c r="C4948" t="str">
        <f>HYPERLINK("http://www.corstruth.com.au/NSW/CSV/DDHW138.csv","DDHW138_CSV File 1m Bins")</f>
        <v>DDHW138_CSV File 1m Bins</v>
      </c>
      <c r="D4948" t="s">
        <v>3403</v>
      </c>
      <c r="E4948" t="s">
        <v>2198</v>
      </c>
      <c r="F4948" t="str">
        <f>HYPERLINK("http://dwh.geoscience.nsw.gov.au/CI/warehouse/raw/drillhole?project=MIN&amp;site_id=042392","Geol Survey Link")</f>
        <v>Geol Survey Link</v>
      </c>
      <c r="H4948" t="s">
        <v>3402</v>
      </c>
      <c r="I4948">
        <v>-35.059199999999997</v>
      </c>
      <c r="J4948">
        <v>149.566</v>
      </c>
      <c r="K4948" t="str">
        <f>HYPERLINK("http://nvcl.geoscience.nsw.gov.au/NVCLDataServices/mosaic.html?datasetid=4532bde1-4699-46a9-be4d-522fcb3f384","DDHW138_Core Image")</f>
        <v>DDHW138_Core Image</v>
      </c>
    </row>
    <row r="4949" spans="1:11" x14ac:dyDescent="0.25">
      <c r="A4949" t="str">
        <f>HYPERLINK("http://www.corstruth.com.au/NSW/DDHW199_cs.png","DDHW199_A4")</f>
        <v>DDHW199_A4</v>
      </c>
      <c r="B4949" t="str">
        <f>HYPERLINK("http://www.corstruth.com.au/NSW/PNG2/DDHW199_cs.png","DDHW199_0.25m Bins")</f>
        <v>DDHW199_0.25m Bins</v>
      </c>
      <c r="C4949" t="str">
        <f>HYPERLINK("http://www.corstruth.com.au/NSW/CSV/DDHW199.csv","DDHW199_CSV File 1m Bins")</f>
        <v>DDHW199_CSV File 1m Bins</v>
      </c>
      <c r="D4949" t="s">
        <v>3404</v>
      </c>
      <c r="E4949" t="s">
        <v>2198</v>
      </c>
      <c r="F4949" t="str">
        <f>HYPERLINK("http://dwh.geoscience.nsw.gov.au/CI/warehouse/raw/drillhole?project=MIN&amp;site_id=042462","Geol Survey Link")</f>
        <v>Geol Survey Link</v>
      </c>
      <c r="H4949" t="s">
        <v>3402</v>
      </c>
      <c r="I4949">
        <v>-35.058500000000002</v>
      </c>
      <c r="J4949">
        <v>149.566</v>
      </c>
      <c r="K4949" t="str">
        <f>HYPERLINK("http://nvcl.geoscience.nsw.gov.au/NVCLDataServices/mosaic.html?datasetid=1f6ba8f5-0b46-4d24-b961-b23fd8a270a","DDHW199_Core Image")</f>
        <v>DDHW199_Core Image</v>
      </c>
    </row>
    <row r="4950" spans="1:11" x14ac:dyDescent="0.25">
      <c r="A4950" t="str">
        <f>HYPERLINK("http://www.corstruth.com.au/NSW/YCRCD02_cs.png","YCRCD02_A4")</f>
        <v>YCRCD02_A4</v>
      </c>
      <c r="D4950" t="s">
        <v>3405</v>
      </c>
      <c r="E4950" t="s">
        <v>2198</v>
      </c>
      <c r="F4950" t="str">
        <f>HYPERLINK("http://dwh.geoscience.nsw.gov.au/CI/warehouse/raw/drillhole?project=MIN&amp;site_id=024521","Geol Survey Link")</f>
        <v>Geol Survey Link</v>
      </c>
      <c r="H4950" t="s">
        <v>3406</v>
      </c>
      <c r="I4950">
        <v>-30.259399999999999</v>
      </c>
      <c r="J4950">
        <v>142.81299999999999</v>
      </c>
    </row>
    <row r="4951" spans="1:11" x14ac:dyDescent="0.25">
      <c r="A4951" t="str">
        <f>HYPERLINK("http://www.corstruth.com.au/NSW/DD80YG1_cs.png","DD80YG1_A4")</f>
        <v>DD80YG1_A4</v>
      </c>
      <c r="B4951" t="str">
        <f>HYPERLINK("http://www.corstruth.com.au/NSW/PNG2/DD80YG1_cs.png","DD80YG1_0.25m Bins")</f>
        <v>DD80YG1_0.25m Bins</v>
      </c>
      <c r="C4951" t="str">
        <f>HYPERLINK("http://www.corstruth.com.au/NSW/CSV/DD80YG1.csv","DD80YG1_CSV File 1m Bins")</f>
        <v>DD80YG1_CSV File 1m Bins</v>
      </c>
      <c r="D4951" t="s">
        <v>3407</v>
      </c>
      <c r="E4951" t="s">
        <v>2198</v>
      </c>
      <c r="F4951" t="str">
        <f>HYPERLINK("http://dwh.geoscience.nsw.gov.au/CI/warehouse/raw/drillhole?project=MIN&amp;site_id=001505","Geol Survey Link")</f>
        <v>Geol Survey Link</v>
      </c>
      <c r="H4951" t="s">
        <v>3408</v>
      </c>
      <c r="I4951">
        <v>-31.6571</v>
      </c>
      <c r="J4951">
        <v>141.541</v>
      </c>
      <c r="K4951" t="str">
        <f>HYPERLINK("http://nvcl.geoscience.nsw.gov.au/NVCLDataServices/mosaic.html?datasetid=5cca6593-5a47-49e3-b023-63c21828a28","DD80YG1_Core Image")</f>
        <v>DD80YG1_Core Image</v>
      </c>
    </row>
    <row r="4952" spans="1:11" x14ac:dyDescent="0.25">
      <c r="A4952" t="str">
        <f>HYPERLINK("http://www.corstruth.com.au/NSW/DD80YG1A_cs.png","DD80YG1A_A4")</f>
        <v>DD80YG1A_A4</v>
      </c>
      <c r="B4952" t="str">
        <f>HYPERLINK("http://www.corstruth.com.au/NSW/PNG2/DD80YG1A_cs.png","DD80YG1A_0.25m Bins")</f>
        <v>DD80YG1A_0.25m Bins</v>
      </c>
      <c r="C4952" t="str">
        <f>HYPERLINK("http://www.corstruth.com.au/NSW/CSV/DD80YG1A.csv","DD80YG1A_CSV File 1m Bins")</f>
        <v>DD80YG1A_CSV File 1m Bins</v>
      </c>
      <c r="D4952" t="s">
        <v>3409</v>
      </c>
      <c r="E4952" t="s">
        <v>2198</v>
      </c>
      <c r="F4952" t="str">
        <f>HYPERLINK("http://dwh.geoscience.nsw.gov.au/CI/warehouse/raw/drillhole?project=MIN&amp;site_id=001506","Geol Survey Link")</f>
        <v>Geol Survey Link</v>
      </c>
      <c r="H4952" t="s">
        <v>3408</v>
      </c>
      <c r="I4952">
        <v>-31.6571</v>
      </c>
      <c r="J4952">
        <v>141.541</v>
      </c>
      <c r="K4952" t="str">
        <f>HYPERLINK("http://nvcl.geoscience.nsw.gov.au/NVCLDataServices/mosaic.html?datasetid=e97edfbc-ff35-4902-95a7-feaa11e10c8","DD80YG1A_Core Image")</f>
        <v>DD80YG1A_Core Image</v>
      </c>
    </row>
    <row r="4953" spans="1:11" x14ac:dyDescent="0.25">
      <c r="A4953" t="str">
        <f>HYPERLINK("http://www.corstruth.com.au/NSW/YD-13_cs.png","YD-13_A4")</f>
        <v>YD-13_A4</v>
      </c>
      <c r="B4953" t="str">
        <f>HYPERLINK("http://www.corstruth.com.au/NSW/PNG2/YD-13_cs.png","YD-13_0.25m Bins")</f>
        <v>YD-13_0.25m Bins</v>
      </c>
      <c r="C4953" t="str">
        <f>HYPERLINK("http://www.corstruth.com.au/NSW/CSV/YD-13.csv","YD-13_CSV File 1m Bins")</f>
        <v>YD-13_CSV File 1m Bins</v>
      </c>
      <c r="D4953" t="s">
        <v>3410</v>
      </c>
      <c r="E4953" t="s">
        <v>2198</v>
      </c>
      <c r="F4953" t="str">
        <f>HYPERLINK("http://dwh.geoscience.nsw.gov.au/CI/warehouse/raw/drillhole?project=MIN&amp;site_id=003576","Geol Survey Link")</f>
        <v>Geol Survey Link</v>
      </c>
      <c r="H4953" t="s">
        <v>3411</v>
      </c>
      <c r="I4953">
        <v>-32.466200000000001</v>
      </c>
      <c r="J4953">
        <v>146.822</v>
      </c>
      <c r="K4953" t="str">
        <f>HYPERLINK("http://nvcl.geoscience.nsw.gov.au/NVCLDataServices/mosaic.html?datasetid=927d6d9d-c777-4000-9378-b060fe889c6","YD-13_Core Image")</f>
        <v>YD-13_Core Image</v>
      </c>
    </row>
    <row r="4954" spans="1:11" x14ac:dyDescent="0.25">
      <c r="A4954" t="str">
        <f>HYPERLINK("http://www.corstruth.com.au/NSW/YD-16_cs.png","YD-16_A4")</f>
        <v>YD-16_A4</v>
      </c>
      <c r="B4954" t="str">
        <f>HYPERLINK("http://www.corstruth.com.au/NSW/PNG2/YD-16_cs.png","YD-16_0.25m Bins")</f>
        <v>YD-16_0.25m Bins</v>
      </c>
      <c r="C4954" t="str">
        <f>HYPERLINK("http://www.corstruth.com.au/NSW/CSV/YD-16.csv","YD-16_CSV File 1m Bins")</f>
        <v>YD-16_CSV File 1m Bins</v>
      </c>
      <c r="D4954" t="s">
        <v>3412</v>
      </c>
      <c r="E4954" t="s">
        <v>2198</v>
      </c>
      <c r="F4954" t="str">
        <f>HYPERLINK("http://dwh.geoscience.nsw.gov.au/CI/warehouse/raw/drillhole?project=MIN&amp;site_id=003579","Geol Survey Link")</f>
        <v>Geol Survey Link</v>
      </c>
      <c r="H4954" t="s">
        <v>3411</v>
      </c>
      <c r="I4954">
        <v>-32.466299999999997</v>
      </c>
      <c r="J4954">
        <v>146.82300000000001</v>
      </c>
      <c r="K4954" t="str">
        <f>HYPERLINK("http://nvcl.geoscience.nsw.gov.au/NVCLDataServices/mosaic.html?datasetid=b4166425-fc4b-4499-8cdf-cb2f5d70fbe","YD-16_Core Image")</f>
        <v>YD-16_Core Image</v>
      </c>
    </row>
    <row r="4955" spans="1:11" x14ac:dyDescent="0.25">
      <c r="A4955" t="str">
        <f>HYPERLINK("http://www.corstruth.com.au/NSW/PY12_cs.png","PY12_A4")</f>
        <v>PY12_A4</v>
      </c>
      <c r="B4955" t="str">
        <f>HYPERLINK("http://www.corstruth.com.au/NSW/PNG2/PY12_cs.png","PY12_0.25m Bins")</f>
        <v>PY12_0.25m Bins</v>
      </c>
      <c r="C4955" t="str">
        <f>HYPERLINK("http://www.corstruth.com.au/NSW/CSV/PY12.csv","PY12_CSV File 1m Bins")</f>
        <v>PY12_CSV File 1m Bins</v>
      </c>
      <c r="D4955" t="s">
        <v>3413</v>
      </c>
      <c r="E4955" t="s">
        <v>2198</v>
      </c>
      <c r="F4955" t="str">
        <f>HYPERLINK("http://dwh.geoscience.nsw.gov.au/CI/warehouse/raw/drillhole?project=MIN&amp;site_id=008459","Geol Survey Link")</f>
        <v>Geol Survey Link</v>
      </c>
      <c r="H4955" t="s">
        <v>3414</v>
      </c>
      <c r="I4955">
        <v>-34.046199999999999</v>
      </c>
      <c r="J4955">
        <v>147.33099999999999</v>
      </c>
      <c r="K4955" t="str">
        <f>HYPERLINK("http://nvcl.geoscience.nsw.gov.au/NVCLDataServices/mosaic.html?datasetid=c671481f-2c51-4381-86f2-98faecadde5","PY12_Core Image")</f>
        <v>PY12_Core Image</v>
      </c>
    </row>
    <row r="4956" spans="1:11" x14ac:dyDescent="0.25">
      <c r="A4956" t="str">
        <f>HYPERLINK("http://www.corstruth.com.au/NSW/YHD06_cs.png","YHD06_A4")</f>
        <v>YHD06_A4</v>
      </c>
      <c r="B4956" t="str">
        <f>HYPERLINK("http://www.corstruth.com.au/NSW/PNG2/YHD06_cs.png","YHD06_0.25m Bins")</f>
        <v>YHD06_0.25m Bins</v>
      </c>
      <c r="C4956" t="str">
        <f>HYPERLINK("http://www.corstruth.com.au/NSW/CSV/YHD06.csv","YHD06_CSV File 1m Bins")</f>
        <v>YHD06_CSV File 1m Bins</v>
      </c>
      <c r="D4956" t="s">
        <v>3415</v>
      </c>
      <c r="E4956" t="s">
        <v>2198</v>
      </c>
      <c r="F4956" t="str">
        <f>HYPERLINK("http://dwh.geoscience.nsw.gov.au/CI/warehouse/raw/drillhole?project=MIN&amp;site_id=008655","Geol Survey Link")</f>
        <v>Geol Survey Link</v>
      </c>
      <c r="H4956" t="s">
        <v>3416</v>
      </c>
      <c r="I4956">
        <v>-34.042700000000004</v>
      </c>
      <c r="J4956">
        <v>147.32900000000001</v>
      </c>
      <c r="K4956" t="str">
        <f>HYPERLINK("http://nvcl.geoscience.nsw.gov.au/NVCLDataServices/mosaic.html?datasetid=d22989f4-adcf-4614-8ca1-6faecb1aff8","YHD06_Core Image")</f>
        <v>YHD06_Core Image</v>
      </c>
    </row>
    <row r="4957" spans="1:11" x14ac:dyDescent="0.25">
      <c r="A4957" t="str">
        <f>HYPERLINK("http://www.corstruth.com.au/NSW/YHD07_cs.png","YHD07_A4")</f>
        <v>YHD07_A4</v>
      </c>
      <c r="B4957" t="str">
        <f>HYPERLINK("http://www.corstruth.com.au/NSW/PNG2/YHD07_cs.png","YHD07_0.25m Bins")</f>
        <v>YHD07_0.25m Bins</v>
      </c>
      <c r="C4957" t="str">
        <f>HYPERLINK("http://www.corstruth.com.au/NSW/CSV/YHD07.csv","YHD07_CSV File 1m Bins")</f>
        <v>YHD07_CSV File 1m Bins</v>
      </c>
      <c r="D4957" t="s">
        <v>3417</v>
      </c>
      <c r="E4957" t="s">
        <v>2198</v>
      </c>
      <c r="F4957" t="str">
        <f>HYPERLINK("http://dwh.geoscience.nsw.gov.au/CI/warehouse/raw/drillhole?project=MIN&amp;site_id=008656","Geol Survey Link")</f>
        <v>Geol Survey Link</v>
      </c>
      <c r="H4957" t="s">
        <v>3418</v>
      </c>
      <c r="I4957">
        <v>-34.040100000000002</v>
      </c>
      <c r="J4957">
        <v>147.328</v>
      </c>
      <c r="K4957" t="str">
        <f>HYPERLINK("http://nvcl.geoscience.nsw.gov.au/NVCLDataServices/mosaic.html?datasetid=bce8a97c-65f7-40d5-8582-b316f29ea32","YHD07_Core Image")</f>
        <v>YHD07_Core Image</v>
      </c>
    </row>
    <row r="4958" spans="1:11" x14ac:dyDescent="0.25">
      <c r="A4958" t="str">
        <f>HYPERLINK("http://www.corstruth.com.au/NSW/YHD08_cs.png","YHD08_A4")</f>
        <v>YHD08_A4</v>
      </c>
      <c r="B4958" t="str">
        <f>HYPERLINK("http://www.corstruth.com.au/NSW/PNG2/YHD08_cs.png","YHD08_0.25m Bins")</f>
        <v>YHD08_0.25m Bins</v>
      </c>
      <c r="C4958" t="str">
        <f>HYPERLINK("http://www.corstruth.com.au/NSW/CSV/YHD08.csv","YHD08_CSV File 1m Bins")</f>
        <v>YHD08_CSV File 1m Bins</v>
      </c>
      <c r="D4958" t="s">
        <v>3419</v>
      </c>
      <c r="E4958" t="s">
        <v>2198</v>
      </c>
      <c r="F4958" t="str">
        <f>HYPERLINK("http://dwh.geoscience.nsw.gov.au/CI/warehouse/raw/drillhole?project=MIN&amp;site_id=008657","Geol Survey Link")</f>
        <v>Geol Survey Link</v>
      </c>
      <c r="H4958" t="s">
        <v>3418</v>
      </c>
      <c r="I4958">
        <v>-34.049300000000002</v>
      </c>
      <c r="J4958">
        <v>147.333</v>
      </c>
      <c r="K4958" t="str">
        <f>HYPERLINK("http://nvcl.geoscience.nsw.gov.au/NVCLDataServices/mosaic.html?datasetid=ef6c98fe-339e-422e-9e24-7916fc5de15","YHD08_Core Image")</f>
        <v>YHD08_Core Image</v>
      </c>
    </row>
    <row r="4959" spans="1:11" x14ac:dyDescent="0.25">
      <c r="A4959" t="str">
        <f>HYPERLINK("http://www.corstruth.com.au/NSW/YHD09_cs.png","YHD09_A4")</f>
        <v>YHD09_A4</v>
      </c>
      <c r="B4959" t="str">
        <f>HYPERLINK("http://www.corstruth.com.au/NSW/PNG2/YHD09_cs.png","YHD09_0.25m Bins")</f>
        <v>YHD09_0.25m Bins</v>
      </c>
      <c r="C4959" t="str">
        <f>HYPERLINK("http://www.corstruth.com.au/NSW/CSV/YHD09.csv","YHD09_CSV File 1m Bins")</f>
        <v>YHD09_CSV File 1m Bins</v>
      </c>
      <c r="D4959" t="s">
        <v>3420</v>
      </c>
      <c r="E4959" t="s">
        <v>2198</v>
      </c>
      <c r="F4959" t="str">
        <f>HYPERLINK("http://dwh.geoscience.nsw.gov.au/CI/warehouse/raw/drillhole?project=MIN&amp;site_id=008658","Geol Survey Link")</f>
        <v>Geol Survey Link</v>
      </c>
      <c r="H4959" t="s">
        <v>3418</v>
      </c>
      <c r="I4959">
        <v>-34.046999999999997</v>
      </c>
      <c r="J4959">
        <v>147.32900000000001</v>
      </c>
      <c r="K4959" t="str">
        <f>HYPERLINK("http://nvcl.geoscience.nsw.gov.au/NVCLDataServices/mosaic.html?datasetid=68a4d9a0-c2fe-43cb-ae53-61445d4cf43","YHD09_Core Image")</f>
        <v>YHD09_Core Image</v>
      </c>
    </row>
    <row r="4960" spans="1:11" x14ac:dyDescent="0.25">
      <c r="A4960" t="str">
        <f>HYPERLINK("http://www.corstruth.com.au/Vic/334113_YEHRIP1_cs.png","334113_YEHRIP1_A4")</f>
        <v>334113_YEHRIP1_A4</v>
      </c>
      <c r="B4960" t="str">
        <f>HYPERLINK("http://www.corstruth.com.au/Vic/PNG2/334113_YEHRIP1_cs.png","334113_YEHRIP1_0.25m Bins")</f>
        <v>334113_YEHRIP1_0.25m Bins</v>
      </c>
      <c r="C4960" t="str">
        <f>HYPERLINK("http://www.corstruth.com.au/Vic/CSV/334113_YEHRIP1.csv","334113_YEHRIP1_CSV File 1m Bins")</f>
        <v>334113_YEHRIP1_CSV File 1m Bins</v>
      </c>
      <c r="D4960">
        <v>334113</v>
      </c>
      <c r="E4960" t="s">
        <v>3421</v>
      </c>
      <c r="I4960">
        <v>-37.056399999999996</v>
      </c>
      <c r="J4960">
        <v>143.37899999999999</v>
      </c>
    </row>
    <row r="4961" spans="1:11" x14ac:dyDescent="0.25">
      <c r="A4961" t="str">
        <f>HYPERLINK("http://www.corstruth.com.au/Vic/334114_YEHRIP2_cs.png","334114_YEHRIP2_A4")</f>
        <v>334114_YEHRIP2_A4</v>
      </c>
      <c r="B4961" t="str">
        <f>HYPERLINK("http://www.corstruth.com.au/Vic/PNG2/334114_YEHRIP2_cs.png","334114_YEHRIP2_0.25m Bins")</f>
        <v>334114_YEHRIP2_0.25m Bins</v>
      </c>
      <c r="C4961" t="str">
        <f>HYPERLINK("http://www.corstruth.com.au/Vic/CSV/334114_YEHRIP2.csv","334114_YEHRIP2_CSV File 1m Bins")</f>
        <v>334114_YEHRIP2_CSV File 1m Bins</v>
      </c>
      <c r="D4961">
        <v>334114</v>
      </c>
      <c r="E4961" t="s">
        <v>3421</v>
      </c>
      <c r="I4961">
        <v>-37.056800000000003</v>
      </c>
      <c r="J4961">
        <v>143.37799999999999</v>
      </c>
    </row>
    <row r="4962" spans="1:11" x14ac:dyDescent="0.25">
      <c r="A4962" t="str">
        <f>HYPERLINK("http://www.corstruth.com.au/Vic/877270_KIND168_cs.png","877270_KIND168_A4")</f>
        <v>877270_KIND168_A4</v>
      </c>
      <c r="B4962" t="str">
        <f>HYPERLINK("http://www.corstruth.com.au/Vic/PNG2/877270_KIND168_cs.png","877270_KIND168_0.25m Bins")</f>
        <v>877270_KIND168_0.25m Bins</v>
      </c>
      <c r="C4962" t="str">
        <f>HYPERLINK("http://www.corstruth.com.au/Vic/CSV/877270_KIND168.csv","877270_KIND168_CSV File 1m Bins")</f>
        <v>877270_KIND168_CSV File 1m Bins</v>
      </c>
      <c r="D4962">
        <v>877270</v>
      </c>
      <c r="E4962" t="s">
        <v>3421</v>
      </c>
      <c r="I4962">
        <v>-36.847499999999997</v>
      </c>
      <c r="J4962">
        <v>142.999</v>
      </c>
      <c r="K4962" t="str">
        <f>HYPERLINK("http://geology.data.vic.gov.au/NVCLDataServices/mosaic.html?datasetid=c7bfb49c-2e85-4d31-97f1-e9e273e299d","877270_KIND168_Core Image")</f>
        <v>877270_KIND168_Core Image</v>
      </c>
    </row>
    <row r="4963" spans="1:11" x14ac:dyDescent="0.25">
      <c r="A4963" t="str">
        <f>HYPERLINK("http://www.corstruth.com.au/Vic/877345_KIND191_cs.png","877345_KIND191_A4")</f>
        <v>877345_KIND191_A4</v>
      </c>
      <c r="B4963" t="str">
        <f>HYPERLINK("http://www.corstruth.com.au/Vic/PNG2/877345_KIND191_cs.png","877345_KIND191_0.25m Bins")</f>
        <v>877345_KIND191_0.25m Bins</v>
      </c>
      <c r="C4963" t="str">
        <f>HYPERLINK("http://www.corstruth.com.au/Vic/CSV/877345_KIND191.csv","877345_KIND191_CSV File 1m Bins")</f>
        <v>877345_KIND191_CSV File 1m Bins</v>
      </c>
      <c r="D4963">
        <v>877345</v>
      </c>
      <c r="E4963" t="s">
        <v>3421</v>
      </c>
      <c r="I4963">
        <v>-36.846699999999998</v>
      </c>
      <c r="J4963">
        <v>142.99700000000001</v>
      </c>
    </row>
    <row r="4964" spans="1:11" x14ac:dyDescent="0.25">
      <c r="A4964" t="str">
        <f>HYPERLINK("http://www.corstruth.com.au/Vic/877346_KIND202_cs.png","877346_KIND202_A4")</f>
        <v>877346_KIND202_A4</v>
      </c>
      <c r="B4964" t="str">
        <f>HYPERLINK("http://www.corstruth.com.au/Vic/PNG2/877346_KIND202_cs.png","877346_KIND202_0.25m Bins")</f>
        <v>877346_KIND202_0.25m Bins</v>
      </c>
      <c r="C4964" t="str">
        <f>HYPERLINK("http://www.corstruth.com.au/Vic/CSV/877346_KIND202.csv","877346_KIND202_CSV File 1m Bins")</f>
        <v>877346_KIND202_CSV File 1m Bins</v>
      </c>
      <c r="D4964">
        <v>877346</v>
      </c>
      <c r="E4964" t="s">
        <v>3421</v>
      </c>
      <c r="I4964">
        <v>-36.846499999999999</v>
      </c>
      <c r="J4964">
        <v>142.99700000000001</v>
      </c>
    </row>
    <row r="4965" spans="1:11" x14ac:dyDescent="0.25">
      <c r="A4965" t="str">
        <f>HYPERLINK("http://www.corstruth.com.au/Vic/906582_MMD1_cs.png","906582_MMD1_A4")</f>
        <v>906582_MMD1_A4</v>
      </c>
      <c r="B4965" t="str">
        <f>HYPERLINK("http://www.corstruth.com.au/Vic/PNG2/906582_MMD1_cs.png","906582_MMD1_0.25m Bins")</f>
        <v>906582_MMD1_0.25m Bins</v>
      </c>
      <c r="C4965" t="str">
        <f>HYPERLINK("http://www.corstruth.com.au/Vic/CSV/906582_MMD1.csv","906582_MMD1_CSV File 1m Bins")</f>
        <v>906582_MMD1_CSV File 1m Bins</v>
      </c>
      <c r="D4965">
        <v>906582</v>
      </c>
      <c r="E4965" t="s">
        <v>3421</v>
      </c>
      <c r="I4965">
        <v>-37.304900000000004</v>
      </c>
      <c r="J4965">
        <v>142.76599999999999</v>
      </c>
    </row>
    <row r="4966" spans="1:11" x14ac:dyDescent="0.25">
      <c r="A4966" t="str">
        <f>HYPERLINK("http://www.corstruth.com.au/Vic/906793_MT_ARARAT1_cs.png","906793_MT_ARARAT1_A4")</f>
        <v>906793_MT_ARARAT1_A4</v>
      </c>
      <c r="B4966" t="str">
        <f>HYPERLINK("http://www.corstruth.com.au/Vic/PNG2/906793_MT_ARARAT1_cs.png","906793_MT_ARARAT1_0.25m Bins")</f>
        <v>906793_MT_ARARAT1_0.25m Bins</v>
      </c>
      <c r="C4966" t="str">
        <f>HYPERLINK("http://www.corstruth.com.au/Vic/CSV/906793_MT_ARARAT1.csv","906793_MT_ARARAT1_CSV File 1m Bins")</f>
        <v>906793_MT_ARARAT1_CSV File 1m Bins</v>
      </c>
      <c r="D4966">
        <v>906793</v>
      </c>
      <c r="E4966" t="s">
        <v>3421</v>
      </c>
      <c r="I4966">
        <v>-37.308999999999997</v>
      </c>
      <c r="J4966">
        <v>142.86699999999999</v>
      </c>
    </row>
    <row r="4967" spans="1:11" x14ac:dyDescent="0.25">
      <c r="A4967" t="str">
        <f>HYPERLINK("http://www.corstruth.com.au/Vic/906794_MT_ARARAT2_cs.png","906794_MT_ARARAT2_A4")</f>
        <v>906794_MT_ARARAT2_A4</v>
      </c>
      <c r="B4967" t="str">
        <f>HYPERLINK("http://www.corstruth.com.au/Vic/PNG2/906794_MT_ARARAT2_cs.png","906794_MT_ARARAT2_0.25m Bins")</f>
        <v>906794_MT_ARARAT2_0.25m Bins</v>
      </c>
      <c r="C4967" t="str">
        <f>HYPERLINK("http://www.corstruth.com.au/Vic/CSV/906794_MT_ARARAT2.csv","906794_MT_ARARAT2_CSV File 1m Bins")</f>
        <v>906794_MT_ARARAT2_CSV File 1m Bins</v>
      </c>
      <c r="D4967">
        <v>906794</v>
      </c>
      <c r="E4967" t="s">
        <v>3421</v>
      </c>
      <c r="I4967">
        <v>-37.309800000000003</v>
      </c>
      <c r="J4967">
        <v>142.86699999999999</v>
      </c>
    </row>
    <row r="4968" spans="1:11" x14ac:dyDescent="0.25">
      <c r="A4968" t="str">
        <f>HYPERLINK("http://www.corstruth.com.au/Vic/906802_MT_ARARAT10_cs.png","906802_MT_ARARAT10_A4")</f>
        <v>906802_MT_ARARAT10_A4</v>
      </c>
      <c r="B4968" t="str">
        <f>HYPERLINK("http://www.corstruth.com.au/Vic/PNG2/906802_MT_ARARAT10_cs.png","906802_MT_ARARAT10_0.25m Bins")</f>
        <v>906802_MT_ARARAT10_0.25m Bins</v>
      </c>
      <c r="C4968" t="str">
        <f>HYPERLINK("http://www.corstruth.com.au/Vic/CSV/906802_MT_ARARAT10.csv","906802_MT_ARARAT10_CSV File 1m Bins")</f>
        <v>906802_MT_ARARAT10_CSV File 1m Bins</v>
      </c>
      <c r="D4968">
        <v>906802</v>
      </c>
      <c r="E4968" t="s">
        <v>3421</v>
      </c>
      <c r="I4968">
        <v>-37.308700000000002</v>
      </c>
      <c r="J4968">
        <v>142.86500000000001</v>
      </c>
    </row>
    <row r="4969" spans="1:11" x14ac:dyDescent="0.25">
      <c r="A4969" t="str">
        <f>HYPERLINK("http://www.corstruth.com.au/Vic/906816_South_Pole_1_cs.png","906816_South_Pole_1_A4")</f>
        <v>906816_South_Pole_1_A4</v>
      </c>
      <c r="B4969" t="str">
        <f>HYPERLINK("http://www.corstruth.com.au/Vic/PNG2/906816_South_Pole_1_cs.png","906816_South_Pole_1_0.25m Bins")</f>
        <v>906816_South_Pole_1_0.25m Bins</v>
      </c>
      <c r="C4969" t="str">
        <f>HYPERLINK("http://www.corstruth.com.au/Vic/CSV/906816_South_Pole_1.csv","906816_South_Pole_1_CSV File 1m Bins")</f>
        <v>906816_South_Pole_1_CSV File 1m Bins</v>
      </c>
      <c r="D4969">
        <v>906816</v>
      </c>
      <c r="E4969" t="s">
        <v>3421</v>
      </c>
      <c r="I4969">
        <v>-37.285499999999999</v>
      </c>
      <c r="J4969">
        <v>142.857</v>
      </c>
    </row>
    <row r="4970" spans="1:11" x14ac:dyDescent="0.25">
      <c r="A4970" t="str">
        <f>HYPERLINK("http://www.corstruth.com.au/Vic/927089_BL261_cs.png","927089_BL261_A4")</f>
        <v>927089_BL261_A4</v>
      </c>
      <c r="B4970" t="str">
        <f>HYPERLINK("http://www.corstruth.com.au/Vic/PNG2/927089_BL261_cs.png","927089_BL261_0.25m Bins")</f>
        <v>927089_BL261_0.25m Bins</v>
      </c>
      <c r="C4970" t="str">
        <f>HYPERLINK("http://www.corstruth.com.au/Vic/CSV/927089_BL261.csv","927089_BL261_CSV File 1m Bins")</f>
        <v>927089_BL261_CSV File 1m Bins</v>
      </c>
      <c r="D4970">
        <v>927089</v>
      </c>
      <c r="E4970" t="s">
        <v>3421</v>
      </c>
      <c r="I4970">
        <v>-37.1021</v>
      </c>
      <c r="J4970">
        <v>141.709</v>
      </c>
    </row>
    <row r="4971" spans="1:11" x14ac:dyDescent="0.25">
      <c r="A4971" t="str">
        <f>HYPERLINK("http://www.corstruth.com.au/Vic/927090_BL214_cs.png","927090_BL214_A4")</f>
        <v>927090_BL214_A4</v>
      </c>
      <c r="B4971" t="str">
        <f>HYPERLINK("http://www.corstruth.com.au/Vic/PNG2/927090_BL214_cs.png","927090_BL214_0.25m Bins")</f>
        <v>927090_BL214_0.25m Bins</v>
      </c>
      <c r="C4971" t="str">
        <f>HYPERLINK("http://www.corstruth.com.au/Vic/CSV/927090_BL214.csv","927090_BL214_CSV File 1m Bins")</f>
        <v>927090_BL214_CSV File 1m Bins</v>
      </c>
      <c r="D4971">
        <v>927090</v>
      </c>
      <c r="E4971" t="s">
        <v>3421</v>
      </c>
      <c r="I4971">
        <v>-37.102899999999998</v>
      </c>
      <c r="J4971">
        <v>141.714</v>
      </c>
    </row>
    <row r="4972" spans="1:11" x14ac:dyDescent="0.25">
      <c r="A4972" t="str">
        <f>HYPERLINK("http://www.corstruth.com.au/Vic/927092_BL215_cs.png","927092_BL215_A4")</f>
        <v>927092_BL215_A4</v>
      </c>
      <c r="B4972" t="str">
        <f>HYPERLINK("http://www.corstruth.com.au/Vic/PNG2/927092_BL215_cs.png","927092_BL215_0.25m Bins")</f>
        <v>927092_BL215_0.25m Bins</v>
      </c>
      <c r="C4972" t="str">
        <f>HYPERLINK("http://www.corstruth.com.au/Vic/CSV/927092_BL215.csv","927092_BL215_CSV File 1m Bins")</f>
        <v>927092_BL215_CSV File 1m Bins</v>
      </c>
      <c r="D4972">
        <v>927092</v>
      </c>
      <c r="E4972" t="s">
        <v>3421</v>
      </c>
      <c r="I4972">
        <v>-37.025100000000002</v>
      </c>
      <c r="J4972">
        <v>141.62</v>
      </c>
    </row>
    <row r="4973" spans="1:11" x14ac:dyDescent="0.25">
      <c r="A4973" t="str">
        <f>HYPERLINK("http://www.corstruth.com.au/Vic/927214_BL260_cs.png","927214_BL260_A4")</f>
        <v>927214_BL260_A4</v>
      </c>
      <c r="B4973" t="str">
        <f>HYPERLINK("http://www.corstruth.com.au/Vic/PNG2/927214_BL260_cs.png","927214_BL260_0.25m Bins")</f>
        <v>927214_BL260_0.25m Bins</v>
      </c>
      <c r="C4973" t="str">
        <f>HYPERLINK("http://www.corstruth.com.au/Vic/CSV/927214_BL260.csv","927214_BL260_CSV File 1m Bins")</f>
        <v>927214_BL260_CSV File 1m Bins</v>
      </c>
      <c r="D4973">
        <v>927214</v>
      </c>
      <c r="E4973" t="s">
        <v>3421</v>
      </c>
      <c r="I4973">
        <v>-37.041899999999998</v>
      </c>
      <c r="J4973">
        <v>141.81899999999999</v>
      </c>
    </row>
    <row r="4974" spans="1:11" x14ac:dyDescent="0.25">
      <c r="A4974" t="str">
        <f>HYPERLINK("http://www.corstruth.com.au/Vic/927216_BL263_cs.png","927216_BL263_A4")</f>
        <v>927216_BL263_A4</v>
      </c>
      <c r="B4974" t="str">
        <f>HYPERLINK("http://www.corstruth.com.au/Vic/PNG2/927216_BL263_cs.png","927216_BL263_0.25m Bins")</f>
        <v>927216_BL263_0.25m Bins</v>
      </c>
      <c r="C4974" t="str">
        <f>HYPERLINK("http://www.corstruth.com.au/Vic/CSV/927216_BL263.csv","927216_BL263_CSV File 1m Bins")</f>
        <v>927216_BL263_CSV File 1m Bins</v>
      </c>
      <c r="D4974">
        <v>927216</v>
      </c>
      <c r="E4974" t="s">
        <v>3421</v>
      </c>
      <c r="I4974">
        <v>-37.143700000000003</v>
      </c>
      <c r="J4974">
        <v>141.666</v>
      </c>
    </row>
    <row r="4975" spans="1:11" x14ac:dyDescent="0.25">
      <c r="A4975" t="str">
        <f>HYPERLINK("http://www.corstruth.com.au/Vic/951731_RCD001_cs.png","951731_RCD001_A4")</f>
        <v>951731_RCD001_A4</v>
      </c>
      <c r="B4975" t="str">
        <f>HYPERLINK("http://www.corstruth.com.au/Vic/PNG2/951731_RCD001_cs.png","951731_RCD001_0.25m Bins")</f>
        <v>951731_RCD001_0.25m Bins</v>
      </c>
      <c r="C4975" t="str">
        <f>HYPERLINK("http://www.corstruth.com.au/Vic/CSV/951731_RCD001.csv","951731_RCD001_CSV File 1m Bins")</f>
        <v>951731_RCD001_CSV File 1m Bins</v>
      </c>
      <c r="D4975">
        <v>951731</v>
      </c>
      <c r="E4975" t="s">
        <v>3421</v>
      </c>
      <c r="I4975">
        <v>-37.380499999999998</v>
      </c>
      <c r="J4975">
        <v>146.39699999999999</v>
      </c>
    </row>
    <row r="4976" spans="1:11" x14ac:dyDescent="0.25">
      <c r="A4976" t="str">
        <f>HYPERLINK("http://www.corstruth.com.au/Vic/951732_RCD002_cs.png","951732_RCD002_A4")</f>
        <v>951732_RCD002_A4</v>
      </c>
      <c r="B4976" t="str">
        <f>HYPERLINK("http://www.corstruth.com.au/Vic/PNG2/951732_RCD002_cs.png","951732_RCD002_0.25m Bins")</f>
        <v>951732_RCD002_0.25m Bins</v>
      </c>
      <c r="C4976" t="str">
        <f>HYPERLINK("http://www.corstruth.com.au/Vic/CSV/951732_RCD002.csv","951732_RCD002_CSV File 1m Bins")</f>
        <v>951732_RCD002_CSV File 1m Bins</v>
      </c>
      <c r="D4976">
        <v>951732</v>
      </c>
      <c r="E4976" t="s">
        <v>3421</v>
      </c>
      <c r="I4976">
        <v>-37.380499999999998</v>
      </c>
      <c r="J4976">
        <v>146.399</v>
      </c>
    </row>
    <row r="4977" spans="1:10" x14ac:dyDescent="0.25">
      <c r="A4977" t="str">
        <f>HYPERLINK("http://www.corstruth.com.au/Vic/951734_RCD005_cs.png","951734_RCD005_A4")</f>
        <v>951734_RCD005_A4</v>
      </c>
      <c r="B4977" t="str">
        <f>HYPERLINK("http://www.corstruth.com.au/Vic/PNG2/951734_RCD005_cs.png","951734_RCD005_0.25m Bins")</f>
        <v>951734_RCD005_0.25m Bins</v>
      </c>
      <c r="C4977" t="str">
        <f>HYPERLINK("http://www.corstruth.com.au/Vic/CSV/951734_RCD005.csv","951734_RCD005_CSV File 1m Bins")</f>
        <v>951734_RCD005_CSV File 1m Bins</v>
      </c>
      <c r="D4977">
        <v>951734</v>
      </c>
      <c r="E4977" t="s">
        <v>3421</v>
      </c>
      <c r="I4977">
        <v>-37.377400000000002</v>
      </c>
      <c r="J4977">
        <v>146.4</v>
      </c>
    </row>
    <row r="4978" spans="1:10" x14ac:dyDescent="0.25">
      <c r="A4978" t="str">
        <f>HYPERLINK("http://www.corstruth.com.au/Vic/951735_LRD001_cs.png","951735_LRD001_A4")</f>
        <v>951735_LRD001_A4</v>
      </c>
      <c r="B4978" t="str">
        <f>HYPERLINK("http://www.corstruth.com.au/Vic/PNG2/951735_LRD001_cs.png","951735_LRD001_0.25m Bins")</f>
        <v>951735_LRD001_0.25m Bins</v>
      </c>
      <c r="C4978" t="str">
        <f>HYPERLINK("http://www.corstruth.com.au/Vic/CSV/951735_LRD001.csv","951735_LRD001_CSV File 1m Bins")</f>
        <v>951735_LRD001_CSV File 1m Bins</v>
      </c>
      <c r="D4978">
        <v>951735</v>
      </c>
      <c r="E4978" t="s">
        <v>3421</v>
      </c>
      <c r="I4978">
        <v>-37.441899999999997</v>
      </c>
      <c r="J4978">
        <v>146.41</v>
      </c>
    </row>
    <row r="4979" spans="1:10" x14ac:dyDescent="0.25">
      <c r="A4979" t="str">
        <f>HYPERLINK("http://www.corstruth.com.au/Vic/951736_MBD001_cs.png","951736_MBD001_A4")</f>
        <v>951736_MBD001_A4</v>
      </c>
      <c r="B4979" t="str">
        <f>HYPERLINK("http://www.corstruth.com.au/Vic/PNG2/951736_MBD001_cs.png","951736_MBD001_0.25m Bins")</f>
        <v>951736_MBD001_0.25m Bins</v>
      </c>
      <c r="C4979" t="str">
        <f>HYPERLINK("http://www.corstruth.com.au/Vic/CSV/951736_MBD001.csv","951736_MBD001_CSV File 1m Bins")</f>
        <v>951736_MBD001_CSV File 1m Bins</v>
      </c>
      <c r="D4979">
        <v>951736</v>
      </c>
      <c r="E4979" t="s">
        <v>3421</v>
      </c>
      <c r="I4979">
        <v>-37.507599999999996</v>
      </c>
      <c r="J4979">
        <v>146.45500000000001</v>
      </c>
    </row>
    <row r="4980" spans="1:10" x14ac:dyDescent="0.25">
      <c r="A4980" t="str">
        <f>HYPERLINK("http://www.corstruth.com.au/Vic/965244_PRC001_cs.png","965244_PRC001_A4")</f>
        <v>965244_PRC001_A4</v>
      </c>
      <c r="B4980" t="str">
        <f>HYPERLINK("http://www.corstruth.com.au/Vic/PNG2/965244_PRC001_cs.png","965244_PRC001_0.25m Bins")</f>
        <v>965244_PRC001_0.25m Bins</v>
      </c>
      <c r="C4980" t="str">
        <f>HYPERLINK("http://www.corstruth.com.au/Vic/CSV/965244_PRC001.csv","965244_PRC001_CSV File 1m Bins")</f>
        <v>965244_PRC001_CSV File 1m Bins</v>
      </c>
      <c r="D4980">
        <v>965244</v>
      </c>
      <c r="E4980" t="s">
        <v>3421</v>
      </c>
      <c r="I4980">
        <v>-37.766199999999998</v>
      </c>
      <c r="J4980">
        <v>142.327</v>
      </c>
    </row>
    <row r="4981" spans="1:10" x14ac:dyDescent="0.25">
      <c r="A4981" t="str">
        <f>HYPERLINK("http://www.corstruth.com.au/Vic/965789_PRC5_cs.png","965789_PRC5_A4")</f>
        <v>965789_PRC5_A4</v>
      </c>
      <c r="B4981" t="str">
        <f>HYPERLINK("http://www.corstruth.com.au/Vic/PNG2/965789_PRC5_cs.png","965789_PRC5_0.25m Bins")</f>
        <v>965789_PRC5_0.25m Bins</v>
      </c>
      <c r="C4981" t="str">
        <f>HYPERLINK("http://www.corstruth.com.au/Vic/CSV/965789_PRC5.csv","965789_PRC5_CSV File 1m Bins")</f>
        <v>965789_PRC5_CSV File 1m Bins</v>
      </c>
      <c r="D4981">
        <v>965789</v>
      </c>
      <c r="E4981" t="s">
        <v>3421</v>
      </c>
      <c r="I4981">
        <v>-37.755600000000001</v>
      </c>
      <c r="J4981">
        <v>142.32400000000001</v>
      </c>
    </row>
    <row r="4982" spans="1:10" x14ac:dyDescent="0.25">
      <c r="A4982" t="str">
        <f>HYPERLINK("http://www.corstruth.com.au/Vic/965790_PRC6_cs.png","965790_PRC6_A4")</f>
        <v>965790_PRC6_A4</v>
      </c>
      <c r="B4982" t="str">
        <f>HYPERLINK("http://www.corstruth.com.au/Vic/PNG2/965790_PRC6_cs.png","965790_PRC6_0.25m Bins")</f>
        <v>965790_PRC6_0.25m Bins</v>
      </c>
      <c r="C4982" t="str">
        <f>HYPERLINK("http://www.corstruth.com.au/Vic/CSV/965790_PRC6.csv","965790_PRC6_CSV File 1m Bins")</f>
        <v>965790_PRC6_CSV File 1m Bins</v>
      </c>
      <c r="D4982">
        <v>965790</v>
      </c>
      <c r="E4982" t="s">
        <v>3421</v>
      </c>
      <c r="I4982">
        <v>-37.823399999999999</v>
      </c>
      <c r="J4982">
        <v>142.339</v>
      </c>
    </row>
    <row r="4983" spans="1:10" x14ac:dyDescent="0.25">
      <c r="A4983" t="str">
        <f>HYPERLINK("http://www.corstruth.com.au/Vic/965791_PRC7_cs.png","965791_PRC7_A4")</f>
        <v>965791_PRC7_A4</v>
      </c>
      <c r="B4983" t="str">
        <f>HYPERLINK("http://www.corstruth.com.au/Vic/PNG2/965791_PRC7_cs.png","965791_PRC7_0.25m Bins")</f>
        <v>965791_PRC7_0.25m Bins</v>
      </c>
      <c r="C4983" t="str">
        <f>HYPERLINK("http://www.corstruth.com.au/Vic/CSV/965791_PRC7.csv","965791_PRC7_CSV File 1m Bins")</f>
        <v>965791_PRC7_CSV File 1m Bins</v>
      </c>
      <c r="D4983">
        <v>965791</v>
      </c>
      <c r="E4983" t="s">
        <v>3421</v>
      </c>
      <c r="I4983">
        <v>-37.813800000000001</v>
      </c>
      <c r="J4983">
        <v>142.36199999999999</v>
      </c>
    </row>
    <row r="4984" spans="1:10" x14ac:dyDescent="0.25">
      <c r="A4984" t="str">
        <f>HYPERLINK("http://www.corstruth.com.au/Vic/965792_DDHB5_cs.png","965792_DDHB5_A4")</f>
        <v>965792_DDHB5_A4</v>
      </c>
      <c r="B4984" t="str">
        <f>HYPERLINK("http://www.corstruth.com.au/Vic/PNG2/965792_DDHB5_cs.png","965792_DDHB5_0.25m Bins")</f>
        <v>965792_DDHB5_0.25m Bins</v>
      </c>
      <c r="C4984" t="str">
        <f>HYPERLINK("http://www.corstruth.com.au/Vic/CSV/965792_DDHB5.csv","965792_DDHB5_CSV File 1m Bins")</f>
        <v>965792_DDHB5_CSV File 1m Bins</v>
      </c>
      <c r="D4984">
        <v>965792</v>
      </c>
      <c r="E4984" t="s">
        <v>3421</v>
      </c>
      <c r="I4984">
        <v>-36.199100000000001</v>
      </c>
      <c r="J4984">
        <v>146.316</v>
      </c>
    </row>
    <row r="4985" spans="1:10" x14ac:dyDescent="0.25">
      <c r="A4985" t="str">
        <f>HYPERLINK("http://www.corstruth.com.au/Vic/965793_BGD01_cs.png","965793_BGD01_A4")</f>
        <v>965793_BGD01_A4</v>
      </c>
      <c r="B4985" t="str">
        <f>HYPERLINK("http://www.corstruth.com.au/Vic/PNG2/965793_BGD01_cs.png","965793_BGD01_0.25m Bins")</f>
        <v>965793_BGD01_0.25m Bins</v>
      </c>
      <c r="C4985" t="str">
        <f>HYPERLINK("http://www.corstruth.com.au/Vic/CSV/965793_BGD01.csv","965793_BGD01_CSV File 1m Bins")</f>
        <v>965793_BGD01_CSV File 1m Bins</v>
      </c>
      <c r="D4985">
        <v>965793</v>
      </c>
      <c r="E4985" t="s">
        <v>3421</v>
      </c>
      <c r="I4985">
        <v>-37.121200000000002</v>
      </c>
      <c r="J4985">
        <v>142.67099999999999</v>
      </c>
    </row>
    <row r="4986" spans="1:10" x14ac:dyDescent="0.25">
      <c r="A4986" t="str">
        <f>HYPERLINK("http://www.corstruth.com.au/Vic/965795_MCD002_cs.png","965795_MCD002_A4")</f>
        <v>965795_MCD002_A4</v>
      </c>
      <c r="B4986" t="str">
        <f>HYPERLINK("http://www.corstruth.com.au/Vic/PNG2/965795_MCD002_cs.png","965795_MCD002_0.25m Bins")</f>
        <v>965795_MCD002_0.25m Bins</v>
      </c>
      <c r="C4986" t="str">
        <f>HYPERLINK("http://www.corstruth.com.au/Vic/CSV/965795_MCD002.csv","965795_MCD002_CSV File 1m Bins")</f>
        <v>965795_MCD002_CSV File 1m Bins</v>
      </c>
      <c r="D4986">
        <v>965795</v>
      </c>
      <c r="E4986" t="s">
        <v>3421</v>
      </c>
      <c r="I4986">
        <v>-36.962699999999998</v>
      </c>
      <c r="J4986">
        <v>144.48699999999999</v>
      </c>
    </row>
    <row r="4987" spans="1:10" x14ac:dyDescent="0.25">
      <c r="A4987" t="str">
        <f>HYPERLINK("http://www.corstruth.com.au/Vic/965796_MCD003_cs.png","965796_MCD003_A4")</f>
        <v>965796_MCD003_A4</v>
      </c>
      <c r="B4987" t="str">
        <f>HYPERLINK("http://www.corstruth.com.au/Vic/PNG2/965796_MCD003_cs.png","965796_MCD003_0.25m Bins")</f>
        <v>965796_MCD003_0.25m Bins</v>
      </c>
      <c r="C4987" t="str">
        <f>HYPERLINK("http://www.corstruth.com.au/Vic/CSV/965796_MCD003.csv","965796_MCD003_CSV File 1m Bins")</f>
        <v>965796_MCD003_CSV File 1m Bins</v>
      </c>
      <c r="D4987">
        <v>965796</v>
      </c>
      <c r="E4987" t="s">
        <v>3421</v>
      </c>
      <c r="I4987">
        <v>-36.960900000000002</v>
      </c>
      <c r="J4987">
        <v>144.48400000000001</v>
      </c>
    </row>
    <row r="4988" spans="1:10" x14ac:dyDescent="0.25">
      <c r="A4988" t="str">
        <f>HYPERLINK("http://www.corstruth.com.au/Vic/965797_MCD004_cs.png","965797_MCD004_A4")</f>
        <v>965797_MCD004_A4</v>
      </c>
      <c r="B4988" t="str">
        <f>HYPERLINK("http://www.corstruth.com.au/Vic/PNG2/965797_MCD004_cs.png","965797_MCD004_0.25m Bins")</f>
        <v>965797_MCD004_0.25m Bins</v>
      </c>
      <c r="C4988" t="str">
        <f>HYPERLINK("http://www.corstruth.com.au/Vic/CSV/965797_MCD004.csv","965797_MCD004_CSV File 1m Bins")</f>
        <v>965797_MCD004_CSV File 1m Bins</v>
      </c>
      <c r="D4988">
        <v>965797</v>
      </c>
      <c r="E4988" t="s">
        <v>3421</v>
      </c>
      <c r="I4988">
        <v>-36.961300000000001</v>
      </c>
      <c r="J4988">
        <v>144.48599999999999</v>
      </c>
    </row>
    <row r="4989" spans="1:10" x14ac:dyDescent="0.25">
      <c r="A4989" t="str">
        <f>HYPERLINK("http://www.corstruth.com.au/Vic/965798_MCD005_cs.png","965798_MCD005_A4")</f>
        <v>965798_MCD005_A4</v>
      </c>
      <c r="B4989" t="str">
        <f>HYPERLINK("http://www.corstruth.com.au/Vic/PNG2/965798_MCD005_cs.png","965798_MCD005_0.25m Bins")</f>
        <v>965798_MCD005_0.25m Bins</v>
      </c>
      <c r="C4989" t="str">
        <f>HYPERLINK("http://www.corstruth.com.au/Vic/CSV/965798_MCD005.csv","965798_MCD005_CSV File 1m Bins")</f>
        <v>965798_MCD005_CSV File 1m Bins</v>
      </c>
      <c r="D4989">
        <v>965798</v>
      </c>
      <c r="E4989" t="s">
        <v>3421</v>
      </c>
      <c r="I4989">
        <v>-36.959800000000001</v>
      </c>
      <c r="J4989">
        <v>144.48599999999999</v>
      </c>
    </row>
    <row r="4990" spans="1:10" x14ac:dyDescent="0.25">
      <c r="A4990" t="str">
        <f>HYPERLINK("http://www.corstruth.com.au/Vic/965799_MCD006_cs.png","965799_MCD006_A4")</f>
        <v>965799_MCD006_A4</v>
      </c>
      <c r="B4990" t="str">
        <f>HYPERLINK("http://www.corstruth.com.au/Vic/PNG2/965799_MCD006_cs.png","965799_MCD006_0.25m Bins")</f>
        <v>965799_MCD006_0.25m Bins</v>
      </c>
      <c r="C4990" t="str">
        <f>HYPERLINK("http://www.corstruth.com.au/Vic/CSV/965799_MCD006.csv","965799_MCD006_CSV File 1m Bins")</f>
        <v>965799_MCD006_CSV File 1m Bins</v>
      </c>
      <c r="D4990">
        <v>965799</v>
      </c>
      <c r="E4990" t="s">
        <v>3421</v>
      </c>
      <c r="I4990">
        <v>-36.962699999999998</v>
      </c>
      <c r="J4990">
        <v>144.48500000000001</v>
      </c>
    </row>
    <row r="4991" spans="1:10" x14ac:dyDescent="0.25">
      <c r="A4991" t="str">
        <f>HYPERLINK("http://www.corstruth.com.au/Vic/965800_MCD007_cs.png","965800_MCD007_A4")</f>
        <v>965800_MCD007_A4</v>
      </c>
      <c r="B4991" t="str">
        <f>HYPERLINK("http://www.corstruth.com.au/Vic/PNG2/965800_MCD007_cs.png","965800_MCD007_0.25m Bins")</f>
        <v>965800_MCD007_0.25m Bins</v>
      </c>
      <c r="C4991" t="str">
        <f>HYPERLINK("http://www.corstruth.com.au/Vic/CSV/965800_MCD007.csv","965800_MCD007_CSV File 1m Bins")</f>
        <v>965800_MCD007_CSV File 1m Bins</v>
      </c>
      <c r="D4991">
        <v>965800</v>
      </c>
      <c r="E4991" t="s">
        <v>3421</v>
      </c>
      <c r="I4991">
        <v>-36.960900000000002</v>
      </c>
      <c r="J4991">
        <v>144.48400000000001</v>
      </c>
    </row>
    <row r="4992" spans="1:10" x14ac:dyDescent="0.25">
      <c r="A4992" t="str">
        <f>HYPERLINK("http://www.corstruth.com.au/Vic/965801_MCD008_cs.png","965801_MCD008_A4")</f>
        <v>965801_MCD008_A4</v>
      </c>
      <c r="B4992" t="str">
        <f>HYPERLINK("http://www.corstruth.com.au/Vic/PNG2/965801_MCD008_cs.png","965801_MCD008_0.25m Bins")</f>
        <v>965801_MCD008_0.25m Bins</v>
      </c>
      <c r="C4992" t="str">
        <f>HYPERLINK("http://www.corstruth.com.au/Vic/CSV/965801_MCD008.csv","965801_MCD008_CSV File 1m Bins")</f>
        <v>965801_MCD008_CSV File 1m Bins</v>
      </c>
      <c r="D4992">
        <v>965801</v>
      </c>
      <c r="E4992" t="s">
        <v>3421</v>
      </c>
      <c r="I4992">
        <v>-36.957299999999996</v>
      </c>
      <c r="J4992">
        <v>144.48099999999999</v>
      </c>
    </row>
    <row r="4993" spans="1:10" x14ac:dyDescent="0.25">
      <c r="A4993" t="str">
        <f>HYPERLINK("http://www.corstruth.com.au/Vic/965802_MCD009_cs.png","965802_MCD009_A4")</f>
        <v>965802_MCD009_A4</v>
      </c>
      <c r="B4993" t="str">
        <f>HYPERLINK("http://www.corstruth.com.au/Vic/PNG2/965802_MCD009_cs.png","965802_MCD009_0.25m Bins")</f>
        <v>965802_MCD009_0.25m Bins</v>
      </c>
      <c r="C4993" t="str">
        <f>HYPERLINK("http://www.corstruth.com.au/Vic/CSV/965802_MCD009.csv","965802_MCD009_CSV File 1m Bins")</f>
        <v>965802_MCD009_CSV File 1m Bins</v>
      </c>
      <c r="D4993">
        <v>965802</v>
      </c>
      <c r="E4993" t="s">
        <v>3421</v>
      </c>
      <c r="I4993">
        <v>-36.9542</v>
      </c>
      <c r="J4993">
        <v>144.47999999999999</v>
      </c>
    </row>
    <row r="4994" spans="1:10" x14ac:dyDescent="0.25">
      <c r="A4994" t="str">
        <f>HYPERLINK("http://www.corstruth.com.au/Vic/965803_MCD010_cs.png","965803_MCD010_A4")</f>
        <v>965803_MCD010_A4</v>
      </c>
      <c r="B4994" t="str">
        <f>HYPERLINK("http://www.corstruth.com.au/Vic/PNG2/965803_MCD010_cs.png","965803_MCD010_0.25m Bins")</f>
        <v>965803_MCD010_0.25m Bins</v>
      </c>
      <c r="C4994" t="str">
        <f>HYPERLINK("http://www.corstruth.com.au/Vic/CSV/965803_MCD010.csv","965803_MCD010_CSV File 1m Bins")</f>
        <v>965803_MCD010_CSV File 1m Bins</v>
      </c>
      <c r="D4994">
        <v>965803</v>
      </c>
      <c r="E4994" t="s">
        <v>3421</v>
      </c>
      <c r="I4994">
        <v>-36.960999999999999</v>
      </c>
      <c r="J4994">
        <v>144.48500000000001</v>
      </c>
    </row>
    <row r="4995" spans="1:10" x14ac:dyDescent="0.25">
      <c r="A4995" t="str">
        <f>HYPERLINK("http://www.corstruth.com.au/Vic/965804_MD12_cs.png","965804_MD12_A4")</f>
        <v>965804_MD12_A4</v>
      </c>
      <c r="B4995" t="str">
        <f>HYPERLINK("http://www.corstruth.com.au/Vic/PNG2/965804_MD12_cs.png","965804_MD12_0.25m Bins")</f>
        <v>965804_MD12_0.25m Bins</v>
      </c>
      <c r="C4995" t="str">
        <f>HYPERLINK("http://www.corstruth.com.au/Vic/CSV/965804_MD12.csv","965804_MD12_CSV File 1m Bins")</f>
        <v>965804_MD12_CSV File 1m Bins</v>
      </c>
      <c r="D4995">
        <v>965804</v>
      </c>
      <c r="E4995" t="s">
        <v>3421</v>
      </c>
      <c r="I4995">
        <v>-37.190800000000003</v>
      </c>
      <c r="J4995">
        <v>144.33699999999999</v>
      </c>
    </row>
    <row r="4996" spans="1:10" x14ac:dyDescent="0.25">
      <c r="A4996" t="str">
        <f>HYPERLINK("http://www.corstruth.com.au/Vic/965805_SNDD006_cs.png","965805_SNDD006_A4")</f>
        <v>965805_SNDD006_A4</v>
      </c>
      <c r="B4996" t="str">
        <f>HYPERLINK("http://www.corstruth.com.au/Vic/PNG2/965805_SNDD006_cs.png","965805_SNDD006_0.25m Bins")</f>
        <v>965805_SNDD006_0.25m Bins</v>
      </c>
      <c r="C4996" t="str">
        <f>HYPERLINK("http://www.corstruth.com.au/Vic/CSV/965805_SNDD006.csv","965805_SNDD006_CSV File 1m Bins")</f>
        <v>965805_SNDD006_CSV File 1m Bins</v>
      </c>
      <c r="D4996">
        <v>965805</v>
      </c>
      <c r="E4996" t="s">
        <v>3421</v>
      </c>
      <c r="I4996">
        <v>-37.464500000000001</v>
      </c>
      <c r="J4996">
        <v>142.51499999999999</v>
      </c>
    </row>
    <row r="4997" spans="1:10" x14ac:dyDescent="0.25">
      <c r="A4997" t="str">
        <f>HYPERLINK("http://www.corstruth.com.au/Vic/965824_SNDD001_cs.png","965824_SNDD001_A4")</f>
        <v>965824_SNDD001_A4</v>
      </c>
      <c r="B4997" t="str">
        <f>HYPERLINK("http://www.corstruth.com.au/Vic/PNG2/965824_SNDD001_cs.png","965824_SNDD001_0.25m Bins")</f>
        <v>965824_SNDD001_0.25m Bins</v>
      </c>
      <c r="C4997" t="str">
        <f>HYPERLINK("http://www.corstruth.com.au/Vic/CSV/965824_SNDD001.csv","965824_SNDD001_CSV File 1m Bins")</f>
        <v>965824_SNDD001_CSV File 1m Bins</v>
      </c>
      <c r="D4997">
        <v>965824</v>
      </c>
      <c r="E4997" t="s">
        <v>3421</v>
      </c>
      <c r="I4997">
        <v>-37.605699999999999</v>
      </c>
      <c r="J4997">
        <v>142.61000000000001</v>
      </c>
    </row>
    <row r="4998" spans="1:10" x14ac:dyDescent="0.25">
      <c r="A4998" t="str">
        <f>HYPERLINK("http://www.corstruth.com.au/Vic/965825_SNDD002_cs.png","965825_SNDD002_A4")</f>
        <v>965825_SNDD002_A4</v>
      </c>
      <c r="B4998" t="str">
        <f>HYPERLINK("http://www.corstruth.com.au/Vic/PNG2/965825_SNDD002_cs.png","965825_SNDD002_0.25m Bins")</f>
        <v>965825_SNDD002_0.25m Bins</v>
      </c>
      <c r="C4998" t="str">
        <f>HYPERLINK("http://www.corstruth.com.au/Vic/CSV/965825_SNDD002.csv","965825_SNDD002_CSV File 1m Bins")</f>
        <v>965825_SNDD002_CSV File 1m Bins</v>
      </c>
      <c r="D4998">
        <v>965825</v>
      </c>
      <c r="E4998" t="s">
        <v>3421</v>
      </c>
      <c r="I4998">
        <v>-37.603099999999998</v>
      </c>
      <c r="J4998">
        <v>142.608</v>
      </c>
    </row>
    <row r="4999" spans="1:10" x14ac:dyDescent="0.25">
      <c r="A4999" t="str">
        <f>HYPERLINK("http://www.corstruth.com.au/Vic/965828_SNDD005_cs.png","965828_SNDD005_A4")</f>
        <v>965828_SNDD005_A4</v>
      </c>
      <c r="B4999" t="str">
        <f>HYPERLINK("http://www.corstruth.com.au/Vic/PNG2/965828_SNDD005_cs.png","965828_SNDD005_0.25m Bins")</f>
        <v>965828_SNDD005_0.25m Bins</v>
      </c>
      <c r="C4999" t="str">
        <f>HYPERLINK("http://www.corstruth.com.au/Vic/CSV/965828_SNDD005.csv","965828_SNDD005_CSV File 1m Bins")</f>
        <v>965828_SNDD005_CSV File 1m Bins</v>
      </c>
      <c r="D4999">
        <v>965828</v>
      </c>
      <c r="E4999" t="s">
        <v>3421</v>
      </c>
      <c r="I4999">
        <v>-37.606000000000002</v>
      </c>
      <c r="J4999">
        <v>142.607</v>
      </c>
    </row>
    <row r="5000" spans="1:10" x14ac:dyDescent="0.25">
      <c r="A5000" t="str">
        <f>HYPERLINK("http://www.corstruth.com.au/Vic/965840_PHE1_cs.png","965840_PHE1_A4")</f>
        <v>965840_PHE1_A4</v>
      </c>
      <c r="B5000" t="str">
        <f>HYPERLINK("http://www.corstruth.com.au/Vic/PNG2/965840_PHE1_cs.png","965840_PHE1_0.25m Bins")</f>
        <v>965840_PHE1_0.25m Bins</v>
      </c>
      <c r="C5000" t="str">
        <f>HYPERLINK("http://www.corstruth.com.au/Vic/CSV/965840_PHE1.csv","965840_PHE1_CSV File 1m Bins")</f>
        <v>965840_PHE1_CSV File 1m Bins</v>
      </c>
      <c r="D5000">
        <v>965840</v>
      </c>
      <c r="E5000" t="s">
        <v>3421</v>
      </c>
      <c r="I5000">
        <v>-38.0717</v>
      </c>
      <c r="J5000">
        <v>142.309</v>
      </c>
    </row>
    <row r="5001" spans="1:10" x14ac:dyDescent="0.25">
      <c r="A5001" t="str">
        <f>HYPERLINK("http://www.corstruth.com.au/Vic/965841_PHE2_cs.png","965841_PHE2_A4")</f>
        <v>965841_PHE2_A4</v>
      </c>
      <c r="B5001" t="str">
        <f>HYPERLINK("http://www.corstruth.com.au/Vic/PNG2/965841_PHE2_cs.png","965841_PHE2_0.25m Bins")</f>
        <v>965841_PHE2_0.25m Bins</v>
      </c>
      <c r="C5001" t="str">
        <f>HYPERLINK("http://www.corstruth.com.au/Vic/CSV/965841_PHE2.csv","965841_PHE2_CSV File 1m Bins")</f>
        <v>965841_PHE2_CSV File 1m Bins</v>
      </c>
      <c r="D5001">
        <v>965841</v>
      </c>
      <c r="E5001" t="s">
        <v>3421</v>
      </c>
      <c r="I5001">
        <v>-38.093699999999998</v>
      </c>
      <c r="J5001">
        <v>142.31</v>
      </c>
    </row>
    <row r="5002" spans="1:10" x14ac:dyDescent="0.25">
      <c r="A5002" t="str">
        <f>HYPERLINK("http://www.corstruth.com.au/Vic/965843_PGE3_cs.png","965843_PGE3_A4")</f>
        <v>965843_PGE3_A4</v>
      </c>
      <c r="B5002" t="str">
        <f>HYPERLINK("http://www.corstruth.com.au/Vic/PNG2/965843_PGE3_cs.png","965843_PGE3_0.25m Bins")</f>
        <v>965843_PGE3_0.25m Bins</v>
      </c>
      <c r="C5002" t="str">
        <f>HYPERLINK("http://www.corstruth.com.au/Vic/CSV/965843_PGE3.csv","965843_PGE3_CSV File 1m Bins")</f>
        <v>965843_PGE3_CSV File 1m Bins</v>
      </c>
      <c r="D5002">
        <v>965843</v>
      </c>
      <c r="E5002" t="s">
        <v>3421</v>
      </c>
      <c r="I5002">
        <v>-37.569200000000002</v>
      </c>
      <c r="J5002">
        <v>141.31200000000001</v>
      </c>
    </row>
    <row r="5003" spans="1:10" x14ac:dyDescent="0.25">
      <c r="A5003" t="str">
        <f>HYPERLINK("http://www.corstruth.com.au/Vic/965844_PGE4_cs.png","965844_PGE4_A4")</f>
        <v>965844_PGE4_A4</v>
      </c>
      <c r="B5003" t="str">
        <f>HYPERLINK("http://www.corstruth.com.au/Vic/PNG2/965844_PGE4_cs.png","965844_PGE4_0.25m Bins")</f>
        <v>965844_PGE4_0.25m Bins</v>
      </c>
      <c r="C5003" t="str">
        <f>HYPERLINK("http://www.corstruth.com.au/Vic/CSV/965844_PGE4.csv","965844_PGE4_CSV File 1m Bins")</f>
        <v>965844_PGE4_CSV File 1m Bins</v>
      </c>
      <c r="D5003">
        <v>965844</v>
      </c>
      <c r="E5003" t="s">
        <v>3421</v>
      </c>
      <c r="I5003">
        <v>-37.591299999999997</v>
      </c>
      <c r="J5003">
        <v>141.333</v>
      </c>
    </row>
    <row r="5004" spans="1:10" x14ac:dyDescent="0.25">
      <c r="A5004" t="str">
        <f>HYPERLINK("http://www.corstruth.com.au/Vic/965845_MDH81_Hole_Data_cs.png","965845_MDH81_Hole_Data_A4")</f>
        <v>965845_MDH81_Hole_Data_A4</v>
      </c>
      <c r="B5004" t="str">
        <f>HYPERLINK("http://www.corstruth.com.au/Vic/PNG2/965845_MDH81_Hole_Data_cs.png","965845_MDH81_Hole_Data_0.25m Bins")</f>
        <v>965845_MDH81_Hole_Data_0.25m Bins</v>
      </c>
      <c r="C5004" t="str">
        <f>HYPERLINK("http://www.corstruth.com.au/Vic/CSV/965845_MDH81_Hole_Data.csv","965845_MDH81_Hole_Data_CSV File 1m Bins")</f>
        <v>965845_MDH81_Hole_Data_CSV File 1m Bins</v>
      </c>
      <c r="D5004">
        <v>965845</v>
      </c>
      <c r="E5004" t="s">
        <v>3421</v>
      </c>
      <c r="I5004">
        <v>-37.305900000000001</v>
      </c>
      <c r="J5004">
        <v>142.76499999999999</v>
      </c>
    </row>
    <row r="5005" spans="1:10" x14ac:dyDescent="0.25">
      <c r="A5005" t="str">
        <f>HYPERLINK("http://www.corstruth.com.au/Vic/965846_MDH82_cs.png","965846_MDH82_A4")</f>
        <v>965846_MDH82_A4</v>
      </c>
      <c r="B5005" t="str">
        <f>HYPERLINK("http://www.corstruth.com.au/Vic/PNG2/965846_MDH82_cs.png","965846_MDH82_0.25m Bins")</f>
        <v>965846_MDH82_0.25m Bins</v>
      </c>
      <c r="C5005" t="str">
        <f>HYPERLINK("http://www.corstruth.com.au/Vic/CSV/965846_MDH82.csv","965846_MDH82_CSV File 1m Bins")</f>
        <v>965846_MDH82_CSV File 1m Bins</v>
      </c>
      <c r="D5005">
        <v>965846</v>
      </c>
      <c r="E5005" t="s">
        <v>3421</v>
      </c>
      <c r="I5005">
        <v>-37.302399999999999</v>
      </c>
      <c r="J5005">
        <v>142.76400000000001</v>
      </c>
    </row>
    <row r="5006" spans="1:10" x14ac:dyDescent="0.25">
      <c r="A5006" t="str">
        <f>HYPERLINK("http://www.corstruth.com.au/Vic/965847_MDH89_cs.png","965847_MDH89_A4")</f>
        <v>965847_MDH89_A4</v>
      </c>
      <c r="B5006" t="str">
        <f>HYPERLINK("http://www.corstruth.com.au/Vic/PNG2/965847_MDH89_cs.png","965847_MDH89_0.25m Bins")</f>
        <v>965847_MDH89_0.25m Bins</v>
      </c>
      <c r="C5006" t="str">
        <f>HYPERLINK("http://www.corstruth.com.au/Vic/CSV/965847_MDH89.csv","965847_MDH89_CSV File 1m Bins")</f>
        <v>965847_MDH89_CSV File 1m Bins</v>
      </c>
      <c r="D5006">
        <v>965847</v>
      </c>
      <c r="E5006" t="s">
        <v>3421</v>
      </c>
      <c r="I5006">
        <v>-37.298400000000001</v>
      </c>
      <c r="J5006">
        <v>142.762</v>
      </c>
    </row>
    <row r="5007" spans="1:10" x14ac:dyDescent="0.25">
      <c r="A5007" t="str">
        <f>HYPERLINK("http://www.corstruth.com.au/Vic/965848_MDH90_cs.png","965848_MDH90_A4")</f>
        <v>965848_MDH90_A4</v>
      </c>
      <c r="B5007" t="str">
        <f>HYPERLINK("http://www.corstruth.com.au/Vic/PNG2/965848_MDH90_cs.png","965848_MDH90_0.25m Bins")</f>
        <v>965848_MDH90_0.25m Bins</v>
      </c>
      <c r="C5007" t="str">
        <f>HYPERLINK("http://www.corstruth.com.au/Vic/CSV/965848_MDH90.csv","965848_MDH90_CSV File 1m Bins")</f>
        <v>965848_MDH90_CSV File 1m Bins</v>
      </c>
      <c r="D5007">
        <v>965848</v>
      </c>
      <c r="E5007" t="s">
        <v>3421</v>
      </c>
      <c r="I5007">
        <v>-37.305500000000002</v>
      </c>
      <c r="J5007">
        <v>142.76599999999999</v>
      </c>
    </row>
    <row r="5008" spans="1:10" x14ac:dyDescent="0.25">
      <c r="A5008" t="str">
        <f>HYPERLINK("http://www.corstruth.com.au/Vic/965850_PRC4_cs.png","965850_PRC4_A4")</f>
        <v>965850_PRC4_A4</v>
      </c>
      <c r="B5008" t="str">
        <f>HYPERLINK("http://www.corstruth.com.au/Vic/PNG2/965850_PRC4_cs.png","965850_PRC4_0.25m Bins")</f>
        <v>965850_PRC4_0.25m Bins</v>
      </c>
      <c r="C5008" t="str">
        <f>HYPERLINK("http://www.corstruth.com.au/Vic/CSV/965850_PRC4.csv","965850_PRC4_CSV File 1m Bins")</f>
        <v>965850_PRC4_CSV File 1m Bins</v>
      </c>
      <c r="D5008">
        <v>965850</v>
      </c>
      <c r="E5008" t="s">
        <v>3421</v>
      </c>
      <c r="I5008">
        <v>-37.790700000000001</v>
      </c>
      <c r="J5008">
        <v>142.33699999999999</v>
      </c>
    </row>
    <row r="5009" spans="1:11" x14ac:dyDescent="0.25">
      <c r="A5009" t="str">
        <f>HYPERLINK("http://www.corstruth.com.au/Vic/965851_NL001_cs.png","965851_NL001_A4")</f>
        <v>965851_NL001_A4</v>
      </c>
      <c r="B5009" t="str">
        <f>HYPERLINK("http://www.corstruth.com.au/Vic/PNG2/965851_NL001_cs.png","965851_NL001_0.25m Bins")</f>
        <v>965851_NL001_0.25m Bins</v>
      </c>
      <c r="C5009" t="str">
        <f>HYPERLINK("http://www.corstruth.com.au/Vic/CSV/965851_NL001.csv","965851_NL001_CSV File 1m Bins")</f>
        <v>965851_NL001_CSV File 1m Bins</v>
      </c>
      <c r="D5009">
        <v>965851</v>
      </c>
      <c r="E5009" t="s">
        <v>3421</v>
      </c>
      <c r="I5009">
        <v>-37.032899999999998</v>
      </c>
      <c r="J5009">
        <v>143.71700000000001</v>
      </c>
    </row>
    <row r="5010" spans="1:11" x14ac:dyDescent="0.25">
      <c r="A5010" t="str">
        <f>HYPERLINK("http://www.corstruth.com.au/Vic/965852_DNMDD001_cs.png","965852_DNMDD001_A4")</f>
        <v>965852_DNMDD001_A4</v>
      </c>
      <c r="B5010" t="str">
        <f>HYPERLINK("http://www.corstruth.com.au/Vic/PNG2/965852_DNMDD001_cs.png","965852_DNMDD001_0.25m Bins")</f>
        <v>965852_DNMDD001_0.25m Bins</v>
      </c>
      <c r="C5010" t="str">
        <f>HYPERLINK("http://www.corstruth.com.au/Vic/CSV/965852_DNMDD001.csv","965852_DNMDD001_CSV File 1m Bins")</f>
        <v>965852_DNMDD001_CSV File 1m Bins</v>
      </c>
      <c r="D5010">
        <v>965852</v>
      </c>
      <c r="E5010" t="s">
        <v>3421</v>
      </c>
      <c r="I5010">
        <v>-36.688600000000001</v>
      </c>
      <c r="J5010">
        <v>147.77799999999999</v>
      </c>
    </row>
    <row r="5011" spans="1:11" x14ac:dyDescent="0.25">
      <c r="A5011" t="str">
        <f>HYPERLINK("http://www.corstruth.com.au/Vic/965870_RCD003_cs.png","965870_RCD003_A4")</f>
        <v>965870_RCD003_A4</v>
      </c>
      <c r="B5011" t="str">
        <f>HYPERLINK("http://www.corstruth.com.au/Vic/PNG2/965870_RCD003_cs.png","965870_RCD003_0.25m Bins")</f>
        <v>965870_RCD003_0.25m Bins</v>
      </c>
      <c r="C5011" t="str">
        <f>HYPERLINK("http://www.corstruth.com.au/Vic/CSV/965870_RCD003.csv","965870_RCD003_CSV File 1m Bins")</f>
        <v>965870_RCD003_CSV File 1m Bins</v>
      </c>
      <c r="D5011">
        <v>965870</v>
      </c>
      <c r="E5011" t="s">
        <v>3421</v>
      </c>
      <c r="I5011">
        <v>-37.378</v>
      </c>
      <c r="J5011">
        <v>146.399</v>
      </c>
    </row>
    <row r="5012" spans="1:11" x14ac:dyDescent="0.25">
      <c r="A5012" t="str">
        <f>HYPERLINK("http://www.corstruth.com.au/Vic/969794_MCD001_cs.png","969794_MCD001_A4")</f>
        <v>969794_MCD001_A4</v>
      </c>
      <c r="B5012" t="str">
        <f>HYPERLINK("http://www.corstruth.com.au/Vic/PNG2/969794_MCD001_cs.png","969794_MCD001_0.25m Bins")</f>
        <v>969794_MCD001_0.25m Bins</v>
      </c>
      <c r="C5012" t="str">
        <f>HYPERLINK("http://www.corstruth.com.au/Vic/CSV/969794_MCD001.csv","969794_MCD001_CSV File 1m Bins")</f>
        <v>969794_MCD001_CSV File 1m Bins</v>
      </c>
      <c r="D5012">
        <v>969794</v>
      </c>
      <c r="E5012" t="s">
        <v>3421</v>
      </c>
      <c r="I5012">
        <v>-36.9634</v>
      </c>
      <c r="J5012">
        <v>144.488</v>
      </c>
    </row>
    <row r="5013" spans="1:11" x14ac:dyDescent="0.25">
      <c r="A5013" t="str">
        <f>HYPERLINK("http://www.corstruth.com.au/Vic/976430_Stavely2_cs.png","976430_Stavely2_A4")</f>
        <v>976430_Stavely2_A4</v>
      </c>
      <c r="B5013" t="str">
        <f>HYPERLINK("http://www.corstruth.com.au/Vic/PNG2/976430_Stavely2_cs.png","976430_Stavely2_0.25m Bins")</f>
        <v>976430_Stavely2_0.25m Bins</v>
      </c>
      <c r="C5013" t="str">
        <f>HYPERLINK("http://www.corstruth.com.au/Vic/CSV/976430_Stavely2.csv","976430_Stavely2_CSV File 1m Bins")</f>
        <v>976430_Stavely2_CSV File 1m Bins</v>
      </c>
      <c r="D5013">
        <v>976430</v>
      </c>
      <c r="E5013" t="s">
        <v>3421</v>
      </c>
      <c r="I5013">
        <v>-37.901899999999998</v>
      </c>
      <c r="J5013">
        <v>142.71199999999999</v>
      </c>
      <c r="K5013" t="str">
        <f>HYPERLINK("http://geology.data.vic.gov.au/NVCLDataServices/mosaic.html?datasetid=7bf74ba1-190b-4abf-9362-16216dec78c","976430_Stavely2_Core Image")</f>
        <v>976430_Stavely2_Core Image</v>
      </c>
    </row>
    <row r="5014" spans="1:11" x14ac:dyDescent="0.25">
      <c r="A5014" t="str">
        <f>HYPERLINK("http://www.corstruth.com.au/Vic/976431_Stavely4_cs.png","976431_Stavely4_A4")</f>
        <v>976431_Stavely4_A4</v>
      </c>
      <c r="B5014" t="str">
        <f>HYPERLINK("http://www.corstruth.com.au/Vic/PNG2/976431_Stavely4_cs.png","976431_Stavely4_0.25m Bins")</f>
        <v>976431_Stavely4_0.25m Bins</v>
      </c>
      <c r="C5014" t="str">
        <f>HYPERLINK("http://www.corstruth.com.au/Vic/CSV/976431_Stavely4.csv","976431_Stavely4_CSV File 1m Bins")</f>
        <v>976431_Stavely4_CSV File 1m Bins</v>
      </c>
      <c r="D5014">
        <v>976431</v>
      </c>
      <c r="E5014" t="s">
        <v>3421</v>
      </c>
      <c r="I5014">
        <v>-37.164400000000001</v>
      </c>
      <c r="J5014">
        <v>142.251</v>
      </c>
      <c r="K5014" t="str">
        <f>HYPERLINK("http://geology.data.vic.gov.au/NVCLDataServices/mosaic.html?datasetid=7bf74ba1-190b-4abf-9362-16216dec78c","976431_Stavely4_Core Image")</f>
        <v>976431_Stavely4_Core Image</v>
      </c>
    </row>
    <row r="5015" spans="1:11" x14ac:dyDescent="0.25">
      <c r="A5015" t="str">
        <f>HYPERLINK("http://www.corstruth.com.au/Vic/976431_Stavely4_sonic_cs.png","976431_Stavely4_sonic_A4")</f>
        <v>976431_Stavely4_sonic_A4</v>
      </c>
      <c r="B5015" t="str">
        <f>HYPERLINK("http://www.corstruth.com.au/Vic/PNG2/976431_Stavely4_sonic_cs.png","976431_Stavely4_sonic_0.25m Bins")</f>
        <v>976431_Stavely4_sonic_0.25m Bins</v>
      </c>
      <c r="C5015" t="str">
        <f>HYPERLINK("http://www.corstruth.com.au/Vic/CSV/976431_Stavely4_sonic.csv","976431_Stavely4_sonic_CSV File 1m Bins")</f>
        <v>976431_Stavely4_sonic_CSV File 1m Bins</v>
      </c>
      <c r="D5015">
        <v>976431</v>
      </c>
      <c r="E5015" t="s">
        <v>3421</v>
      </c>
      <c r="I5015">
        <v>-37.164400000000001</v>
      </c>
      <c r="J5015">
        <v>142.251</v>
      </c>
      <c r="K5015" t="str">
        <f>HYPERLINK("http://geology.data.vic.gov.au/NVCLDataServices/mosaic.html?datasetid=7bf74ba1-190b-4abf-9362-16216dec78c","976431_Stavely4_sonic_Core Image")</f>
        <v>976431_Stavely4_sonic_Core Image</v>
      </c>
    </row>
    <row r="5016" spans="1:11" x14ac:dyDescent="0.25">
      <c r="A5016" t="str">
        <f>HYPERLINK("http://www.corstruth.com.au/Vic/976432_Stavely5_cs.png","976432_Stavely5_A4")</f>
        <v>976432_Stavely5_A4</v>
      </c>
      <c r="B5016" t="str">
        <f>HYPERLINK("http://www.corstruth.com.au/Vic/PNG2/976432_Stavely5_cs.png","976432_Stavely5_0.25m Bins")</f>
        <v>976432_Stavely5_0.25m Bins</v>
      </c>
      <c r="C5016" t="str">
        <f>HYPERLINK("http://www.corstruth.com.au/Vic/CSV/976432_Stavely5.csv","976432_Stavely5_CSV File 1m Bins")</f>
        <v>976432_Stavely5_CSV File 1m Bins</v>
      </c>
      <c r="D5016">
        <v>976432</v>
      </c>
      <c r="E5016" t="s">
        <v>3421</v>
      </c>
      <c r="I5016">
        <v>-37.096800000000002</v>
      </c>
      <c r="J5016">
        <v>142.01599999999999</v>
      </c>
      <c r="K5016" t="str">
        <f>HYPERLINK("http://geology.data.vic.gov.au/NVCLDataServices/mosaic.html?datasetid=7bf74ba1-190b-4abf-9362-16216dec78c","976432_Stavely5_Core Image")</f>
        <v>976432_Stavely5_Core Image</v>
      </c>
    </row>
    <row r="5017" spans="1:11" x14ac:dyDescent="0.25">
      <c r="A5017" t="str">
        <f>HYPERLINK("http://www.corstruth.com.au/Vic/976432_Stavely5_sonic_cs.png","976432_Stavely5_sonic_A4")</f>
        <v>976432_Stavely5_sonic_A4</v>
      </c>
      <c r="B5017" t="str">
        <f>HYPERLINK("http://www.corstruth.com.au/Vic/PNG2/976432_Stavely5_sonic_cs.png","976432_Stavely5_sonic_0.25m Bins")</f>
        <v>976432_Stavely5_sonic_0.25m Bins</v>
      </c>
      <c r="C5017" t="str">
        <f>HYPERLINK("http://www.corstruth.com.au/Vic/CSV/976432_Stavely5_sonic.csv","976432_Stavely5_sonic_CSV File 1m Bins")</f>
        <v>976432_Stavely5_sonic_CSV File 1m Bins</v>
      </c>
      <c r="D5017">
        <v>976432</v>
      </c>
      <c r="E5017" t="s">
        <v>3421</v>
      </c>
      <c r="I5017">
        <v>-37.096800000000002</v>
      </c>
      <c r="J5017">
        <v>142.01599999999999</v>
      </c>
      <c r="K5017" t="str">
        <f>HYPERLINK("http://geology.data.vic.gov.au/NVCLDataServices/mosaic.html?datasetid=7bf74ba1-190b-4abf-9362-16216dec78c","976432_Stavely5_sonic_Core Image")</f>
        <v>976432_Stavely5_sonic_Core Image</v>
      </c>
    </row>
    <row r="5018" spans="1:11" x14ac:dyDescent="0.25">
      <c r="A5018" t="str">
        <f>HYPERLINK("http://www.corstruth.com.au/Vic/976433_Stavely6_cs.png","976433_Stavely6_A4")</f>
        <v>976433_Stavely6_A4</v>
      </c>
      <c r="B5018" t="str">
        <f>HYPERLINK("http://www.corstruth.com.au/Vic/PNG2/976433_Stavely6_cs.png","976433_Stavely6_0.25m Bins")</f>
        <v>976433_Stavely6_0.25m Bins</v>
      </c>
      <c r="C5018" t="str">
        <f>HYPERLINK("http://www.corstruth.com.au/Vic/CSV/976433_Stavely6.csv","976433_Stavely6_CSV File 1m Bins")</f>
        <v>976433_Stavely6_CSV File 1m Bins</v>
      </c>
      <c r="D5018">
        <v>976433</v>
      </c>
      <c r="E5018" t="s">
        <v>3421</v>
      </c>
      <c r="I5018">
        <v>-37.0503</v>
      </c>
      <c r="J5018">
        <v>142.274</v>
      </c>
      <c r="K5018" t="str">
        <f>HYPERLINK("http://geology.data.vic.gov.au/NVCLDataServices/mosaic.html?datasetid=7bf74ba1-190b-4abf-9362-16216dec78c","976433_Stavely6_Core Image")</f>
        <v>976433_Stavely6_Core Image</v>
      </c>
    </row>
    <row r="5019" spans="1:11" x14ac:dyDescent="0.25">
      <c r="A5019" t="str">
        <f>HYPERLINK("http://www.corstruth.com.au/Vic/976433_Stavely6_sonic_cs.png","976433_Stavely6_sonic_A4")</f>
        <v>976433_Stavely6_sonic_A4</v>
      </c>
      <c r="B5019" t="str">
        <f>HYPERLINK("http://www.corstruth.com.au/Vic/PNG2/976433_Stavely6_sonic_cs.png","976433_Stavely6_sonic_0.25m Bins")</f>
        <v>976433_Stavely6_sonic_0.25m Bins</v>
      </c>
      <c r="C5019" t="str">
        <f>HYPERLINK("http://www.corstruth.com.au/Vic/CSV/976433_Stavely6_sonic.csv","976433_Stavely6_sonic_CSV File 1m Bins")</f>
        <v>976433_Stavely6_sonic_CSV File 1m Bins</v>
      </c>
      <c r="D5019">
        <v>976433</v>
      </c>
      <c r="E5019" t="s">
        <v>3421</v>
      </c>
      <c r="I5019">
        <v>-37.0503</v>
      </c>
      <c r="J5019">
        <v>142.274</v>
      </c>
      <c r="K5019" t="str">
        <f>HYPERLINK("http://geology.data.vic.gov.au/NVCLDataServices/mosaic.html?datasetid=7bf74ba1-190b-4abf-9362-16216dec78c","976433_Stavely6_sonic_Core Image")</f>
        <v>976433_Stavely6_sonic_Core Image</v>
      </c>
    </row>
    <row r="5020" spans="1:11" x14ac:dyDescent="0.25">
      <c r="A5020" t="str">
        <f>HYPERLINK("http://www.corstruth.com.au/Vic/976434_Stavely7_cs.png","976434_Stavely7_A4")</f>
        <v>976434_Stavely7_A4</v>
      </c>
      <c r="B5020" t="str">
        <f>HYPERLINK("http://www.corstruth.com.au/Vic/PNG2/976434_Stavely7_cs.png","976434_Stavely7_0.25m Bins")</f>
        <v>976434_Stavely7_0.25m Bins</v>
      </c>
      <c r="C5020" t="str">
        <f>HYPERLINK("http://www.corstruth.com.au/Vic/CSV/976434_Stavely7.csv","976434_Stavely7_CSV File 1m Bins")</f>
        <v>976434_Stavely7_CSV File 1m Bins</v>
      </c>
      <c r="D5020">
        <v>976434</v>
      </c>
      <c r="E5020" t="s">
        <v>3421</v>
      </c>
      <c r="I5020">
        <v>-36.993899999999996</v>
      </c>
      <c r="J5020">
        <v>142.32300000000001</v>
      </c>
      <c r="K5020" t="str">
        <f>HYPERLINK("http://geology.data.vic.gov.au/NVCLDataServices/mosaic.html?datasetid=7bf74ba1-190b-4abf-9362-16216dec78c","976434_Stavely7_Core Image")</f>
        <v>976434_Stavely7_Core Image</v>
      </c>
    </row>
    <row r="5021" spans="1:11" x14ac:dyDescent="0.25">
      <c r="A5021" t="str">
        <f>HYPERLINK("http://www.corstruth.com.au/Vic/976434_Stavely7_sonic_cs.png","976434_Stavely7_sonic_A4")</f>
        <v>976434_Stavely7_sonic_A4</v>
      </c>
      <c r="B5021" t="str">
        <f>HYPERLINK("http://www.corstruth.com.au/Vic/PNG2/976434_Stavely7_sonic_cs.png","976434_Stavely7_sonic_0.25m Bins")</f>
        <v>976434_Stavely7_sonic_0.25m Bins</v>
      </c>
      <c r="C5021" t="str">
        <f>HYPERLINK("http://www.corstruth.com.au/Vic/CSV/976434_Stavely7_sonic.csv","976434_Stavely7_sonic_CSV File 1m Bins")</f>
        <v>976434_Stavely7_sonic_CSV File 1m Bins</v>
      </c>
      <c r="D5021">
        <v>976434</v>
      </c>
      <c r="E5021" t="s">
        <v>3421</v>
      </c>
      <c r="I5021">
        <v>-36.993899999999996</v>
      </c>
      <c r="J5021">
        <v>142.32300000000001</v>
      </c>
      <c r="K5021" t="str">
        <f>HYPERLINK("http://geology.data.vic.gov.au/NVCLDataServices/mosaic.html?datasetid=7bf74ba1-190b-4abf-9362-16216dec78c","976434_Stavely7_sonic_Core Image")</f>
        <v>976434_Stavely7_sonic_Core Image</v>
      </c>
    </row>
    <row r="5022" spans="1:11" x14ac:dyDescent="0.25">
      <c r="A5022" t="str">
        <f>HYPERLINK("http://www.corstruth.com.au/Vic/976435_Stavely8_sonic_cs.png","976435_Stavely8_sonic_A4")</f>
        <v>976435_Stavely8_sonic_A4</v>
      </c>
      <c r="B5022" t="str">
        <f>HYPERLINK("http://www.corstruth.com.au/Vic/PNG2/976435_Stavely8_sonic_cs.png","976435_Stavely8_sonic_0.25m Bins")</f>
        <v>976435_Stavely8_sonic_0.25m Bins</v>
      </c>
      <c r="C5022" t="str">
        <f>HYPERLINK("http://www.corstruth.com.au/Vic/CSV/976435_Stavely8_sonic.csv","976435_Stavely8_sonic_CSV File 1m Bins")</f>
        <v>976435_Stavely8_sonic_CSV File 1m Bins</v>
      </c>
      <c r="D5022">
        <v>976435</v>
      </c>
      <c r="E5022" t="s">
        <v>3421</v>
      </c>
      <c r="I5022">
        <v>-36.909799999999997</v>
      </c>
      <c r="J5022">
        <v>141.66999999999999</v>
      </c>
      <c r="K5022" t="str">
        <f>HYPERLINK("http://geology.data.vic.gov.au/NVCLDataServices/mosaic.html?datasetid=da7d4528-2a3b-4a94-96ff-8471228450f","976435_Stavely8_sonic_Core Image")</f>
        <v>976435_Stavely8_sonic_Core Image</v>
      </c>
    </row>
    <row r="5023" spans="1:11" x14ac:dyDescent="0.25">
      <c r="A5023" t="str">
        <f>HYPERLINK("http://www.corstruth.com.au/Vic/976436_Stavely9_cs.png","976436_Stavely9_A4")</f>
        <v>976436_Stavely9_A4</v>
      </c>
      <c r="B5023" t="str">
        <f>HYPERLINK("http://www.corstruth.com.au/Vic/PNG2/976436_Stavely9_cs.png","976436_Stavely9_0.25m Bins")</f>
        <v>976436_Stavely9_0.25m Bins</v>
      </c>
      <c r="C5023" t="str">
        <f>HYPERLINK("http://www.corstruth.com.au/Vic/CSV/976436_Stavely9.csv","976436_Stavely9_CSV File 1m Bins")</f>
        <v>976436_Stavely9_CSV File 1m Bins</v>
      </c>
      <c r="D5023">
        <v>976436</v>
      </c>
      <c r="E5023" t="s">
        <v>3421</v>
      </c>
      <c r="I5023">
        <v>-36.799700000000001</v>
      </c>
      <c r="J5023">
        <v>142.15899999999999</v>
      </c>
      <c r="K5023" t="str">
        <f>HYPERLINK("http://geology.data.vic.gov.au/NVCLDataServices/mosaic.html?datasetid=da7d4528-2a3b-4a94-96ff-8471228450f","976436_Stavely9_Core Image")</f>
        <v>976436_Stavely9_Core Image</v>
      </c>
    </row>
    <row r="5024" spans="1:11" x14ac:dyDescent="0.25">
      <c r="A5024" t="str">
        <f>HYPERLINK("http://www.corstruth.com.au/Vic/976436_Stavely9_sonic_cs.png","976436_Stavely9_sonic_A4")</f>
        <v>976436_Stavely9_sonic_A4</v>
      </c>
      <c r="B5024" t="str">
        <f>HYPERLINK("http://www.corstruth.com.au/Vic/PNG2/976436_Stavely9_sonic_cs.png","976436_Stavely9_sonic_0.25m Bins")</f>
        <v>976436_Stavely9_sonic_0.25m Bins</v>
      </c>
      <c r="C5024" t="str">
        <f>HYPERLINK("http://www.corstruth.com.au/Vic/CSV/976436_Stavely9_sonic.csv","976436_Stavely9_sonic_CSV File 1m Bins")</f>
        <v>976436_Stavely9_sonic_CSV File 1m Bins</v>
      </c>
      <c r="D5024">
        <v>976436</v>
      </c>
      <c r="E5024" t="s">
        <v>3421</v>
      </c>
      <c r="I5024">
        <v>-36.799700000000001</v>
      </c>
      <c r="J5024">
        <v>142.15899999999999</v>
      </c>
      <c r="K5024" t="str">
        <f>HYPERLINK("http://geology.data.vic.gov.au/NVCLDataServices/mosaic.html?datasetid=da7d4528-2a3b-4a94-96ff-8471228450f","976436_Stavely9_sonic_Core Image")</f>
        <v>976436_Stavely9_sonic_Core Image</v>
      </c>
    </row>
    <row r="5025" spans="1:11" x14ac:dyDescent="0.25">
      <c r="A5025" t="str">
        <f>HYPERLINK("http://www.corstruth.com.au/Vic/976437_Stavely10_cs.png","976437_Stavely10_A4")</f>
        <v>976437_Stavely10_A4</v>
      </c>
      <c r="B5025" t="str">
        <f>HYPERLINK("http://www.corstruth.com.au/Vic/PNG2/976437_Stavely10_cs.png","976437_Stavely10_0.25m Bins")</f>
        <v>976437_Stavely10_0.25m Bins</v>
      </c>
      <c r="C5025" t="str">
        <f>HYPERLINK("http://www.corstruth.com.au/Vic/CSV/976437_Stavely10.csv","976437_Stavely10_CSV File 1m Bins")</f>
        <v>976437_Stavely10_CSV File 1m Bins</v>
      </c>
      <c r="D5025">
        <v>976437</v>
      </c>
      <c r="E5025" t="s">
        <v>3421</v>
      </c>
      <c r="I5025">
        <v>-36.804400000000001</v>
      </c>
      <c r="J5025">
        <v>142.13</v>
      </c>
      <c r="K5025" t="str">
        <f>HYPERLINK("http://geology.data.vic.gov.au/NVCLDataServices/mosaic.html?datasetid=da7d4528-2a3b-4a94-96ff-8471228450f","976437_Stavely10_Core Image")</f>
        <v>976437_Stavely10_Core Image</v>
      </c>
    </row>
    <row r="5026" spans="1:11" x14ac:dyDescent="0.25">
      <c r="A5026" t="str">
        <f>HYPERLINK("http://www.corstruth.com.au/Vic/976437_Stavely10_sonic_cs.png","976437_Stavely10_sonic_A4")</f>
        <v>976437_Stavely10_sonic_A4</v>
      </c>
      <c r="B5026" t="str">
        <f>HYPERLINK("http://www.corstruth.com.au/Vic/PNG2/976437_Stavely10_sonic_cs.png","976437_Stavely10_sonic_0.25m Bins")</f>
        <v>976437_Stavely10_sonic_0.25m Bins</v>
      </c>
      <c r="C5026" t="str">
        <f>HYPERLINK("http://www.corstruth.com.au/Vic/CSV/976437_Stavely10_sonic.csv","976437_Stavely10_sonic_CSV File 1m Bins")</f>
        <v>976437_Stavely10_sonic_CSV File 1m Bins</v>
      </c>
      <c r="D5026">
        <v>976437</v>
      </c>
      <c r="E5026" t="s">
        <v>3421</v>
      </c>
      <c r="I5026">
        <v>-36.804400000000001</v>
      </c>
      <c r="J5026">
        <v>142.13</v>
      </c>
      <c r="K5026" t="str">
        <f>HYPERLINK("http://geology.data.vic.gov.au/NVCLDataServices/mosaic.html?datasetid=da7d4528-2a3b-4a94-96ff-8471228450f","976437_Stavely10_sonic_Core Image")</f>
        <v>976437_Stavely10_sonic_Core Image</v>
      </c>
    </row>
    <row r="5027" spans="1:11" x14ac:dyDescent="0.25">
      <c r="A5027" t="str">
        <f>HYPERLINK("http://www.corstruth.com.au/Vic/976438_Stavely11_cs.png","976438_Stavely11_A4")</f>
        <v>976438_Stavely11_A4</v>
      </c>
      <c r="B5027" t="str">
        <f>HYPERLINK("http://www.corstruth.com.au/Vic/PNG2/976438_Stavely11_cs.png","976438_Stavely11_0.25m Bins")</f>
        <v>976438_Stavely11_0.25m Bins</v>
      </c>
      <c r="C5027" t="str">
        <f>HYPERLINK("http://www.corstruth.com.au/Vic/CSV/976438_Stavely11.csv","976438_Stavely11_CSV File 1m Bins")</f>
        <v>976438_Stavely11_CSV File 1m Bins</v>
      </c>
      <c r="D5027">
        <v>976438</v>
      </c>
      <c r="E5027" t="s">
        <v>3421</v>
      </c>
      <c r="I5027">
        <v>-36.767299999999999</v>
      </c>
      <c r="J5027">
        <v>141.96700000000001</v>
      </c>
      <c r="K5027" t="str">
        <f>HYPERLINK("http://geology.data.vic.gov.au/NVCLDataServices/mosaic.html?datasetid=da7d4528-2a3b-4a94-96ff-8471228450f","976438_Stavely11_Core Image")</f>
        <v>976438_Stavely11_Core Image</v>
      </c>
    </row>
    <row r="5028" spans="1:11" x14ac:dyDescent="0.25">
      <c r="A5028" t="str">
        <f>HYPERLINK("http://www.corstruth.com.au/Vic/976438_Stavely11_sonic_cs.png","976438_Stavely11_sonic_A4")</f>
        <v>976438_Stavely11_sonic_A4</v>
      </c>
      <c r="B5028" t="str">
        <f>HYPERLINK("http://www.corstruth.com.au/Vic/PNG2/976438_Stavely11_sonic_cs.png","976438_Stavely11_sonic_0.25m Bins")</f>
        <v>976438_Stavely11_sonic_0.25m Bins</v>
      </c>
      <c r="C5028" t="str">
        <f>HYPERLINK("http://www.corstruth.com.au/Vic/CSV/976438_Stavely11_sonic.csv","976438_Stavely11_sonic_CSV File 1m Bins")</f>
        <v>976438_Stavely11_sonic_CSV File 1m Bins</v>
      </c>
      <c r="D5028">
        <v>976438</v>
      </c>
      <c r="E5028" t="s">
        <v>3421</v>
      </c>
      <c r="I5028">
        <v>-36.767299999999999</v>
      </c>
      <c r="J5028">
        <v>141.96700000000001</v>
      </c>
      <c r="K5028" t="str">
        <f>HYPERLINK("http://geology.data.vic.gov.au/NVCLDataServices/mosaic.html?datasetid=da7d4528-2a3b-4a94-96ff-8471228450f","976438_Stavely11_sonic_Core Image")</f>
        <v>976438_Stavely11_sonic_Core Image</v>
      </c>
    </row>
    <row r="5029" spans="1:11" x14ac:dyDescent="0.25">
      <c r="A5029" t="str">
        <f>HYPERLINK("http://www.corstruth.com.au/Vic/976439_Stavely12_cs.png","976439_Stavely12_A4")</f>
        <v>976439_Stavely12_A4</v>
      </c>
      <c r="B5029" t="str">
        <f>HYPERLINK("http://www.corstruth.com.au/Vic/PNG2/976439_Stavely12_cs.png","976439_Stavely12_0.25m Bins")</f>
        <v>976439_Stavely12_0.25m Bins</v>
      </c>
      <c r="C5029" t="str">
        <f>HYPERLINK("http://www.corstruth.com.au/Vic/CSV/976439_Stavely12.csv","976439_Stavely12_CSV File 1m Bins")</f>
        <v>976439_Stavely12_CSV File 1m Bins</v>
      </c>
      <c r="D5029">
        <v>976439</v>
      </c>
      <c r="E5029" t="s">
        <v>3421</v>
      </c>
      <c r="I5029">
        <v>-36.709400000000002</v>
      </c>
      <c r="J5029">
        <v>142.15299999999999</v>
      </c>
      <c r="K5029" t="str">
        <f>HYPERLINK("http://geology.data.vic.gov.au/NVCLDataServices/mosaic.html?datasetid=da7d4528-2a3b-4a94-96ff-8471228450f","976439_Stavely12_Core Image")</f>
        <v>976439_Stavely12_Core Image</v>
      </c>
    </row>
    <row r="5030" spans="1:11" x14ac:dyDescent="0.25">
      <c r="A5030" t="str">
        <f>HYPERLINK("http://www.corstruth.com.au/Vic/976439_Stavely12_sonic_cs.png","976439_Stavely12_sonic_A4")</f>
        <v>976439_Stavely12_sonic_A4</v>
      </c>
      <c r="B5030" t="str">
        <f>HYPERLINK("http://www.corstruth.com.au/Vic/PNG2/976439_Stavely12_sonic_cs.png","976439_Stavely12_sonic_0.25m Bins")</f>
        <v>976439_Stavely12_sonic_0.25m Bins</v>
      </c>
      <c r="C5030" t="str">
        <f>HYPERLINK("http://www.corstruth.com.au/Vic/CSV/976439_Stavely12_sonic.csv","976439_Stavely12_sonic_CSV File 1m Bins")</f>
        <v>976439_Stavely12_sonic_CSV File 1m Bins</v>
      </c>
      <c r="D5030">
        <v>976439</v>
      </c>
      <c r="E5030" t="s">
        <v>3421</v>
      </c>
      <c r="I5030">
        <v>-36.709400000000002</v>
      </c>
      <c r="J5030">
        <v>142.15299999999999</v>
      </c>
      <c r="K5030" t="str">
        <f>HYPERLINK("http://geology.data.vic.gov.au/NVCLDataServices/mosaic.html?datasetid=da7d4528-2a3b-4a94-96ff-8471228450f","976439_Stavely12_sonic_Core Image")</f>
        <v>976439_Stavely12_sonic_Core Image</v>
      </c>
    </row>
    <row r="5031" spans="1:11" x14ac:dyDescent="0.25">
      <c r="A5031" t="str">
        <f>HYPERLINK("http://www.corstruth.com.au/Vic/976440_Stavely14_cs.png","976440_Stavely14_A4")</f>
        <v>976440_Stavely14_A4</v>
      </c>
      <c r="B5031" t="str">
        <f>HYPERLINK("http://www.corstruth.com.au/Vic/PNG2/976440_Stavely14_cs.png","976440_Stavely14_0.25m Bins")</f>
        <v>976440_Stavely14_0.25m Bins</v>
      </c>
      <c r="C5031" t="str">
        <f>HYPERLINK("http://www.corstruth.com.au/Vic/CSV/976440_Stavely14.csv","976440_Stavely14_CSV File 1m Bins")</f>
        <v>976440_Stavely14_CSV File 1m Bins</v>
      </c>
      <c r="D5031">
        <v>976440</v>
      </c>
      <c r="E5031" t="s">
        <v>3421</v>
      </c>
      <c r="I5031">
        <v>-36.4373</v>
      </c>
      <c r="J5031">
        <v>141.655</v>
      </c>
      <c r="K5031" t="str">
        <f>HYPERLINK("http://geology.data.vic.gov.au/NVCLDataServices/mosaic.html?datasetid=da7d4528-2a3b-4a94-96ff-8471228450f","976440_Stavely14_Core Image")</f>
        <v>976440_Stavely14_Core Image</v>
      </c>
    </row>
    <row r="5032" spans="1:11" x14ac:dyDescent="0.25">
      <c r="A5032" t="str">
        <f>HYPERLINK("http://www.corstruth.com.au/Vic/976440_Stavely14_sonic_cs.png","976440_Stavely14_sonic_A4")</f>
        <v>976440_Stavely14_sonic_A4</v>
      </c>
      <c r="B5032" t="str">
        <f>HYPERLINK("http://www.corstruth.com.au/Vic/PNG2/976440_Stavely14_sonic_cs.png","976440_Stavely14_sonic_0.25m Bins")</f>
        <v>976440_Stavely14_sonic_0.25m Bins</v>
      </c>
      <c r="C5032" t="str">
        <f>HYPERLINK("http://www.corstruth.com.au/Vic/CSV/976440_Stavely14_sonic.csv","976440_Stavely14_sonic_CSV File 1m Bins")</f>
        <v>976440_Stavely14_sonic_CSV File 1m Bins</v>
      </c>
      <c r="D5032">
        <v>976440</v>
      </c>
      <c r="E5032" t="s">
        <v>3421</v>
      </c>
      <c r="I5032">
        <v>-36.4373</v>
      </c>
      <c r="J5032">
        <v>141.655</v>
      </c>
      <c r="K5032" t="str">
        <f>HYPERLINK("http://geology.data.vic.gov.au/NVCLDataServices/mosaic.html?datasetid=da7d4528-2a3b-4a94-96ff-8471228450f","976440_Stavely14_sonic_Core Image")</f>
        <v>976440_Stavely14_sonic_Core Image</v>
      </c>
    </row>
    <row r="5033" spans="1:11" x14ac:dyDescent="0.25">
      <c r="A5033" t="str">
        <f>HYPERLINK("http://www.corstruth.com.au/Vic/976441_Stavely16_cs.png","976441_Stavely16_A4")</f>
        <v>976441_Stavely16_A4</v>
      </c>
      <c r="B5033" t="str">
        <f>HYPERLINK("http://www.corstruth.com.au/Vic/PNG2/976441_Stavely16_cs.png","976441_Stavely16_0.25m Bins")</f>
        <v>976441_Stavely16_0.25m Bins</v>
      </c>
      <c r="C5033" t="str">
        <f>HYPERLINK("http://www.corstruth.com.au/Vic/CSV/976441_Stavely16.csv","976441_Stavely16_CSV File 1m Bins")</f>
        <v>976441_Stavely16_CSV File 1m Bins</v>
      </c>
      <c r="D5033">
        <v>976441</v>
      </c>
      <c r="E5033" t="s">
        <v>3421</v>
      </c>
      <c r="I5033">
        <v>-36.264699999999998</v>
      </c>
      <c r="J5033">
        <v>141.92099999999999</v>
      </c>
      <c r="K5033" t="str">
        <f>HYPERLINK("http://geology.data.vic.gov.au/NVCLDataServices/mosaic.html?datasetid=da7d4528-2a3b-4a94-96ff-8471228450f","976441_Stavely16_Core Image")</f>
        <v>976441_Stavely16_Core Image</v>
      </c>
    </row>
    <row r="5034" spans="1:11" x14ac:dyDescent="0.25">
      <c r="A5034" t="str">
        <f>HYPERLINK("http://www.corstruth.com.au/Vic/976441_Stavely16_sonic_cs.png","976441_Stavely16_sonic_A4")</f>
        <v>976441_Stavely16_sonic_A4</v>
      </c>
      <c r="B5034" t="str">
        <f>HYPERLINK("http://www.corstruth.com.au/Vic/PNG2/976441_Stavely16_sonic_cs.png","976441_Stavely16_sonic_0.25m Bins")</f>
        <v>976441_Stavely16_sonic_0.25m Bins</v>
      </c>
      <c r="C5034" t="str">
        <f>HYPERLINK("http://www.corstruth.com.au/Vic/CSV/976441_Stavely16_sonic.csv","976441_Stavely16_sonic_CSV File 1m Bins")</f>
        <v>976441_Stavely16_sonic_CSV File 1m Bins</v>
      </c>
      <c r="D5034">
        <v>976441</v>
      </c>
      <c r="E5034" t="s">
        <v>3421</v>
      </c>
      <c r="I5034">
        <v>-36.264699999999998</v>
      </c>
      <c r="J5034">
        <v>141.92099999999999</v>
      </c>
      <c r="K5034" t="str">
        <f>HYPERLINK("http://geology.data.vic.gov.au/NVCLDataServices/mosaic.html?datasetid=da7d4528-2a3b-4a94-96ff-8471228450f","976441_Stavely16_sonic_Core Image")</f>
        <v>976441_Stavely16_sonic_Core Image</v>
      </c>
    </row>
    <row r="5035" spans="1:11" x14ac:dyDescent="0.25">
      <c r="A5035" t="str">
        <f>HYPERLINK("http://www.corstruth.com.au/Vic/976442_Stavely17_cs.png","976442_Stavely17_A4")</f>
        <v>976442_Stavely17_A4</v>
      </c>
      <c r="B5035" t="str">
        <f>HYPERLINK("http://www.corstruth.com.au/Vic/PNG2/976442_Stavely17_cs.png","976442_Stavely17_0.25m Bins")</f>
        <v>976442_Stavely17_0.25m Bins</v>
      </c>
      <c r="C5035" t="str">
        <f>HYPERLINK("http://www.corstruth.com.au/Vic/CSV/976442_Stavely17.csv","976442_Stavely17_CSV File 1m Bins")</f>
        <v>976442_Stavely17_CSV File 1m Bins</v>
      </c>
      <c r="D5035">
        <v>976442</v>
      </c>
      <c r="E5035" t="s">
        <v>3421</v>
      </c>
      <c r="I5035">
        <v>-37.683</v>
      </c>
      <c r="J5035">
        <v>142.64099999999999</v>
      </c>
      <c r="K5035" t="str">
        <f>HYPERLINK("http://geology.data.vic.gov.au/NVCLDataServices/mosaic.html?datasetid=07e4dcac-5216-44a6-9a6b-0c4c1f7ce7d","976442_Stavely17_Core Image")</f>
        <v>976442_Stavely17_Core Image</v>
      </c>
    </row>
    <row r="5036" spans="1:11" x14ac:dyDescent="0.25">
      <c r="A5036" t="str">
        <f>HYPERLINK("http://www.corstruth.com.au/Vic/976616_Stavely1_cs.png","976616_Stavely1_A4")</f>
        <v>976616_Stavely1_A4</v>
      </c>
      <c r="B5036" t="str">
        <f>HYPERLINK("http://www.corstruth.com.au/Vic/PNG2/976616_Stavely1_cs.png","976616_Stavely1_0.25m Bins")</f>
        <v>976616_Stavely1_0.25m Bins</v>
      </c>
      <c r="C5036" t="str">
        <f>HYPERLINK("http://www.corstruth.com.au/Vic/CSV/976616_Stavely1.csv","976616_Stavely1_CSV File 1m Bins")</f>
        <v>976616_Stavely1_CSV File 1m Bins</v>
      </c>
      <c r="D5036">
        <v>976616</v>
      </c>
      <c r="E5036" t="s">
        <v>3421</v>
      </c>
      <c r="I5036">
        <v>-38.017499999999998</v>
      </c>
      <c r="J5036">
        <v>142.87799999999999</v>
      </c>
      <c r="K5036" t="str">
        <f>HYPERLINK("http://geology.data.vic.gov.au/NVCLDataServices/mosaic.html?datasetid=798accbe-6901-4a88-9e93-b1cf74ae97f","976616_Stavely1_Core Image")</f>
        <v>976616_Stavely1_Core Image</v>
      </c>
    </row>
    <row r="5037" spans="1:11" x14ac:dyDescent="0.25">
      <c r="A5037" t="str">
        <f>HYPERLINK("http://www.corstruth.com.au/Tas/5357_Coles_Bay_1_cs.png","5357_Coles_Bay_1_A4")</f>
        <v>5357_Coles_Bay_1_A4</v>
      </c>
      <c r="B5037" t="str">
        <f>HYPERLINK("http://www.corstruth.com.au/Tas/PNG2/5357_Coles_Bay_1_cs.png","5357_Coles_Bay_1_0.25m Bins")</f>
        <v>5357_Coles_Bay_1_0.25m Bins</v>
      </c>
      <c r="C5037" t="str">
        <f>HYPERLINK("http://www.corstruth.com.au/Tas/CSV/5357_Coles_Bay_1.csv","5357_Coles_Bay_1_CSV File 1m Bins")</f>
        <v>5357_Coles_Bay_1_CSV File 1m Bins</v>
      </c>
      <c r="D5037">
        <v>5357</v>
      </c>
      <c r="E5037" t="s">
        <v>3422</v>
      </c>
      <c r="F5037" t="str">
        <f>HYPERLINK("http://www.mrt.tas.gov.au/webdoc2/app/default/drilling_detail?id=5357","Geol Survey Link")</f>
        <v>Geol Survey Link</v>
      </c>
      <c r="G5037" t="e">
        <v>#N/A</v>
      </c>
      <c r="H5037" t="s">
        <v>3423</v>
      </c>
      <c r="I5037">
        <v>-42.110199999999999</v>
      </c>
      <c r="J5037">
        <v>148.28899999999999</v>
      </c>
      <c r="K5037" t="str">
        <f>HYPERLINK("http://www.mrt.tas.gov.au/NVCLDataServices/mosaic.html?datasetid=b2d2b03d-d904-4233-9c0c-0abe27219e4","5357_Coles_Bay_1_Core Image")</f>
        <v>5357_Coles_Bay_1_Core Image</v>
      </c>
    </row>
    <row r="5038" spans="1:11" x14ac:dyDescent="0.25">
      <c r="A5038" t="str">
        <f>HYPERLINK("http://www.corstruth.com.au/Tas/13590_SBDP5_Guildford_cs.png","13590_SBDP5_Guildford_A4")</f>
        <v>13590_SBDP5_Guildford_A4</v>
      </c>
      <c r="B5038" t="str">
        <f>HYPERLINK("http://www.corstruth.com.au/Tas/PNG2/13590_SBDP5_Guildford_cs.png","13590_SBDP5_Guildford_0.25m Bins")</f>
        <v>13590_SBDP5_Guildford_0.25m Bins</v>
      </c>
      <c r="C5038" t="str">
        <f>HYPERLINK("http://www.corstruth.com.au/Tas/CSV/13590_SBDP5_Guildford.csv","13590_SBDP5_Guildford_CSV File 1m Bins")</f>
        <v>13590_SBDP5_Guildford_CSV File 1m Bins</v>
      </c>
      <c r="D5038">
        <v>13590</v>
      </c>
      <c r="E5038" t="s">
        <v>3422</v>
      </c>
      <c r="F5038" t="str">
        <f>HYPERLINK("http://www.mrt.tas.gov.au/webdoc2/app/default/drilling_detail?id=13590","Geol Survey Link")</f>
        <v>Geol Survey Link</v>
      </c>
      <c r="G5038" t="s">
        <v>3424</v>
      </c>
      <c r="H5038" t="s">
        <v>3425</v>
      </c>
      <c r="I5038">
        <v>-41.418700000000001</v>
      </c>
      <c r="J5038">
        <v>145.66</v>
      </c>
      <c r="K5038" t="str">
        <f>HYPERLINK("http://www.mrt.tas.gov.au/NVCLDataServices/mosaic.html?datasetid=90270403-bf8f-4731-977e-adc6ab7a6b1","13590_SBDP5_Guildford_Core Image")</f>
        <v>13590_SBDP5_Guildford_Core Image</v>
      </c>
    </row>
    <row r="5039" spans="1:11" x14ac:dyDescent="0.25">
      <c r="A5039" t="str">
        <f>HYPERLINK("http://www.corstruth.com.au/Tas/90275_RO-BH100_Maggs_Mountain_cs.png","90275_RO-BH100_Maggs_Mountain_A4")</f>
        <v>90275_RO-BH100_Maggs_Mountain_A4</v>
      </c>
      <c r="B5039" t="str">
        <f>HYPERLINK("http://www.corstruth.com.au/Tas/PNG2/90275_RO-BH100_Maggs_Mountain_cs.png","90275_RO-BH100_Maggs_Mountain_0.25m Bins")</f>
        <v>90275_RO-BH100_Maggs_Mountain_0.25m Bins</v>
      </c>
      <c r="C5039" t="str">
        <f>HYPERLINK("http://www.corstruth.com.au/Tas/CSV/90275_RO-BH100_Maggs_Mountain.csv","90275_RO-BH100_Maggs_Mountain_CSV File 1m Bins")</f>
        <v>90275_RO-BH100_Maggs_Mountain_CSV File 1m Bins</v>
      </c>
      <c r="D5039">
        <v>90275</v>
      </c>
      <c r="E5039" t="s">
        <v>3422</v>
      </c>
      <c r="F5039" t="str">
        <f>HYPERLINK("http://www.mrt.tas.gov.au/webdoc2/app/default/drilling_detail?id=90275","Geol Survey Link")</f>
        <v>Geol Survey Link</v>
      </c>
      <c r="G5039" t="s">
        <v>3424</v>
      </c>
      <c r="H5039" t="s">
        <v>3426</v>
      </c>
      <c r="I5039">
        <v>-41.723300000000002</v>
      </c>
      <c r="J5039">
        <v>146.18899999999999</v>
      </c>
    </row>
    <row r="5040" spans="1:11" x14ac:dyDescent="0.25">
      <c r="A5040" t="str">
        <f>HYPERLINK("http://www.corstruth.com.au/Tas/92373_RO-BH04_Maggs_Mountain_cs.png","92373_RO-BH04_Maggs_Mountain_A4")</f>
        <v>92373_RO-BH04_Maggs_Mountain_A4</v>
      </c>
      <c r="B5040" t="str">
        <f>HYPERLINK("http://www.corstruth.com.au/Tas/PNG2/92373_RO-BH04_Maggs_Mountain_cs.png","92373_RO-BH04_Maggs_Mountain_0.25m Bins")</f>
        <v>92373_RO-BH04_Maggs_Mountain_0.25m Bins</v>
      </c>
      <c r="C5040" t="str">
        <f>HYPERLINK("http://www.corstruth.com.au/Tas/CSV/92373_RO-BH04_Maggs_Mountain.csv","92373_RO-BH04_Maggs_Mountain_CSV File 1m Bins")</f>
        <v>92373_RO-BH04_Maggs_Mountain_CSV File 1m Bins</v>
      </c>
      <c r="D5040">
        <v>92373</v>
      </c>
      <c r="E5040" t="s">
        <v>3422</v>
      </c>
      <c r="F5040" t="str">
        <f>HYPERLINK("http://www.mrt.tas.gov.au/webdoc2/app/default/drilling_detail?id=92373","Geol Survey Link")</f>
        <v>Geol Survey Link</v>
      </c>
      <c r="G5040" t="s">
        <v>3424</v>
      </c>
      <c r="H5040" t="s">
        <v>3426</v>
      </c>
      <c r="I5040">
        <v>-41.741700000000002</v>
      </c>
      <c r="J5040">
        <v>146.18</v>
      </c>
    </row>
    <row r="5041" spans="1:11" x14ac:dyDescent="0.25">
      <c r="A5041" t="str">
        <f>HYPERLINK("http://www.corstruth.com.au/Tas/16540_BT3_cs.png","16540_BT3_A4")</f>
        <v>16540_BT3_A4</v>
      </c>
      <c r="B5041" t="str">
        <f>HYPERLINK("http://www.corstruth.com.au/Tas/PNG2/16540_BT3_cs.png","16540_BT3_0.25m Bins")</f>
        <v>16540_BT3_0.25m Bins</v>
      </c>
      <c r="C5041" t="str">
        <f>HYPERLINK("http://www.corstruth.com.au/Tas/CSV/16540_BT3.csv","16540_BT3_CSV File 1m Bins")</f>
        <v>16540_BT3_CSV File 1m Bins</v>
      </c>
      <c r="D5041">
        <v>16540</v>
      </c>
      <c r="E5041" t="s">
        <v>3422</v>
      </c>
      <c r="F5041" t="str">
        <f>HYPERLINK("http://www.mrt.tas.gov.au/webdoc2/app/default/drilling_detail?id=16540","Geol Survey Link")</f>
        <v>Geol Survey Link</v>
      </c>
      <c r="G5041" t="s">
        <v>3427</v>
      </c>
      <c r="H5041" t="s">
        <v>3428</v>
      </c>
      <c r="I5041">
        <v>-41.227400000000003</v>
      </c>
      <c r="J5041">
        <v>148.01499999999999</v>
      </c>
      <c r="K5041" t="str">
        <f>HYPERLINK("http://www.mrt.tas.gov.au/NVCLDataServices/mosaic.html?datasetid=ca7a3482-ca60-4f44-849f-52b14fcfedc","16540_BT3_Core Image")</f>
        <v>16540_BT3_Core Image</v>
      </c>
    </row>
    <row r="5042" spans="1:11" x14ac:dyDescent="0.25">
      <c r="A5042" t="str">
        <f>HYPERLINK("http://www.corstruth.com.au/Tas/93611_BMD1_Bell_Mount_cs.png","93611_BMD1_Bell_Mount_A4")</f>
        <v>93611_BMD1_Bell_Mount_A4</v>
      </c>
      <c r="B5042" t="str">
        <f>HYPERLINK("http://www.corstruth.com.au/Tas/PNG2/93611_BMD1_Bell_Mount_cs.png","93611_BMD1_Bell_Mount_0.25m Bins")</f>
        <v>93611_BMD1_Bell_Mount_0.25m Bins</v>
      </c>
      <c r="C5042" t="str">
        <f>HYPERLINK("http://www.corstruth.com.au/Tas/CSV/93611_BMD1_Bell_Mount.csv","93611_BMD1_Bell_Mount_CSV File 1m Bins")</f>
        <v>93611_BMD1_Bell_Mount_CSV File 1m Bins</v>
      </c>
      <c r="D5042">
        <v>93611</v>
      </c>
      <c r="E5042" t="s">
        <v>3422</v>
      </c>
      <c r="F5042" t="str">
        <f>HYPERLINK("http://www.mrt.tas.gov.au/webdoc2/app/default/drilling_detail?id=93611","Geol Survey Link")</f>
        <v>Geol Survey Link</v>
      </c>
      <c r="G5042" t="s">
        <v>3427</v>
      </c>
      <c r="H5042" t="s">
        <v>3429</v>
      </c>
      <c r="I5042">
        <v>-41.4681</v>
      </c>
      <c r="J5042">
        <v>146.08600000000001</v>
      </c>
    </row>
    <row r="5043" spans="1:11" x14ac:dyDescent="0.25">
      <c r="A5043" t="str">
        <f>HYPERLINK("http://www.corstruth.com.au/Tas/93612_BMD2_Bell_Mount_cs.png","93612_BMD2_Bell_Mount_A4")</f>
        <v>93612_BMD2_Bell_Mount_A4</v>
      </c>
      <c r="B5043" t="str">
        <f>HYPERLINK("http://www.corstruth.com.au/Tas/PNG2/93612_BMD2_Bell_Mount_cs.png","93612_BMD2_Bell_Mount_0.25m Bins")</f>
        <v>93612_BMD2_Bell_Mount_0.25m Bins</v>
      </c>
      <c r="C5043" t="str">
        <f>HYPERLINK("http://www.corstruth.com.au/Tas/CSV/93612_BMD2_Bell_Mount.csv","93612_BMD2_Bell_Mount_CSV File 1m Bins")</f>
        <v>93612_BMD2_Bell_Mount_CSV File 1m Bins</v>
      </c>
      <c r="D5043">
        <v>93612</v>
      </c>
      <c r="E5043" t="s">
        <v>3422</v>
      </c>
      <c r="F5043" t="str">
        <f>HYPERLINK("http://www.mrt.tas.gov.au/webdoc2/app/default/drilling_detail?id=93612","Geol Survey Link")</f>
        <v>Geol Survey Link</v>
      </c>
      <c r="G5043" t="s">
        <v>3427</v>
      </c>
      <c r="H5043" t="s">
        <v>3429</v>
      </c>
      <c r="I5043">
        <v>-41.4694</v>
      </c>
      <c r="J5043">
        <v>146.07900000000001</v>
      </c>
    </row>
    <row r="5044" spans="1:11" x14ac:dyDescent="0.25">
      <c r="A5044" t="str">
        <f>HYPERLINK("http://www.corstruth.com.au/Tas/12147_BT83_cs.png","12147_BT83_A4")</f>
        <v>12147_BT83_A4</v>
      </c>
      <c r="B5044" t="str">
        <f>HYPERLINK("http://www.corstruth.com.au/Tas/PNG2/12147_BT83_cs.png","12147_BT83_0.25m Bins")</f>
        <v>12147_BT83_0.25m Bins</v>
      </c>
      <c r="C5044" t="str">
        <f>HYPERLINK("http://www.corstruth.com.au/Tas/CSV/12147_BT83.csv","12147_BT83_CSV File 1m Bins")</f>
        <v>12147_BT83_CSV File 1m Bins</v>
      </c>
      <c r="D5044">
        <v>12147</v>
      </c>
      <c r="E5044" t="s">
        <v>3422</v>
      </c>
      <c r="F5044" t="str">
        <f>HYPERLINK("http://www.mrt.tas.gov.au/webdoc2/app/default/drilling_detail?id=12147","Geol Survey Link")</f>
        <v>Geol Survey Link</v>
      </c>
      <c r="G5044" t="s">
        <v>3427</v>
      </c>
      <c r="H5044" t="s">
        <v>3430</v>
      </c>
      <c r="I5044">
        <v>-41.229900000000001</v>
      </c>
      <c r="J5044">
        <v>148.012</v>
      </c>
      <c r="K5044" t="str">
        <f>HYPERLINK("http://www.mrt.tas.gov.au/NVCLDataServices/mosaic.html?datasetid=d4724b43-58ad-49c2-80e3-b1e7f09f726","12147_BT83_Core Image")</f>
        <v>12147_BT83_Core Image</v>
      </c>
    </row>
    <row r="5045" spans="1:11" x14ac:dyDescent="0.25">
      <c r="A5045" t="str">
        <f>HYPERLINK("http://www.corstruth.com.au/Tas/18522_C0088_cs.png","18522_C0088_A4")</f>
        <v>18522_C0088_A4</v>
      </c>
      <c r="B5045" t="str">
        <f>HYPERLINK("http://www.corstruth.com.au/Tas/PNG2/18522_C0088_cs.png","18522_C0088_0.25m Bins")</f>
        <v>18522_C0088_0.25m Bins</v>
      </c>
      <c r="C5045" t="str">
        <f>HYPERLINK("http://www.corstruth.com.au/Tas/CSV/18522_C0088.csv","18522_C0088_CSV File 1m Bins")</f>
        <v>18522_C0088_CSV File 1m Bins</v>
      </c>
      <c r="D5045">
        <v>18522</v>
      </c>
      <c r="E5045" t="s">
        <v>3422</v>
      </c>
      <c r="F5045" t="str">
        <f>HYPERLINK("http://www.mrt.tas.gov.au/webdoc2/app/default/drilling_detail?id=18522","Geol Survey Link")</f>
        <v>Geol Survey Link</v>
      </c>
      <c r="G5045" t="s">
        <v>3427</v>
      </c>
      <c r="H5045" t="s">
        <v>3431</v>
      </c>
      <c r="I5045">
        <v>-41.4773</v>
      </c>
      <c r="J5045">
        <v>145.38800000000001</v>
      </c>
      <c r="K5045" t="str">
        <f>HYPERLINK("http://www.mrt.tas.gov.au/NVCLDataServices/mosaic.html?datasetid=049dd931-220f-4482-8b3b-3343d3a9705","18522_C0088_Core Image")</f>
        <v>18522_C0088_Core Image</v>
      </c>
    </row>
    <row r="5046" spans="1:11" x14ac:dyDescent="0.25">
      <c r="A5046" t="str">
        <f>HYPERLINK("http://www.corstruth.com.au/Tas/18532_C0631_cs.png","18532_C0631_A4")</f>
        <v>18532_C0631_A4</v>
      </c>
      <c r="B5046" t="str">
        <f>HYPERLINK("http://www.corstruth.com.au/Tas/PNG2/18532_C0631_cs.png","18532_C0631_0.25m Bins")</f>
        <v>18532_C0631_0.25m Bins</v>
      </c>
      <c r="C5046" t="str">
        <f>HYPERLINK("http://www.corstruth.com.au/Tas/CSV/18532_C0631.csv","18532_C0631_CSV File 1m Bins")</f>
        <v>18532_C0631_CSV File 1m Bins</v>
      </c>
      <c r="D5046">
        <v>18532</v>
      </c>
      <c r="E5046" t="s">
        <v>3422</v>
      </c>
      <c r="F5046" t="str">
        <f>HYPERLINK("http://www.mrt.tas.gov.au/webdoc2/app/default/drilling_detail?id=18532","Geol Survey Link")</f>
        <v>Geol Survey Link</v>
      </c>
      <c r="G5046" t="s">
        <v>3427</v>
      </c>
      <c r="H5046" t="s">
        <v>3431</v>
      </c>
      <c r="I5046">
        <v>-41.4803</v>
      </c>
      <c r="J5046">
        <v>145.387</v>
      </c>
      <c r="K5046" t="str">
        <f>HYPERLINK("http://www.mrt.tas.gov.au/NVCLDataServices/mosaic.html?datasetid=2c801c36-f976-4ceb-9989-4c7b060fd8a","18532_C0631_Core Image")</f>
        <v>18532_C0631_Core Image</v>
      </c>
    </row>
    <row r="5047" spans="1:11" x14ac:dyDescent="0.25">
      <c r="A5047" t="str">
        <f>HYPERLINK("http://www.corstruth.com.au/Tas/18556_C1324_cs.png","18556_C1324_A4")</f>
        <v>18556_C1324_A4</v>
      </c>
      <c r="B5047" t="str">
        <f>HYPERLINK("http://www.corstruth.com.au/Tas/PNG2/18556_C1324_cs.png","18556_C1324_0.25m Bins")</f>
        <v>18556_C1324_0.25m Bins</v>
      </c>
      <c r="C5047" t="str">
        <f>HYPERLINK("http://www.corstruth.com.au/Tas/CSV/18556_C1324.csv","18556_C1324_CSV File 1m Bins")</f>
        <v>18556_C1324_CSV File 1m Bins</v>
      </c>
      <c r="D5047">
        <v>18556</v>
      </c>
      <c r="E5047" t="s">
        <v>3422</v>
      </c>
      <c r="F5047" t="str">
        <f>HYPERLINK("http://www.mrt.tas.gov.au/webdoc2/app/default/drilling_detail?id=18556","Geol Survey Link")</f>
        <v>Geol Survey Link</v>
      </c>
      <c r="G5047" t="s">
        <v>3427</v>
      </c>
      <c r="H5047" t="s">
        <v>3431</v>
      </c>
      <c r="I5047">
        <v>-41.479300000000002</v>
      </c>
      <c r="J5047">
        <v>145.38300000000001</v>
      </c>
      <c r="K5047" t="str">
        <f>HYPERLINK("http://www.mrt.tas.gov.au/NVCLDataServices/mosaic.html?datasetid=917cc930-1928-4d85-94a9-97ac24cdfb3","18556_C1324_Core Image")</f>
        <v>18556_C1324_Core Image</v>
      </c>
    </row>
    <row r="5048" spans="1:11" x14ac:dyDescent="0.25">
      <c r="A5048" t="str">
        <f>HYPERLINK("http://www.corstruth.com.au/Tas/18583_C1570_cs.png","18583_C1570_A4")</f>
        <v>18583_C1570_A4</v>
      </c>
      <c r="B5048" t="str">
        <f>HYPERLINK("http://www.corstruth.com.au/Tas/PNG2/18583_C1570_cs.png","18583_C1570_0.25m Bins")</f>
        <v>18583_C1570_0.25m Bins</v>
      </c>
      <c r="C5048" t="str">
        <f>HYPERLINK("http://www.corstruth.com.au/Tas/CSV/18583_C1570.csv","18583_C1570_CSV File 1m Bins")</f>
        <v>18583_C1570_CSV File 1m Bins</v>
      </c>
      <c r="D5048">
        <v>18583</v>
      </c>
      <c r="E5048" t="s">
        <v>3422</v>
      </c>
      <c r="F5048" t="str">
        <f>HYPERLINK("http://www.mrt.tas.gov.au/webdoc2/app/default/drilling_detail?id=18583","Geol Survey Link")</f>
        <v>Geol Survey Link</v>
      </c>
      <c r="G5048" t="s">
        <v>3427</v>
      </c>
      <c r="H5048" t="s">
        <v>3431</v>
      </c>
      <c r="I5048">
        <v>-41.477600000000002</v>
      </c>
      <c r="J5048">
        <v>145.38499999999999</v>
      </c>
      <c r="K5048" t="str">
        <f>HYPERLINK("http://www.mrt.tas.gov.au/NVCLDataServices/mosaic.html?datasetid=68aa016b-695c-42f8-bea8-b1f78dec8bf","18583_C1570_Core Image")</f>
        <v>18583_C1570_Core Image</v>
      </c>
    </row>
    <row r="5049" spans="1:11" x14ac:dyDescent="0.25">
      <c r="A5049" t="str">
        <f>HYPERLINK("http://www.corstruth.com.au/Tas/87525_SY800_cs.png","87525_SY800_A4")</f>
        <v>87525_SY800_A4</v>
      </c>
      <c r="B5049" t="str">
        <f>HYPERLINK("http://www.corstruth.com.au/Tas/PNG2/87525_SY800_cs.png","87525_SY800_0.25m Bins")</f>
        <v>87525_SY800_0.25m Bins</v>
      </c>
      <c r="C5049" t="str">
        <f>HYPERLINK("http://www.corstruth.com.au/Tas/CSV/87525_SY800.csv","87525_SY800_CSV File 1m Bins")</f>
        <v>87525_SY800_CSV File 1m Bins</v>
      </c>
      <c r="D5049">
        <v>87525</v>
      </c>
      <c r="E5049" t="s">
        <v>3422</v>
      </c>
      <c r="F5049" t="str">
        <f>HYPERLINK("http://www.mrt.tas.gov.au/webdoc2/app/default/drilling_detail?id=87525","Geol Survey Link")</f>
        <v>Geol Survey Link</v>
      </c>
      <c r="G5049" t="s">
        <v>3427</v>
      </c>
      <c r="H5049" t="s">
        <v>3432</v>
      </c>
      <c r="I5049">
        <v>-41.889200000000002</v>
      </c>
      <c r="J5049">
        <v>145.28700000000001</v>
      </c>
      <c r="K5049" t="str">
        <f>HYPERLINK("http://www.mrt.tas.gov.au/NVCLDataServices/mosaic.html?datasetid=2c24dc0c-41c3-47ba-a1f1-cb1190adf5b","87525_SY800_Core Image")</f>
        <v>87525_SY800_Core Image</v>
      </c>
    </row>
    <row r="5050" spans="1:11" x14ac:dyDescent="0.25">
      <c r="A5050" t="str">
        <f>HYPERLINK("http://www.corstruth.com.au/Tas/96576_SY801_Comstock_Balstrup_cs.png","96576_SY801_Comstock_Balstrup_A4")</f>
        <v>96576_SY801_Comstock_Balstrup_A4</v>
      </c>
      <c r="B5050" t="str">
        <f>HYPERLINK("http://www.corstruth.com.au/Tas/PNG2/96576_SY801_Comstock_Balstrup_cs.png","96576_SY801_Comstock_Balstrup_0.25m Bins")</f>
        <v>96576_SY801_Comstock_Balstrup_0.25m Bins</v>
      </c>
      <c r="C5050" t="str">
        <f>HYPERLINK("http://www.corstruth.com.au/Tas/CSV/96576_SY801_Comstock_Balstrup.csv","96576_SY801_Comstock_Balstrup_CSV File 1m Bins")</f>
        <v>96576_SY801_Comstock_Balstrup_CSV File 1m Bins</v>
      </c>
      <c r="D5050">
        <v>96576</v>
      </c>
      <c r="E5050" t="s">
        <v>3422</v>
      </c>
      <c r="F5050" t="str">
        <f>HYPERLINK("http://www.mrt.tas.gov.au/webdoc2/app/default/drilling_detail?id=96576","Geol Survey Link")</f>
        <v>Geol Survey Link</v>
      </c>
      <c r="G5050" t="s">
        <v>3427</v>
      </c>
      <c r="H5050" t="s">
        <v>3432</v>
      </c>
      <c r="I5050">
        <v>-41.889299999999999</v>
      </c>
      <c r="J5050">
        <v>145.28700000000001</v>
      </c>
    </row>
    <row r="5051" spans="1:11" x14ac:dyDescent="0.25">
      <c r="A5051" t="str">
        <f>HYPERLINK("http://www.corstruth.com.au/Tas/84425_KI060_Investigator_cs.png","84425_KI060_Investigator_A4")</f>
        <v>84425_KI060_Investigator_A4</v>
      </c>
      <c r="B5051" t="str">
        <f>HYPERLINK("http://www.corstruth.com.au/Tas/PNG2/84425_KI060_Investigator_cs.png","84425_KI060_Investigator_0.25m Bins")</f>
        <v>84425_KI060_Investigator_0.25m Bins</v>
      </c>
      <c r="C5051" t="str">
        <f>HYPERLINK("http://www.corstruth.com.au/Tas/CSV/84425_KI060_Investigator.csv","84425_KI060_Investigator_CSV File 1m Bins")</f>
        <v>84425_KI060_Investigator_CSV File 1m Bins</v>
      </c>
      <c r="D5051">
        <v>84425</v>
      </c>
      <c r="E5051" t="s">
        <v>3422</v>
      </c>
      <c r="F5051" t="str">
        <f>HYPERLINK("http://www.mrt.tas.gov.au/webdoc2/app/default/drilling_detail?id=84425","Geol Survey Link")</f>
        <v>Geol Survey Link</v>
      </c>
      <c r="G5051" t="s">
        <v>3427</v>
      </c>
      <c r="H5051" t="s">
        <v>3433</v>
      </c>
      <c r="I5051">
        <v>-40.0642</v>
      </c>
      <c r="J5051">
        <v>143.99199999999999</v>
      </c>
    </row>
    <row r="5052" spans="1:11" x14ac:dyDescent="0.25">
      <c r="A5052" t="str">
        <f>HYPERLINK("http://www.corstruth.com.au/Tas/84426_KI061_Investigator_cs.png","84426_KI061_Investigator_A4")</f>
        <v>84426_KI061_Investigator_A4</v>
      </c>
      <c r="B5052" t="str">
        <f>HYPERLINK("http://www.corstruth.com.au/Tas/PNG2/84426_KI061_Investigator_cs.png","84426_KI061_Investigator_0.25m Bins")</f>
        <v>84426_KI061_Investigator_0.25m Bins</v>
      </c>
      <c r="C5052" t="str">
        <f>HYPERLINK("http://www.corstruth.com.au/Tas/CSV/84426_KI061_Investigator.csv","84426_KI061_Investigator_CSV File 1m Bins")</f>
        <v>84426_KI061_Investigator_CSV File 1m Bins</v>
      </c>
      <c r="D5052">
        <v>84426</v>
      </c>
      <c r="E5052" t="s">
        <v>3422</v>
      </c>
      <c r="F5052" t="str">
        <f>HYPERLINK("http://www.mrt.tas.gov.au/webdoc2/app/default/drilling_detail?id=84426","Geol Survey Link")</f>
        <v>Geol Survey Link</v>
      </c>
      <c r="G5052" t="s">
        <v>3427</v>
      </c>
      <c r="H5052" t="s">
        <v>3433</v>
      </c>
      <c r="I5052">
        <v>-40.065199999999997</v>
      </c>
      <c r="J5052">
        <v>143.99100000000001</v>
      </c>
      <c r="K5052" t="str">
        <f>HYPERLINK("http://www.mrt.tas.gov.au/NVCLDataServices/mosaic.html?datasetid=4f4c126b-1564-4674-a921-a22bab30258","84426_KI061_Investigator_Core Image")</f>
        <v>84426_KI061_Investigator_Core Image</v>
      </c>
    </row>
    <row r="5053" spans="1:11" x14ac:dyDescent="0.25">
      <c r="A5053" t="str">
        <f>HYPERLINK("http://www.corstruth.com.au/Tas/84427_KI062_Dolphin_cs.png","84427_KI062_Dolphin_A4")</f>
        <v>84427_KI062_Dolphin_A4</v>
      </c>
      <c r="B5053" t="str">
        <f>HYPERLINK("http://www.corstruth.com.au/Tas/PNG2/84427_KI062_Dolphin_cs.png","84427_KI062_Dolphin_0.25m Bins")</f>
        <v>84427_KI062_Dolphin_0.25m Bins</v>
      </c>
      <c r="C5053" t="str">
        <f>HYPERLINK("http://www.corstruth.com.au/Tas/CSV/84427_KI062_Dolphin.csv","84427_KI062_Dolphin_CSV File 1m Bins")</f>
        <v>84427_KI062_Dolphin_CSV File 1m Bins</v>
      </c>
      <c r="D5053">
        <v>84427</v>
      </c>
      <c r="E5053" t="s">
        <v>3422</v>
      </c>
      <c r="F5053" t="str">
        <f>HYPERLINK("http://www.mrt.tas.gov.au/webdoc2/app/default/drilling_detail?id=84427","Geol Survey Link")</f>
        <v>Geol Survey Link</v>
      </c>
      <c r="G5053" t="s">
        <v>3427</v>
      </c>
      <c r="H5053" t="s">
        <v>3433</v>
      </c>
      <c r="I5053">
        <v>-40.065300000000001</v>
      </c>
      <c r="J5053">
        <v>143.99199999999999</v>
      </c>
      <c r="K5053" t="str">
        <f>HYPERLINK("http://www.mrt.tas.gov.au/NVCLDataServices/mosaic.html?datasetid=6ef0abd7-cdee-4f2a-b443-9f924a8fb3a","84427_KI062_Dolphin_Core Image")</f>
        <v>84427_KI062_Dolphin_Core Image</v>
      </c>
    </row>
    <row r="5054" spans="1:11" x14ac:dyDescent="0.25">
      <c r="A5054" t="str">
        <f>HYPERLINK("http://www.corstruth.com.au/Tas/84428_KI063_Dolphin_cs.png","84428_KI063_Dolphin_A4")</f>
        <v>84428_KI063_Dolphin_A4</v>
      </c>
      <c r="B5054" t="str">
        <f>HYPERLINK("http://www.corstruth.com.au/Tas/PNG2/84428_KI063_Dolphin_cs.png","84428_KI063_Dolphin_0.25m Bins")</f>
        <v>84428_KI063_Dolphin_0.25m Bins</v>
      </c>
      <c r="C5054" t="str">
        <f>HYPERLINK("http://www.corstruth.com.au/Tas/CSV/84428_KI063_Dolphin.csv","84428_KI063_Dolphin_CSV File 1m Bins")</f>
        <v>84428_KI063_Dolphin_CSV File 1m Bins</v>
      </c>
      <c r="D5054">
        <v>84428</v>
      </c>
      <c r="E5054" t="s">
        <v>3422</v>
      </c>
      <c r="F5054" t="str">
        <f>HYPERLINK("http://www.mrt.tas.gov.au/webdoc2/app/default/drilling_detail?id=84428","Geol Survey Link")</f>
        <v>Geol Survey Link</v>
      </c>
      <c r="G5054" t="s">
        <v>3427</v>
      </c>
      <c r="H5054" t="s">
        <v>3433</v>
      </c>
      <c r="I5054">
        <v>-40.067100000000003</v>
      </c>
      <c r="J5054">
        <v>143.99</v>
      </c>
      <c r="K5054" t="str">
        <f>HYPERLINK("http://www.mrt.tas.gov.au/NVCLDataServices/mosaic.html?datasetid=40a19c14-be98-4f92-9a22-f2b21da8009","84428_KI063_Dolphin_Core Image")</f>
        <v>84428_KI063_Dolphin_Core Image</v>
      </c>
    </row>
    <row r="5055" spans="1:11" x14ac:dyDescent="0.25">
      <c r="A5055" t="str">
        <f>HYPERLINK("http://www.corstruth.com.au/Tas/87169_KI064_Dolphin_cs.png","87169_KI064_Dolphin_A4")</f>
        <v>87169_KI064_Dolphin_A4</v>
      </c>
      <c r="B5055" t="str">
        <f>HYPERLINK("http://www.corstruth.com.au/Tas/PNG2/87169_KI064_Dolphin_cs.png","87169_KI064_Dolphin_0.25m Bins")</f>
        <v>87169_KI064_Dolphin_0.25m Bins</v>
      </c>
      <c r="C5055" t="str">
        <f>HYPERLINK("http://www.corstruth.com.au/Tas/CSV/87169_KI064_Dolphin.csv","87169_KI064_Dolphin_CSV File 1m Bins")</f>
        <v>87169_KI064_Dolphin_CSV File 1m Bins</v>
      </c>
      <c r="D5055">
        <v>87169</v>
      </c>
      <c r="E5055" t="s">
        <v>3422</v>
      </c>
      <c r="F5055" t="str">
        <f>HYPERLINK("http://www.mrt.tas.gov.au/webdoc2/app/default/drilling_detail?id=87169","Geol Survey Link")</f>
        <v>Geol Survey Link</v>
      </c>
      <c r="G5055" t="s">
        <v>3427</v>
      </c>
      <c r="H5055" t="s">
        <v>3433</v>
      </c>
      <c r="I5055">
        <v>-40.054000000000002</v>
      </c>
      <c r="J5055">
        <v>144.06700000000001</v>
      </c>
      <c r="K5055" t="str">
        <f>HYPERLINK("http://www.mrt.tas.gov.au/NVCLDataServices/mosaic.html?datasetid=74c8e775-b01d-4814-8b7c-e4466158aa7","87169_KI064_Dolphin_Core Image")</f>
        <v>87169_KI064_Dolphin_Core Image</v>
      </c>
    </row>
    <row r="5056" spans="1:11" x14ac:dyDescent="0.25">
      <c r="A5056" t="str">
        <f>HYPERLINK("http://www.corstruth.com.au/Tas/87175_KI070_Dolphin_cs.png","87175_KI070_Dolphin_A4")</f>
        <v>87175_KI070_Dolphin_A4</v>
      </c>
      <c r="B5056" t="str">
        <f>HYPERLINK("http://www.corstruth.com.au/Tas/PNG2/87175_KI070_Dolphin_cs.png","87175_KI070_Dolphin_0.25m Bins")</f>
        <v>87175_KI070_Dolphin_0.25m Bins</v>
      </c>
      <c r="C5056" t="str">
        <f>HYPERLINK("http://www.corstruth.com.au/Tas/CSV/87175_KI070_Dolphin.csv","87175_KI070_Dolphin_CSV File 1m Bins")</f>
        <v>87175_KI070_Dolphin_CSV File 1m Bins</v>
      </c>
      <c r="D5056">
        <v>87175</v>
      </c>
      <c r="E5056" t="s">
        <v>3422</v>
      </c>
      <c r="F5056" t="str">
        <f>HYPERLINK("http://www.mrt.tas.gov.au/webdoc2/app/default/drilling_detail?id=87175","Geol Survey Link")</f>
        <v>Geol Survey Link</v>
      </c>
      <c r="G5056" t="s">
        <v>3427</v>
      </c>
      <c r="H5056" t="s">
        <v>3433</v>
      </c>
      <c r="I5056">
        <v>-40.054900000000004</v>
      </c>
      <c r="J5056">
        <v>144.066</v>
      </c>
    </row>
    <row r="5057" spans="1:11" x14ac:dyDescent="0.25">
      <c r="A5057" t="str">
        <f>HYPERLINK("http://www.corstruth.com.au/Tas/14453_D340-5_Dolphin_King_Island_cs.png","14453_D340-5_Dolphin_King_Island_A4")</f>
        <v>14453_D340-5_Dolphin_King_Island_A4</v>
      </c>
      <c r="B5057" t="str">
        <f>HYPERLINK("http://www.corstruth.com.au/Tas/PNG2/14453_D340-5_Dolphin_King_Island_cs.png","14453_D340-5_Dolphin_King_Island_0.25m Bins")</f>
        <v>14453_D340-5_Dolphin_King_Island_0.25m Bins</v>
      </c>
      <c r="C5057" t="str">
        <f>HYPERLINK("http://www.corstruth.com.au/Tas/CSV/14453_D340-5_Dolphin_King_Island.csv","14453_D340-5_Dolphin_King_Island_CSV File 1m Bins")</f>
        <v>14453_D340-5_Dolphin_King_Island_CSV File 1m Bins</v>
      </c>
      <c r="D5057">
        <v>14453</v>
      </c>
      <c r="E5057" t="s">
        <v>3422</v>
      </c>
      <c r="F5057" t="str">
        <f>HYPERLINK("http://www.mrt.tas.gov.au/webdoc2/app/default/drilling_detail?id=14453","Geol Survey Link")</f>
        <v>Geol Survey Link</v>
      </c>
      <c r="G5057" t="s">
        <v>3427</v>
      </c>
      <c r="H5057" t="s">
        <v>3434</v>
      </c>
      <c r="I5057">
        <v>-40.0548</v>
      </c>
      <c r="J5057">
        <v>144.06800000000001</v>
      </c>
      <c r="K5057" t="str">
        <f>HYPERLINK("http://www.mrt.tas.gov.au/NVCLDataServices/mosaic.html?datasetid=7dec900d-d119-4158-9194-9a58018349b","14453_D340-5_Dolphin_King_Island_Core Image")</f>
        <v>14453_D340-5_Dolphin_King_Island_Core Image</v>
      </c>
    </row>
    <row r="5058" spans="1:11" x14ac:dyDescent="0.25">
      <c r="A5058" t="str">
        <f>HYPERLINK("http://www.corstruth.com.au/Tas/14459_D340-10_Dolphin_King_Island_cs.png","14459_D340-10_Dolphin_King_Island_A4")</f>
        <v>14459_D340-10_Dolphin_King_Island_A4</v>
      </c>
      <c r="B5058" t="str">
        <f>HYPERLINK("http://www.corstruth.com.au/Tas/PNG2/14459_D340-10_Dolphin_King_Island_cs.png","14459_D340-10_Dolphin_King_Island_0.25m Bins")</f>
        <v>14459_D340-10_Dolphin_King_Island_0.25m Bins</v>
      </c>
      <c r="C5058" t="str">
        <f>HYPERLINK("http://www.corstruth.com.au/Tas/CSV/14459_D340-10_Dolphin_King_Island.csv","14459_D340-10_Dolphin_King_Island_CSV File 1m Bins")</f>
        <v>14459_D340-10_Dolphin_King_Island_CSV File 1m Bins</v>
      </c>
      <c r="D5058">
        <v>14459</v>
      </c>
      <c r="E5058" t="s">
        <v>3422</v>
      </c>
      <c r="F5058" t="str">
        <f>HYPERLINK("http://www.mrt.tas.gov.au/webdoc2/app/default/drilling_detail?id=14459","Geol Survey Link")</f>
        <v>Geol Survey Link</v>
      </c>
      <c r="G5058" t="s">
        <v>3427</v>
      </c>
      <c r="H5058" t="s">
        <v>3434</v>
      </c>
      <c r="I5058">
        <v>-40.0548</v>
      </c>
      <c r="J5058">
        <v>144.06800000000001</v>
      </c>
      <c r="K5058" t="str">
        <f>HYPERLINK("http://www.mrt.tas.gov.au/NVCLDataServices/mosaic.html?datasetid=2091c9a0-8df1-49eb-b8ad-d5452750cac","14459_D340-10_Dolphin_King_Island_Core Image")</f>
        <v>14459_D340-10_Dolphin_King_Island_Core Image</v>
      </c>
    </row>
    <row r="5059" spans="1:11" x14ac:dyDescent="0.25">
      <c r="A5059" t="str">
        <f>HYPERLINK("http://www.corstruth.com.au/Tas/82397_18GPD001_Great_Pyramid_cs.png","82397_18GPD001_Great_Pyramid_A4")</f>
        <v>82397_18GPD001_Great_Pyramid_A4</v>
      </c>
      <c r="B5059" t="str">
        <f>HYPERLINK("http://www.corstruth.com.au/Tas/PNG2/82397_18GPD001_Great_Pyramid_cs.png","82397_18GPD001_Great_Pyramid_0.25m Bins")</f>
        <v>82397_18GPD001_Great_Pyramid_0.25m Bins</v>
      </c>
      <c r="C5059" t="str">
        <f>HYPERLINK("http://www.corstruth.com.au/Tas/CSV/82397_18GPD001_Great_Pyramid.csv","82397_18GPD001_Great_Pyramid_CSV File 1m Bins")</f>
        <v>82397_18GPD001_Great_Pyramid_CSV File 1m Bins</v>
      </c>
      <c r="D5059">
        <v>82397</v>
      </c>
      <c r="E5059" t="s">
        <v>3422</v>
      </c>
      <c r="F5059" t="str">
        <f>HYPERLINK("http://www.mrt.tas.gov.au/webdoc2/app/default/drilling_detail?id=82397","Geol Survey Link")</f>
        <v>Geol Survey Link</v>
      </c>
      <c r="G5059" t="s">
        <v>3427</v>
      </c>
      <c r="H5059" t="s">
        <v>3435</v>
      </c>
      <c r="I5059">
        <v>-41.424500000000002</v>
      </c>
      <c r="J5059">
        <v>148.19200000000001</v>
      </c>
      <c r="K5059" t="str">
        <f>HYPERLINK("http://www.mrt.tas.gov.au/NVCLDataServices/mosaic.html?datasetid=e8edeb1c-8f86-443c-9ced-496040e87bb","82397_18GPD001_Great_Pyramid_Core Image")</f>
        <v>82397_18GPD001_Great_Pyramid_Core Image</v>
      </c>
    </row>
    <row r="5060" spans="1:11" x14ac:dyDescent="0.25">
      <c r="A5060" t="str">
        <f>HYPERLINK("http://www.corstruth.com.au/Tas/51458_LOY16-002_Loyatea_cs.png","51458_LOY16-002_Loyatea_A4")</f>
        <v>51458_LOY16-002_Loyatea_A4</v>
      </c>
      <c r="B5060" t="str">
        <f>HYPERLINK("http://www.corstruth.com.au/Tas/PNG2/51458_LOY16-002_Loyatea_cs.png","51458_LOY16-002_Loyatea_0.25m Bins")</f>
        <v>51458_LOY16-002_Loyatea_0.25m Bins</v>
      </c>
      <c r="C5060" t="str">
        <f>HYPERLINK("http://www.corstruth.com.au/Tas/CSV/51458_LOY16-002_Loyatea.csv","51458_LOY16-002_Loyatea_CSV File 1m Bins")</f>
        <v>51458_LOY16-002_Loyatea_CSV File 1m Bins</v>
      </c>
      <c r="D5060">
        <v>51458</v>
      </c>
      <c r="E5060" t="s">
        <v>3422</v>
      </c>
      <c r="F5060" t="str">
        <f>HYPERLINK("http://www.mrt.tas.gov.au/webdoc2/app/default/drilling_detail?id=51458","Geol Survey Link")</f>
        <v>Geol Survey Link</v>
      </c>
      <c r="G5060" t="s">
        <v>3427</v>
      </c>
      <c r="H5060" t="s">
        <v>3436</v>
      </c>
      <c r="I5060">
        <v>-41.308199999999999</v>
      </c>
      <c r="J5060">
        <v>145.935</v>
      </c>
      <c r="K5060" t="str">
        <f>HYPERLINK("http://www.mrt.tas.gov.au/NVCLDataServices/mosaic.html?datasetid=4bfbcc2e-8925-4d1d-b119-776f5c7d1cb","51458_LOY16-002_Loyatea_Core Image")</f>
        <v>51458_LOY16-002_Loyatea_Core Image</v>
      </c>
    </row>
    <row r="5061" spans="1:11" x14ac:dyDescent="0.25">
      <c r="A5061" t="str">
        <f>HYPERLINK("http://www.corstruth.com.au/Tas/93468_LOY20-005_Loyatea_cs.png","93468_LOY20-005_Loyatea_A4")</f>
        <v>93468_LOY20-005_Loyatea_A4</v>
      </c>
      <c r="B5061" t="str">
        <f>HYPERLINK("http://www.corstruth.com.au/Tas/PNG2/93468_LOY20-005_Loyatea_cs.png","93468_LOY20-005_Loyatea_0.25m Bins")</f>
        <v>93468_LOY20-005_Loyatea_0.25m Bins</v>
      </c>
      <c r="C5061" t="str">
        <f>HYPERLINK("http://www.corstruth.com.au/Tas/CSV/93468_LOY20-005_Loyatea.csv","93468_LOY20-005_Loyatea_CSV File 1m Bins")</f>
        <v>93468_LOY20-005_Loyatea_CSV File 1m Bins</v>
      </c>
      <c r="D5061">
        <v>93468</v>
      </c>
      <c r="E5061" t="s">
        <v>3422</v>
      </c>
      <c r="F5061" t="str">
        <f>HYPERLINK("http://www.mrt.tas.gov.au/webdoc2/app/default/drilling_detail?id=93468","Geol Survey Link")</f>
        <v>Geol Survey Link</v>
      </c>
      <c r="G5061" t="s">
        <v>3427</v>
      </c>
      <c r="H5061" t="s">
        <v>3436</v>
      </c>
      <c r="I5061">
        <v>-41.3078</v>
      </c>
      <c r="J5061">
        <v>145.93799999999999</v>
      </c>
    </row>
    <row r="5062" spans="1:11" x14ac:dyDescent="0.25">
      <c r="A5062" t="str">
        <f>HYPERLINK("http://www.corstruth.com.au/Tas/93469_LOY20-006_Loyatea_cs.png","93469_LOY20-006_Loyatea_A4")</f>
        <v>93469_LOY20-006_Loyatea_A4</v>
      </c>
      <c r="B5062" t="str">
        <f>HYPERLINK("http://www.corstruth.com.au/Tas/PNG2/93469_LOY20-006_Loyatea_cs.png","93469_LOY20-006_Loyatea_0.25m Bins")</f>
        <v>93469_LOY20-006_Loyatea_0.25m Bins</v>
      </c>
      <c r="C5062" t="str">
        <f>HYPERLINK("http://www.corstruth.com.au/Tas/CSV/93469_LOY20-006_Loyatea.csv","93469_LOY20-006_Loyatea_CSV File 1m Bins")</f>
        <v>93469_LOY20-006_Loyatea_CSV File 1m Bins</v>
      </c>
      <c r="D5062">
        <v>93469</v>
      </c>
      <c r="E5062" t="s">
        <v>3422</v>
      </c>
      <c r="F5062" t="str">
        <f>HYPERLINK("http://www.mrt.tas.gov.au/webdoc2/app/default/drilling_detail?id=93469","Geol Survey Link")</f>
        <v>Geol Survey Link</v>
      </c>
      <c r="G5062" t="s">
        <v>3427</v>
      </c>
      <c r="H5062" t="s">
        <v>3436</v>
      </c>
      <c r="I5062">
        <v>-41.3078</v>
      </c>
      <c r="J5062">
        <v>145.93799999999999</v>
      </c>
    </row>
    <row r="5063" spans="1:11" x14ac:dyDescent="0.25">
      <c r="A5063" t="str">
        <f>HYPERLINK("http://www.corstruth.com.au/Tas/93608_RMD1_Round_Mountain_cs.png","93608_RMD1_Round_Mountain_A4")</f>
        <v>93608_RMD1_Round_Mountain_A4</v>
      </c>
      <c r="B5063" t="str">
        <f>HYPERLINK("http://www.corstruth.com.au/Tas/PNG2/93608_RMD1_Round_Mountain_cs.png","93608_RMD1_Round_Mountain_0.25m Bins")</f>
        <v>93608_RMD1_Round_Mountain_0.25m Bins</v>
      </c>
      <c r="C5063" t="str">
        <f>HYPERLINK("http://www.corstruth.com.au/Tas/CSV/93608_RMD1_Round_Mountain.csv","93608_RMD1_Round_Mountain_CSV File 1m Bins")</f>
        <v>93608_RMD1_Round_Mountain_CSV File 1m Bins</v>
      </c>
      <c r="D5063">
        <v>93608</v>
      </c>
      <c r="E5063" t="s">
        <v>3422</v>
      </c>
      <c r="F5063" t="str">
        <f>HYPERLINK("http://www.mrt.tas.gov.au/webdoc2/app/default/drilling_detail?id=93608","Geol Survey Link")</f>
        <v>Geol Survey Link</v>
      </c>
      <c r="G5063" t="s">
        <v>3427</v>
      </c>
      <c r="H5063" t="s">
        <v>3437</v>
      </c>
      <c r="I5063">
        <v>-41.4863</v>
      </c>
      <c r="J5063">
        <v>146.154</v>
      </c>
    </row>
    <row r="5064" spans="1:11" x14ac:dyDescent="0.25">
      <c r="A5064" t="str">
        <f>HYPERLINK("http://www.corstruth.com.au/Tas/93610_SAYD2_Sayers_cs.png","93610_SAYD2_Sayers_A4")</f>
        <v>93610_SAYD2_Sayers_A4</v>
      </c>
      <c r="B5064" t="str">
        <f>HYPERLINK("http://www.corstruth.com.au/Tas/PNG2/93610_SAYD2_Sayers_cs.png","93610_SAYD2_Sayers_0.25m Bins")</f>
        <v>93610_SAYD2_Sayers_0.25m Bins</v>
      </c>
      <c r="C5064" t="str">
        <f>HYPERLINK("http://www.corstruth.com.au/Tas/CSV/93610_SAYD2_Sayers.csv","93610_SAYD2_Sayers_CSV File 1m Bins")</f>
        <v>93610_SAYD2_Sayers_CSV File 1m Bins</v>
      </c>
      <c r="D5064">
        <v>93610</v>
      </c>
      <c r="E5064" t="s">
        <v>3422</v>
      </c>
      <c r="F5064" t="str">
        <f>HYPERLINK("http://www.mrt.tas.gov.au/webdoc2/app/default/drilling_detail?id=93610","Geol Survey Link")</f>
        <v>Geol Survey Link</v>
      </c>
      <c r="G5064" t="s">
        <v>3427</v>
      </c>
      <c r="H5064" t="s">
        <v>3438</v>
      </c>
      <c r="I5064">
        <v>-41.487499999999997</v>
      </c>
      <c r="J5064">
        <v>146.12100000000001</v>
      </c>
    </row>
    <row r="5065" spans="1:11" x14ac:dyDescent="0.25">
      <c r="A5065" t="str">
        <f>HYPERLINK("http://www.corstruth.com.au/Tas/9620_SPG1A_Scamander_cs.png","9620_SPG1A_Scamander_A4")</f>
        <v>9620_SPG1A_Scamander_A4</v>
      </c>
      <c r="B5065" t="str">
        <f>HYPERLINK("http://www.corstruth.com.au/Tas/PNG2/9620_SPG1A_Scamander_cs.png","9620_SPG1A_Scamander_0.25m Bins")</f>
        <v>9620_SPG1A_Scamander_0.25m Bins</v>
      </c>
      <c r="C5065" t="str">
        <f>HYPERLINK("http://www.corstruth.com.au/Tas/CSV/9620_SPG1A_Scamander.csv","9620_SPG1A_Scamander_CSV File 1m Bins")</f>
        <v>9620_SPG1A_Scamander_CSV File 1m Bins</v>
      </c>
      <c r="D5065">
        <v>9620</v>
      </c>
      <c r="E5065" t="s">
        <v>3422</v>
      </c>
      <c r="F5065" t="str">
        <f>HYPERLINK("http://www.mrt.tas.gov.au/webdoc2/app/default/drilling_detail?id=9620","Geol Survey Link")</f>
        <v>Geol Survey Link</v>
      </c>
      <c r="G5065" t="s">
        <v>3427</v>
      </c>
      <c r="H5065" t="s">
        <v>3439</v>
      </c>
      <c r="I5065">
        <v>-41.425199999999997</v>
      </c>
      <c r="J5065">
        <v>148.19200000000001</v>
      </c>
    </row>
    <row r="5066" spans="1:11" x14ac:dyDescent="0.25">
      <c r="A5066" t="str">
        <f>HYPERLINK("http://www.corstruth.com.au/Tas/19358_DD97ZA3_Avebury_cs.png","19358_DD97ZA3_Avebury_A4")</f>
        <v>19358_DD97ZA3_Avebury_A4</v>
      </c>
      <c r="B5066" t="str">
        <f>HYPERLINK("http://www.corstruth.com.au/Tas/PNG2/19358_DD97ZA3_Avebury_cs.png","19358_DD97ZA3_Avebury_0.25m Bins")</f>
        <v>19358_DD97ZA3_Avebury_0.25m Bins</v>
      </c>
      <c r="C5066" t="str">
        <f>HYPERLINK("http://www.corstruth.com.au/Tas/CSV/19358_DD97ZA3_Avebury.csv","19358_DD97ZA3_Avebury_CSV File 1m Bins")</f>
        <v>19358_DD97ZA3_Avebury_CSV File 1m Bins</v>
      </c>
      <c r="D5066">
        <v>19358</v>
      </c>
      <c r="E5066" t="s">
        <v>3422</v>
      </c>
      <c r="F5066" t="str">
        <f>HYPERLINK("http://www.mrt.tas.gov.au/webdoc2/app/default/drilling_detail?id=19358","Geol Survey Link")</f>
        <v>Geol Survey Link</v>
      </c>
      <c r="G5066" t="s">
        <v>3440</v>
      </c>
      <c r="H5066" t="s">
        <v>3441</v>
      </c>
      <c r="I5066">
        <v>-41.922899999999998</v>
      </c>
      <c r="J5066">
        <v>145.262</v>
      </c>
      <c r="K5066" t="str">
        <f>HYPERLINK("http://www.mrt.tas.gov.au/NVCLDataServices/mosaic.html?datasetid=5c791974-ee11-47d9-b403-ebeb21d5e81","19358_DD97ZA3_Avebury_Core Image")</f>
        <v>19358_DD97ZA3_Avebury_Core Image</v>
      </c>
    </row>
    <row r="5067" spans="1:11" x14ac:dyDescent="0.25">
      <c r="A5067" t="str">
        <f>HYPERLINK("http://www.corstruth.com.au/Tas/33272_U066_cs.png","33272_U066_A4")</f>
        <v>33272_U066_A4</v>
      </c>
      <c r="B5067" t="str">
        <f>HYPERLINK("http://www.corstruth.com.au/Tas/PNG2/33272_U066_cs.png","33272_U066_0.25m Bins")</f>
        <v>33272_U066_0.25m Bins</v>
      </c>
      <c r="C5067" t="str">
        <f>HYPERLINK("http://www.corstruth.com.au/Tas/CSV/33272_U066.csv","33272_U066_CSV File 1m Bins")</f>
        <v>33272_U066_CSV File 1m Bins</v>
      </c>
      <c r="D5067">
        <v>33272</v>
      </c>
      <c r="E5067" t="s">
        <v>3422</v>
      </c>
      <c r="F5067" t="str">
        <f>HYPERLINK("http://www.mrt.tas.gov.au/webdoc2/app/default/drilling_detail?id=33272","Geol Survey Link")</f>
        <v>Geol Survey Link</v>
      </c>
      <c r="G5067" t="s">
        <v>3440</v>
      </c>
      <c r="H5067" t="s">
        <v>3441</v>
      </c>
      <c r="I5067">
        <v>-41.9206</v>
      </c>
      <c r="J5067">
        <v>145.25</v>
      </c>
      <c r="K5067" t="str">
        <f>HYPERLINK("http://www.mrt.tas.gov.au/NVCLDataServices/mosaic.html?datasetid=0807cc5d-920e-465e-afc6-764a73e8715","33272_U066_Core Image")</f>
        <v>33272_U066_Core Image</v>
      </c>
    </row>
    <row r="5068" spans="1:11" x14ac:dyDescent="0.25">
      <c r="A5068" t="str">
        <f>HYPERLINK("http://www.corstruth.com.au/Tas/35819_CCD007_Mt_Lyell_-_D_Green_cs.png","35819 CCD007 Mt Lyell - D Green_A4")</f>
        <v>35819 CCD007 Mt Lyell - D Green_A4</v>
      </c>
      <c r="B5068" t="str">
        <f>HYPERLINK("http://www.corstruth.com.au/Tas/PNG2/35819_CCD007_Mt_Lyell_-_D_Green_cs.png","35819 CCD007 Mt Lyell - D Green_0.25m Bins")</f>
        <v>35819 CCD007 Mt Lyell - D Green_0.25m Bins</v>
      </c>
      <c r="C5068" t="str">
        <f>HYPERLINK("http://www.corstruth.com.au/Tas/CSV/35819_CCD007_Mt_Lyell_-_D_Green.csv","35819 CCD007 Mt Lyell - D Green_CSV File 1m Bins")</f>
        <v>35819 CCD007 Mt Lyell - D Green_CSV File 1m Bins</v>
      </c>
      <c r="D5068">
        <v>33272</v>
      </c>
      <c r="E5068" t="s">
        <v>3422</v>
      </c>
      <c r="F5068" t="str">
        <f>HYPERLINK("http://www.mrt.tas.gov.au/webdoc2/app/default/drilling_detail?id=33272","Geol Survey Link")</f>
        <v>Geol Survey Link</v>
      </c>
      <c r="G5068" t="s">
        <v>3440</v>
      </c>
      <c r="H5068" t="s">
        <v>3441</v>
      </c>
      <c r="I5068">
        <v>-41.9206</v>
      </c>
      <c r="J5068">
        <v>145.25</v>
      </c>
      <c r="K5068" t="str">
        <f>HYPERLINK("http://www.mrt.tas.gov.au/NVCLDataServices/mosaic.html?datasetid=0807cc5d-920e-465e-afc6-764a73e8715","35819 CCD007 Mt Lyell - D Green_Core Image")</f>
        <v>35819 CCD007 Mt Lyell - D Green_Core Image</v>
      </c>
    </row>
    <row r="5069" spans="1:11" x14ac:dyDescent="0.25">
      <c r="A5069" t="str">
        <f>HYPERLINK("http://www.corstruth.com.au/Tas/38233_BW001_Big_Wilson_cs.png","38233_BW001_Big_Wilson_A4")</f>
        <v>38233_BW001_Big_Wilson_A4</v>
      </c>
      <c r="B5069" t="str">
        <f>HYPERLINK("http://www.corstruth.com.au/Tas/PNG2/38233_BW001_Big_Wilson_cs.png","38233_BW001_Big_Wilson_0.25m Bins")</f>
        <v>38233_BW001_Big_Wilson_0.25m Bins</v>
      </c>
      <c r="C5069" t="str">
        <f>HYPERLINK("http://www.corstruth.com.au/Tas/CSV/38233_BW001_Big_Wilson.csv","38233_BW001_Big_Wilson_CSV File 1m Bins")</f>
        <v>38233_BW001_Big_Wilson_CSV File 1m Bins</v>
      </c>
      <c r="D5069">
        <v>38233</v>
      </c>
      <c r="E5069" t="s">
        <v>3422</v>
      </c>
      <c r="F5069" t="str">
        <f>HYPERLINK("http://www.mrt.tas.gov.au/webdoc2/app/default/drilling_detail?id=38233","Geol Survey Link")</f>
        <v>Geol Survey Link</v>
      </c>
      <c r="G5069" t="s">
        <v>3440</v>
      </c>
      <c r="H5069" t="s">
        <v>3442</v>
      </c>
      <c r="I5069">
        <v>-41.653300000000002</v>
      </c>
      <c r="J5069">
        <v>145.37299999999999</v>
      </c>
      <c r="K5069" t="str">
        <f>HYPERLINK("http://www.mrt.tas.gov.au/NVCLDataServices/mosaic.html?datasetid=16f80bc8-25cb-4d98-b60d-268c913d4f3","38233_BW001_Big_Wilson_Core Image")</f>
        <v>38233_BW001_Big_Wilson_Core Image</v>
      </c>
    </row>
    <row r="5070" spans="1:11" x14ac:dyDescent="0.25">
      <c r="A5070" t="str">
        <f>HYPERLINK("http://www.corstruth.com.au/Tas/38237_BW004_Big_Wilson_cs.png","38237_BW004_Big_Wilson_A4")</f>
        <v>38237_BW004_Big_Wilson_A4</v>
      </c>
      <c r="B5070" t="str">
        <f>HYPERLINK("http://www.corstruth.com.au/Tas/PNG2/38237_BW004_Big_Wilson_cs.png","38237_BW004_Big_Wilson_0.25m Bins")</f>
        <v>38237_BW004_Big_Wilson_0.25m Bins</v>
      </c>
      <c r="C5070" t="str">
        <f>HYPERLINK("http://www.corstruth.com.au/Tas/CSV/38237_BW004_Big_Wilson.csv","38237_BW004_Big_Wilson_CSV File 1m Bins")</f>
        <v>38237_BW004_Big_Wilson_CSV File 1m Bins</v>
      </c>
      <c r="D5070">
        <v>38237</v>
      </c>
      <c r="E5070" t="s">
        <v>3422</v>
      </c>
      <c r="F5070" t="str">
        <f>HYPERLINK("http://www.mrt.tas.gov.au/webdoc2/app/default/drilling_detail?id=38237","Geol Survey Link")</f>
        <v>Geol Survey Link</v>
      </c>
      <c r="G5070" t="s">
        <v>3440</v>
      </c>
      <c r="H5070" t="s">
        <v>3442</v>
      </c>
      <c r="I5070">
        <v>-41.653300000000002</v>
      </c>
      <c r="J5070">
        <v>145.37299999999999</v>
      </c>
      <c r="K5070" t="str">
        <f>HYPERLINK("http://www.mrt.tas.gov.au/NVCLDataServices/mosaic.html?datasetid=fe912328-685d-4a07-bafd-c9ed03783e4","38237_BW004_Big_Wilson_Core Image")</f>
        <v>38237_BW004_Big_Wilson_Core Image</v>
      </c>
    </row>
    <row r="5071" spans="1:11" x14ac:dyDescent="0.25">
      <c r="A5071" t="str">
        <f>HYPERLINK("http://www.corstruth.com.au/Tas/38238_BW005_Big_Wilson_cs.png","38238_BW005_Big_Wilson_A4")</f>
        <v>38238_BW005_Big_Wilson_A4</v>
      </c>
      <c r="B5071" t="str">
        <f>HYPERLINK("http://www.corstruth.com.au/Tas/PNG2/38238_BW005_Big_Wilson_cs.png","38238_BW005_Big_Wilson_0.25m Bins")</f>
        <v>38238_BW005_Big_Wilson_0.25m Bins</v>
      </c>
      <c r="C5071" t="str">
        <f>HYPERLINK("http://www.corstruth.com.au/Tas/CSV/38238_BW005_Big_Wilson.csv","38238_BW005_Big_Wilson_CSV File 1m Bins")</f>
        <v>38238_BW005_Big_Wilson_CSV File 1m Bins</v>
      </c>
      <c r="D5071">
        <v>38238</v>
      </c>
      <c r="E5071" t="s">
        <v>3422</v>
      </c>
      <c r="F5071" t="str">
        <f>HYPERLINK("http://www.mrt.tas.gov.au/webdoc2/app/default/drilling_detail?id=38238","Geol Survey Link")</f>
        <v>Geol Survey Link</v>
      </c>
      <c r="G5071" t="s">
        <v>3440</v>
      </c>
      <c r="H5071" t="s">
        <v>3442</v>
      </c>
      <c r="I5071">
        <v>-41.653199999999998</v>
      </c>
      <c r="J5071">
        <v>145.37299999999999</v>
      </c>
      <c r="K5071" t="str">
        <f>HYPERLINK("http://www.mrt.tas.gov.au/NVCLDataServices/mosaic.html?datasetid=033180ce-259f-47b8-8b5c-24d82fa63c2","38238_BW005_Big_Wilson_Core Image")</f>
        <v>38238_BW005_Big_Wilson_Core Image</v>
      </c>
    </row>
    <row r="5072" spans="1:11" x14ac:dyDescent="0.25">
      <c r="A5072" t="str">
        <f>HYPERLINK("http://www.corstruth.com.au/Tas/38240_BW007_Big_Wilson_cs.png","38240_BW007_Big_Wilson_A4")</f>
        <v>38240_BW007_Big_Wilson_A4</v>
      </c>
      <c r="B5072" t="str">
        <f>HYPERLINK("http://www.corstruth.com.au/Tas/PNG2/38240_BW007_Big_Wilson_cs.png","38240_BW007_Big_Wilson_0.25m Bins")</f>
        <v>38240_BW007_Big_Wilson_0.25m Bins</v>
      </c>
      <c r="C5072" t="str">
        <f>HYPERLINK("http://www.corstruth.com.au/Tas/CSV/38240_BW007_Big_Wilson.csv","38240_BW007_Big_Wilson_CSV File 1m Bins")</f>
        <v>38240_BW007_Big_Wilson_CSV File 1m Bins</v>
      </c>
      <c r="D5072">
        <v>38240</v>
      </c>
      <c r="E5072" t="s">
        <v>3422</v>
      </c>
      <c r="F5072" t="str">
        <f>HYPERLINK("http://www.mrt.tas.gov.au/webdoc2/app/default/drilling_detail?id=38240","Geol Survey Link")</f>
        <v>Geol Survey Link</v>
      </c>
      <c r="G5072" t="s">
        <v>3440</v>
      </c>
      <c r="H5072" t="s">
        <v>3442</v>
      </c>
      <c r="I5072">
        <v>-41.653300000000002</v>
      </c>
      <c r="J5072">
        <v>145.37299999999999</v>
      </c>
      <c r="K5072" t="str">
        <f>HYPERLINK("http://www.mrt.tas.gov.au/NVCLDataServices/mosaic.html?datasetid=b7e07d3d-4d5a-413d-954c-0c5f4591f75","38240_BW007_Big_Wilson_Core Image")</f>
        <v>38240_BW007_Big_Wilson_Core Image</v>
      </c>
    </row>
    <row r="5073" spans="1:11" x14ac:dyDescent="0.25">
      <c r="A5073" t="str">
        <f>HYPERLINK("http://www.corstruth.com.au/Tas/38241_BW008_Big_Wilson_cs.png","38241_BW008_Big_Wilson_A4")</f>
        <v>38241_BW008_Big_Wilson_A4</v>
      </c>
      <c r="B5073" t="str">
        <f>HYPERLINK("http://www.corstruth.com.au/Tas/PNG2/38241_BW008_Big_Wilson_cs.png","38241_BW008_Big_Wilson_0.25m Bins")</f>
        <v>38241_BW008_Big_Wilson_0.25m Bins</v>
      </c>
      <c r="C5073" t="str">
        <f>HYPERLINK("http://www.corstruth.com.au/Tas/CSV/38241_BW008_Big_Wilson.csv","38241_BW008_Big_Wilson_CSV File 1m Bins")</f>
        <v>38241_BW008_Big_Wilson_CSV File 1m Bins</v>
      </c>
      <c r="D5073">
        <v>38241</v>
      </c>
      <c r="E5073" t="s">
        <v>3422</v>
      </c>
      <c r="F5073" t="str">
        <f>HYPERLINK("http://www.mrt.tas.gov.au/webdoc2/app/default/drilling_detail?id=38241","Geol Survey Link")</f>
        <v>Geol Survey Link</v>
      </c>
      <c r="G5073" t="s">
        <v>3440</v>
      </c>
      <c r="H5073" t="s">
        <v>3442</v>
      </c>
      <c r="I5073">
        <v>-41.652299999999997</v>
      </c>
      <c r="J5073">
        <v>145.37200000000001</v>
      </c>
      <c r="K5073" t="str">
        <f>HYPERLINK("http://www.mrt.tas.gov.au/NVCLDataServices/mosaic.html?datasetid=41725d95-129d-4c0c-a638-9fd350d172e","38241_BW008_Big_Wilson_Core Image")</f>
        <v>38241_BW008_Big_Wilson_Core Image</v>
      </c>
    </row>
    <row r="5074" spans="1:11" x14ac:dyDescent="0.25">
      <c r="A5074" t="str">
        <f>HYPERLINK("http://www.corstruth.com.au/Tas/38244_BW010_Big_Wilson_cs.png","38244_BW010_Big_Wilson_A4")</f>
        <v>38244_BW010_Big_Wilson_A4</v>
      </c>
      <c r="B5074" t="str">
        <f>HYPERLINK("http://www.corstruth.com.au/Tas/PNG2/38244_BW010_Big_Wilson_cs.png","38244_BW010_Big_Wilson_0.25m Bins")</f>
        <v>38244_BW010_Big_Wilson_0.25m Bins</v>
      </c>
      <c r="C5074" t="str">
        <f>HYPERLINK("http://www.corstruth.com.au/Tas/CSV/38244_BW010_Big_Wilson.csv","38244_BW010_Big_Wilson_CSV File 1m Bins")</f>
        <v>38244_BW010_Big_Wilson_CSV File 1m Bins</v>
      </c>
      <c r="D5074">
        <v>38244</v>
      </c>
      <c r="E5074" t="s">
        <v>3422</v>
      </c>
      <c r="F5074" t="str">
        <f>HYPERLINK("http://www.mrt.tas.gov.au/webdoc2/app/default/drilling_detail?id=38244","Geol Survey Link")</f>
        <v>Geol Survey Link</v>
      </c>
      <c r="G5074" t="s">
        <v>3440</v>
      </c>
      <c r="H5074" t="s">
        <v>3442</v>
      </c>
      <c r="I5074">
        <v>-41.652299999999997</v>
      </c>
      <c r="J5074">
        <v>145.37200000000001</v>
      </c>
      <c r="K5074" t="str">
        <f>HYPERLINK("http://www.mrt.tas.gov.au/NVCLDataServices/mosaic.html?datasetid=f488a21c-5b0d-412e-a9c8-37149f58177","38244_BW010_Big_Wilson_Core Image")</f>
        <v>38244_BW010_Big_Wilson_Core Image</v>
      </c>
    </row>
    <row r="5075" spans="1:11" x14ac:dyDescent="0.25">
      <c r="A5075" t="str">
        <f>HYPERLINK("http://www.corstruth.com.au/Tas/11612_BT100_cs.png","11612_BT100_A4")</f>
        <v>11612_BT100_A4</v>
      </c>
      <c r="B5075" t="str">
        <f>HYPERLINK("http://www.corstruth.com.au/Tas/PNG2/11612_BT100_cs.png","11612_BT100_0.25m Bins")</f>
        <v>11612_BT100_0.25m Bins</v>
      </c>
      <c r="C5075" t="str">
        <f>HYPERLINK("http://www.corstruth.com.au/Tas/CSV/11612_BT100.csv","11612_BT100_CSV File 1m Bins")</f>
        <v>11612_BT100_CSV File 1m Bins</v>
      </c>
      <c r="D5075">
        <v>11612</v>
      </c>
      <c r="E5075" t="s">
        <v>3422</v>
      </c>
      <c r="F5075" t="str">
        <f>HYPERLINK("http://www.mrt.tas.gov.au/webdoc2/app/default/drilling_detail?id=11612","Geol Survey Link")</f>
        <v>Geol Survey Link</v>
      </c>
      <c r="G5075" t="s">
        <v>3440</v>
      </c>
      <c r="H5075" t="s">
        <v>3430</v>
      </c>
      <c r="I5075">
        <v>-41.226100000000002</v>
      </c>
      <c r="J5075">
        <v>148.017</v>
      </c>
      <c r="K5075" t="str">
        <f>HYPERLINK("http://www.mrt.tas.gov.au/NVCLDataServices/mosaic.html?datasetid=aa2f533d-ba02-4213-b899-0f74f2ec3bc","11612_BT100_Core Image")</f>
        <v>11612_BT100_Core Image</v>
      </c>
    </row>
    <row r="5076" spans="1:11" x14ac:dyDescent="0.25">
      <c r="A5076" t="str">
        <f>HYPERLINK("http://www.corstruth.com.au/Tas/50348_3217073_39_cs.png","50348_3217073_39_A4")</f>
        <v>50348_3217073_39_A4</v>
      </c>
      <c r="B5076" t="str">
        <f>HYPERLINK("http://www.corstruth.com.au/Tas/PNG2/50348_3217073_39_cs.png","50348_3217073_39_0.25m Bins")</f>
        <v>50348_3217073_39_0.25m Bins</v>
      </c>
      <c r="C5076" t="str">
        <f>HYPERLINK("http://www.corstruth.com.au/Tas/CSV/50348_3217073_39.csv","50348_3217073_39_CSV File 1m Bins")</f>
        <v>50348_3217073_39_CSV File 1m Bins</v>
      </c>
      <c r="D5076">
        <v>50348</v>
      </c>
      <c r="E5076" t="s">
        <v>3422</v>
      </c>
      <c r="F5076" t="str">
        <f>HYPERLINK("http://www.mrt.tas.gov.au/webdoc2/app/default/drilling_detail?id=50348","Geol Survey Link")</f>
        <v>Geol Survey Link</v>
      </c>
      <c r="G5076" t="s">
        <v>3440</v>
      </c>
      <c r="H5076" t="s">
        <v>3443</v>
      </c>
      <c r="I5076">
        <v>-41.779299999999999</v>
      </c>
      <c r="J5076">
        <v>145.44300000000001</v>
      </c>
      <c r="K5076" t="str">
        <f>HYPERLINK("http://www.mrt.tas.gov.au/NVCLDataServices/mosaic.html?datasetid=9b5b91a4-16f9-4b37-89cc-6600669a43a","50348_3217073_39_Core Image")</f>
        <v>50348_3217073_39_Core Image</v>
      </c>
    </row>
    <row r="5077" spans="1:11" x14ac:dyDescent="0.25">
      <c r="A5077" t="str">
        <f>HYPERLINK("http://www.corstruth.com.au/Tas/2012_Ruby_Flat_1_Ruby_Flats_cs.png","2012_Ruby_Flat_1_Ruby_Flats_A4")</f>
        <v>2012_Ruby_Flat_1_Ruby_Flats_A4</v>
      </c>
      <c r="D5077">
        <v>2012</v>
      </c>
      <c r="E5077" t="s">
        <v>3422</v>
      </c>
      <c r="F5077" t="str">
        <f>HYPERLINK("http://www.mrt.tas.gov.au/webdoc2/app/default/drilling_detail?id=2012","Geol Survey Link")</f>
        <v>Geol Survey Link</v>
      </c>
      <c r="G5077" t="s">
        <v>3440</v>
      </c>
      <c r="H5077" t="s">
        <v>3444</v>
      </c>
      <c r="I5077">
        <v>-41.202100000000002</v>
      </c>
      <c r="J5077">
        <v>147.75899999999999</v>
      </c>
    </row>
    <row r="5078" spans="1:11" x14ac:dyDescent="0.25">
      <c r="A5078" t="str">
        <f>HYPERLINK("http://www.corstruth.com.au/Tas/2013_Ruby_Flat_2_Ruby_Flats_cs.png","2013_Ruby_Flat_2_Ruby_Flats_A4")</f>
        <v>2013_Ruby_Flat_2_Ruby_Flats_A4</v>
      </c>
      <c r="D5078">
        <v>2013</v>
      </c>
      <c r="E5078" t="s">
        <v>3422</v>
      </c>
      <c r="F5078" t="str">
        <f>HYPERLINK("http://www.mrt.tas.gov.au/webdoc2/app/default/drilling_detail?id=2013","Geol Survey Link")</f>
        <v>Geol Survey Link</v>
      </c>
      <c r="G5078" t="s">
        <v>3440</v>
      </c>
      <c r="H5078" t="s">
        <v>3444</v>
      </c>
      <c r="I5078">
        <v>-41.202399999999997</v>
      </c>
      <c r="J5078">
        <v>147.761</v>
      </c>
    </row>
    <row r="5079" spans="1:11" x14ac:dyDescent="0.25">
      <c r="A5079" t="str">
        <f>HYPERLINK("http://www.corstruth.com.au/Tas/2014_Ruby_Flat_3_Ruby_Flats_cs.png","2014_Ruby_Flat_3_Ruby_Flats_A4")</f>
        <v>2014_Ruby_Flat_3_Ruby_Flats_A4</v>
      </c>
      <c r="D5079">
        <v>2014</v>
      </c>
      <c r="E5079" t="s">
        <v>3422</v>
      </c>
      <c r="F5079" t="str">
        <f>HYPERLINK("http://www.mrt.tas.gov.au/webdoc2/app/default/drilling_detail?id=2014","Geol Survey Link")</f>
        <v>Geol Survey Link</v>
      </c>
      <c r="G5079" t="s">
        <v>3440</v>
      </c>
      <c r="H5079" t="s">
        <v>3444</v>
      </c>
      <c r="I5079">
        <v>-41.202399999999997</v>
      </c>
      <c r="J5079">
        <v>147.762</v>
      </c>
    </row>
    <row r="5080" spans="1:11" x14ac:dyDescent="0.25">
      <c r="A5080" t="str">
        <f>HYPERLINK("http://www.corstruth.com.au/Tas/2589_C1_North_Cambria_cs.png","2589_C1_North_Cambria_A4")</f>
        <v>2589_C1_North_Cambria_A4</v>
      </c>
      <c r="D5080">
        <v>2589</v>
      </c>
      <c r="E5080" t="s">
        <v>3422</v>
      </c>
      <c r="F5080" t="str">
        <f>HYPERLINK("http://www.mrt.tas.gov.au/webdoc2/app/default/drilling_detail?id=2589","Geol Survey Link")</f>
        <v>Geol Survey Link</v>
      </c>
      <c r="G5080" t="s">
        <v>3440</v>
      </c>
      <c r="H5080" t="s">
        <v>3445</v>
      </c>
      <c r="I5080">
        <v>-41.231400000000001</v>
      </c>
      <c r="J5080">
        <v>147.96700000000001</v>
      </c>
    </row>
    <row r="5081" spans="1:11" x14ac:dyDescent="0.25">
      <c r="A5081" t="str">
        <f>HYPERLINK("http://www.corstruth.com.au/Tas/18533_CLE-C659_cs.png","18533_CLE-C659_A4")</f>
        <v>18533_CLE-C659_A4</v>
      </c>
      <c r="B5081" t="str">
        <f>HYPERLINK("http://www.corstruth.com.au/Tas/PNG2/18533_CLE-C659_cs.png","18533_CLE-C659_0.25m Bins")</f>
        <v>18533_CLE-C659_0.25m Bins</v>
      </c>
      <c r="C5081" t="str">
        <f>HYPERLINK("http://www.corstruth.com.au/Tas/CSV/18533_CLE-C659.csv","18533_CLE-C659_CSV File 1m Bins")</f>
        <v>18533_CLE-C659_CSV File 1m Bins</v>
      </c>
      <c r="D5081">
        <v>18533</v>
      </c>
      <c r="E5081" t="s">
        <v>3422</v>
      </c>
      <c r="F5081" t="str">
        <f>HYPERLINK("http://www.mrt.tas.gov.au/webdoc2/app/default/drilling_detail?id=18533","Geol Survey Link")</f>
        <v>Geol Survey Link</v>
      </c>
      <c r="G5081" t="s">
        <v>3440</v>
      </c>
      <c r="H5081" t="s">
        <v>3431</v>
      </c>
      <c r="I5081">
        <v>-41.479100000000003</v>
      </c>
      <c r="J5081">
        <v>145.39099999999999</v>
      </c>
      <c r="K5081" t="str">
        <f>HYPERLINK("http://www.mrt.tas.gov.au/NVCLDataServices/mosaic.html?datasetid=d56b93ed-d772-4b25-9755-24d9766da0b","18533_CLE-C659_Core Image")</f>
        <v>18533_CLE-C659_Core Image</v>
      </c>
    </row>
    <row r="5082" spans="1:11" x14ac:dyDescent="0.25">
      <c r="A5082" t="str">
        <f>HYPERLINK("http://www.corstruth.com.au/Tas/18561_CLE-C1393_cs.png","18561_CLE-C1393_A4")</f>
        <v>18561_CLE-C1393_A4</v>
      </c>
      <c r="B5082" t="str">
        <f>HYPERLINK("http://www.corstruth.com.au/Tas/PNG2/18561_CLE-C1393_cs.png","18561_CLE-C1393_0.25m Bins")</f>
        <v>18561_CLE-C1393_0.25m Bins</v>
      </c>
      <c r="C5082" t="str">
        <f>HYPERLINK("http://www.corstruth.com.au/Tas/CSV/18561_CLE-C1393.csv","18561_CLE-C1393_CSV File 1m Bins")</f>
        <v>18561_CLE-C1393_CSV File 1m Bins</v>
      </c>
      <c r="D5082">
        <v>18561</v>
      </c>
      <c r="E5082" t="s">
        <v>3422</v>
      </c>
      <c r="F5082" t="str">
        <f>HYPERLINK("http://www.mrt.tas.gov.au/webdoc2/app/default/drilling_detail?id=18561","Geol Survey Link")</f>
        <v>Geol Survey Link</v>
      </c>
      <c r="G5082" t="s">
        <v>3440</v>
      </c>
      <c r="H5082" t="s">
        <v>3431</v>
      </c>
      <c r="I5082">
        <v>-41.476799999999997</v>
      </c>
      <c r="J5082">
        <v>145.387</v>
      </c>
      <c r="K5082" t="str">
        <f>HYPERLINK("http://www.mrt.tas.gov.au/NVCLDataServices/mosaic.html?datasetid=95d4ef5c-ad07-4216-9b21-9d1f466800e","18561_CLE-C1393_Core Image")</f>
        <v>18561_CLE-C1393_Core Image</v>
      </c>
    </row>
    <row r="5083" spans="1:11" x14ac:dyDescent="0.25">
      <c r="A5083" t="str">
        <f>HYPERLINK("http://www.corstruth.com.au/Tas/18637_CLE-C2011_cs.png","18637_CLE-C2011_A4")</f>
        <v>18637_CLE-C2011_A4</v>
      </c>
      <c r="B5083" t="str">
        <f>HYPERLINK("http://www.corstruth.com.au/Tas/PNG2/18637_CLE-C2011_cs.png","18637_CLE-C2011_0.25m Bins")</f>
        <v>18637_CLE-C2011_0.25m Bins</v>
      </c>
      <c r="C5083" t="str">
        <f>HYPERLINK("http://www.corstruth.com.au/Tas/CSV/18637_CLE-C2011.csv","18637_CLE-C2011_CSV File 1m Bins")</f>
        <v>18637_CLE-C2011_CSV File 1m Bins</v>
      </c>
      <c r="D5083">
        <v>18637</v>
      </c>
      <c r="E5083" t="s">
        <v>3422</v>
      </c>
      <c r="F5083" t="str">
        <f>HYPERLINK("http://www.mrt.tas.gov.au/webdoc2/app/default/drilling_detail?id=18637","Geol Survey Link")</f>
        <v>Geol Survey Link</v>
      </c>
      <c r="G5083" t="s">
        <v>3440</v>
      </c>
      <c r="H5083" t="s">
        <v>3431</v>
      </c>
      <c r="I5083">
        <v>-41.478000000000002</v>
      </c>
      <c r="J5083">
        <v>145.38900000000001</v>
      </c>
      <c r="K5083" t="str">
        <f>HYPERLINK("http://www.mrt.tas.gov.au/NVCLDataServices/mosaic.html?datasetid=c15a8e31-b6c7-4545-b245-426fd69c794","18637_CLE-C2011_Core Image")</f>
        <v>18637_CLE-C2011_Core Image</v>
      </c>
    </row>
    <row r="5084" spans="1:11" x14ac:dyDescent="0.25">
      <c r="A5084" t="str">
        <f>HYPERLINK("http://www.corstruth.com.au/Tas/37894_CC0-5_Concert_Creek_cs.png","37894_CC0-5_Concert_Creek_A4")</f>
        <v>37894_CC0-5_Concert_Creek_A4</v>
      </c>
      <c r="B5084" t="str">
        <f>HYPERLINK("http://www.corstruth.com.au/Tas/PNG2/37894_CC0-5_Concert_Creek_cs.png","37894_CC0-5_Concert_Creek_0.25m Bins")</f>
        <v>37894_CC0-5_Concert_Creek_0.25m Bins</v>
      </c>
      <c r="C5084" t="str">
        <f>HYPERLINK("http://www.corstruth.com.au/Tas/CSV/37894_CC0-5_Concert_Creek.csv","37894_CC0-5_Concert_Creek_CSV File 1m Bins")</f>
        <v>37894_CC0-5_Concert_Creek_CSV File 1m Bins</v>
      </c>
      <c r="D5084">
        <v>37894</v>
      </c>
      <c r="E5084" t="s">
        <v>3422</v>
      </c>
      <c r="F5084" t="str">
        <f>HYPERLINK("http://www.mrt.tas.gov.au/webdoc2/app/default/drilling_detail?id=37894","Geol Survey Link")</f>
        <v>Geol Survey Link</v>
      </c>
      <c r="G5084" t="s">
        <v>3440</v>
      </c>
      <c r="H5084" t="s">
        <v>3446</v>
      </c>
      <c r="I5084">
        <v>-41.883099999999999</v>
      </c>
      <c r="J5084">
        <v>145.452</v>
      </c>
      <c r="K5084" t="str">
        <f>HYPERLINK("http://www.mrt.tas.gov.au/NVCLDataServices/mosaic.html?datasetid=ca8f5120-d0bc-4a4a-b7a3-4b36be226f4","37894_CC0-5_Concert_Creek_Core Image")</f>
        <v>37894_CC0-5_Concert_Creek_Core Image</v>
      </c>
    </row>
    <row r="5085" spans="1:11" x14ac:dyDescent="0.25">
      <c r="A5085" t="str">
        <f>HYPERLINK("http://www.corstruth.com.au/Tas/13597_ZB1007_Grieves_Siding_cs.png","13597_ZB1007_Grieves_Siding_A4")</f>
        <v>13597_ZB1007_Grieves_Siding_A4</v>
      </c>
      <c r="B5085" t="str">
        <f>HYPERLINK("http://www.corstruth.com.au/Tas/PNG2/13597_ZB1007_Grieves_Siding_cs.png","13597_ZB1007_Grieves_Siding_0.25m Bins")</f>
        <v>13597_ZB1007_Grieves_Siding_0.25m Bins</v>
      </c>
      <c r="C5085" t="str">
        <f>HYPERLINK("http://www.corstruth.com.au/Tas/CSV/13597_ZB1007_Grieves_Siding.csv","13597_ZB1007_Grieves_Siding_CSV File 1m Bins")</f>
        <v>13597_ZB1007_Grieves_Siding_CSV File 1m Bins</v>
      </c>
      <c r="D5085">
        <v>13597</v>
      </c>
      <c r="E5085" t="s">
        <v>3422</v>
      </c>
      <c r="F5085" t="str">
        <f>HYPERLINK("http://www.mrt.tas.gov.au/webdoc2/app/default/drilling_detail?id=13597","Geol Survey Link")</f>
        <v>Geol Survey Link</v>
      </c>
      <c r="G5085" t="s">
        <v>3440</v>
      </c>
      <c r="H5085" t="s">
        <v>3447</v>
      </c>
      <c r="I5085">
        <v>-41.990299999999998</v>
      </c>
      <c r="J5085">
        <v>145.357</v>
      </c>
    </row>
    <row r="5086" spans="1:11" x14ac:dyDescent="0.25">
      <c r="A5086" t="str">
        <f>HYPERLINK("http://www.corstruth.com.au/Tas/29706_ML217_Mt_Lindsay_cs.png","29706_ML217_Mt_Lindsay_A4")</f>
        <v>29706_ML217_Mt_Lindsay_A4</v>
      </c>
      <c r="B5086" t="str">
        <f>HYPERLINK("http://www.corstruth.com.au/Tas/PNG2/29706_ML217_Mt_Lindsay_cs.png","29706_ML217_Mt_Lindsay_0.25m Bins")</f>
        <v>29706_ML217_Mt_Lindsay_0.25m Bins</v>
      </c>
      <c r="C5086" t="str">
        <f>HYPERLINK("http://www.corstruth.com.au/Tas/CSV/29706_ML217_Mt_Lindsay.csv","29706_ML217_Mt_Lindsay_CSV File 1m Bins")</f>
        <v>29706_ML217_Mt_Lindsay_CSV File 1m Bins</v>
      </c>
      <c r="D5086">
        <v>29706</v>
      </c>
      <c r="E5086" t="s">
        <v>3422</v>
      </c>
      <c r="F5086" t="str">
        <f>HYPERLINK("http://www.mrt.tas.gov.au/webdoc2/app/default/drilling_detail?id=29706","Geol Survey Link")</f>
        <v>Geol Survey Link</v>
      </c>
      <c r="G5086" t="s">
        <v>3440</v>
      </c>
      <c r="H5086" t="s">
        <v>3448</v>
      </c>
      <c r="I5086">
        <v>-41.699199999999998</v>
      </c>
      <c r="J5086">
        <v>145.33099999999999</v>
      </c>
      <c r="K5086" t="str">
        <f>HYPERLINK("http://www.mrt.tas.gov.au/NVCLDataServices/mosaic.html?datasetid=87942ea1-22a4-42a7-9d46-70a948c02d3","29706_ML217_Mt_Lindsay_Core Image")</f>
        <v>29706_ML217_Mt_Lindsay_Core Image</v>
      </c>
    </row>
    <row r="5087" spans="1:11" x14ac:dyDescent="0.25">
      <c r="A5087" t="str">
        <f>HYPERLINK("http://www.corstruth.com.au/Tas/28658_ML168_Mt_Lindsay_Main_Skarn_cs.png","28658_ML168_Mt_Lindsay_Main Skarn_A4")</f>
        <v>28658_ML168_Mt_Lindsay_Main Skarn_A4</v>
      </c>
      <c r="B5087" t="str">
        <f>HYPERLINK("http://www.corstruth.com.au/Tas/PNG2/28658_ML168_Mt_Lindsay_Main_Skarn_cs.png","28658_ML168_Mt_Lindsay_Main Skarn_0.25m Bins")</f>
        <v>28658_ML168_Mt_Lindsay_Main Skarn_0.25m Bins</v>
      </c>
      <c r="C5087" t="str">
        <f>HYPERLINK("http://www.corstruth.com.au/Tas/CSV/28658_ML168_Mt_Lindsay_Main_Skarn.csv","28658_ML168_Mt_Lindsay_Main Skarn_CSV File 1m Bins")</f>
        <v>28658_ML168_Mt_Lindsay_Main Skarn_CSV File 1m Bins</v>
      </c>
      <c r="D5087">
        <v>28658</v>
      </c>
      <c r="E5087" t="s">
        <v>3422</v>
      </c>
      <c r="F5087" t="str">
        <f>HYPERLINK("http://www.mrt.tas.gov.au/webdoc2/app/default/drilling_detail?id=28658","Geol Survey Link")</f>
        <v>Geol Survey Link</v>
      </c>
      <c r="G5087" t="s">
        <v>3440</v>
      </c>
      <c r="H5087" t="s">
        <v>3449</v>
      </c>
      <c r="I5087">
        <v>-41.699199999999998</v>
      </c>
      <c r="J5087">
        <v>145.33099999999999</v>
      </c>
      <c r="K5087" t="str">
        <f>HYPERLINK("http://www.mrt.tas.gov.au/NVCLDataServices/mosaic.html?datasetid=57ffece1-a4a9-4bc5-bcaa-c983e75376f","28658_ML168_Mt_Lindsay_Main Skarn_Core Image")</f>
        <v>28658_ML168_Mt_Lindsay_Main Skarn_Core Image</v>
      </c>
    </row>
    <row r="5088" spans="1:11" x14ac:dyDescent="0.25">
      <c r="A5088" t="str">
        <f>HYPERLINK("http://www.corstruth.com.au/Tas/10350_ML48_Mt_Lindsay_cs.png","10350_ML48_Mt_Lindsay_A4")</f>
        <v>10350_ML48_Mt_Lindsay_A4</v>
      </c>
      <c r="B5088" t="str">
        <f>HYPERLINK("http://www.corstruth.com.au/Tas/PNG2/10350_ML48_Mt_Lindsay_cs.png","10350_ML48_Mt_Lindsay_0.25m Bins")</f>
        <v>10350_ML48_Mt_Lindsay_0.25m Bins</v>
      </c>
      <c r="C5088" t="str">
        <f>HYPERLINK("http://www.corstruth.com.au/Tas/CSV/10350_ML48_Mt_Lindsay.csv","10350_ML48_Mt_Lindsay_CSV File 1m Bins")</f>
        <v>10350_ML48_Mt_Lindsay_CSV File 1m Bins</v>
      </c>
      <c r="D5088">
        <v>10350</v>
      </c>
      <c r="E5088" t="s">
        <v>3422</v>
      </c>
      <c r="F5088" t="str">
        <f>HYPERLINK("http://www.mrt.tas.gov.au/webdoc2/app/default/drilling_detail?id=10350","Geol Survey Link")</f>
        <v>Geol Survey Link</v>
      </c>
      <c r="G5088" t="s">
        <v>3440</v>
      </c>
      <c r="H5088" t="s">
        <v>3450</v>
      </c>
      <c r="I5088">
        <v>-41.6982</v>
      </c>
      <c r="J5088">
        <v>145.321</v>
      </c>
      <c r="K5088" t="str">
        <f>HYPERLINK("http://www.mrt.tas.gov.au/NVCLDataServices/mosaic.html?datasetid=9106d5f2-d3ff-4d8a-af17-5d97802f2b6","10350_ML48_Mt_Lindsay_Core Image")</f>
        <v>10350_ML48_Mt_Lindsay_Core Image</v>
      </c>
    </row>
    <row r="5089" spans="1:11" x14ac:dyDescent="0.25">
      <c r="A5089" t="str">
        <f>HYPERLINK("http://www.corstruth.com.au/Tas/10343_ML41_Mt_Lindsay_cs.png","10343_ML41_Mt_Lindsay_A4")</f>
        <v>10343_ML41_Mt_Lindsay_A4</v>
      </c>
      <c r="B5089" t="str">
        <f>HYPERLINK("http://www.corstruth.com.au/Tas/PNG2/10343_ML41_Mt_Lindsay_cs.png","10343_ML41_Mt_Lindsay_0.25m Bins")</f>
        <v>10343_ML41_Mt_Lindsay_0.25m Bins</v>
      </c>
      <c r="C5089" t="str">
        <f>HYPERLINK("http://www.corstruth.com.au/Tas/CSV/10343_ML41_Mt_Lindsay.csv","10343_ML41_Mt_Lindsay_CSV File 1m Bins")</f>
        <v>10343_ML41_Mt_Lindsay_CSV File 1m Bins</v>
      </c>
      <c r="D5089">
        <v>10343</v>
      </c>
      <c r="E5089" t="s">
        <v>3422</v>
      </c>
      <c r="F5089" t="str">
        <f>HYPERLINK("http://www.mrt.tas.gov.au/webdoc2/app/default/drilling_detail?id=10343","Geol Survey Link")</f>
        <v>Geol Survey Link</v>
      </c>
      <c r="G5089" t="s">
        <v>3440</v>
      </c>
      <c r="H5089" t="s">
        <v>3451</v>
      </c>
      <c r="I5089">
        <v>-41.7014</v>
      </c>
      <c r="J5089">
        <v>145.33600000000001</v>
      </c>
      <c r="K5089" t="str">
        <f>HYPERLINK("http://www.mrt.tas.gov.au/NVCLDataServices/mosaic.html?datasetid=3288debe-5b34-45e5-bbf0-a0dc4fc0ed7","10343_ML41_Mt_Lindsay_Core Image")</f>
        <v>10343_ML41_Mt_Lindsay_Core Image</v>
      </c>
    </row>
    <row r="5090" spans="1:11" x14ac:dyDescent="0.25">
      <c r="A5090" t="str">
        <f>HYPERLINK("http://www.corstruth.com.au/Tas/10351_ML49_Mt_Lindsay_cs.png","10351_ML49_Mt_Lindsay_A4")</f>
        <v>10351_ML49_Mt_Lindsay_A4</v>
      </c>
      <c r="B5090" t="str">
        <f>HYPERLINK("http://www.corstruth.com.au/Tas/PNG2/10351_ML49_Mt_Lindsay_cs.png","10351_ML49_Mt_Lindsay_0.25m Bins")</f>
        <v>10351_ML49_Mt_Lindsay_0.25m Bins</v>
      </c>
      <c r="C5090" t="str">
        <f>HYPERLINK("http://www.corstruth.com.au/Tas/CSV/10351_ML49_Mt_Lindsay.csv","10351_ML49_Mt_Lindsay_CSV File 1m Bins")</f>
        <v>10351_ML49_Mt_Lindsay_CSV File 1m Bins</v>
      </c>
      <c r="D5090">
        <v>10351</v>
      </c>
      <c r="E5090" t="s">
        <v>3422</v>
      </c>
      <c r="F5090" t="str">
        <f>HYPERLINK("http://www.mrt.tas.gov.au/webdoc2/app/default/drilling_detail?id=10351","Geol Survey Link")</f>
        <v>Geol Survey Link</v>
      </c>
      <c r="G5090" t="s">
        <v>3440</v>
      </c>
      <c r="H5090" t="s">
        <v>3451</v>
      </c>
      <c r="I5090">
        <v>-41.702100000000002</v>
      </c>
      <c r="J5090">
        <v>145.33500000000001</v>
      </c>
      <c r="K5090" t="str">
        <f>HYPERLINK("http://www.mrt.tas.gov.au/NVCLDataServices/mosaic.html?datasetid=8acf70ce-5e0d-4f1e-9084-44f9582e3e0","10351_ML49_Mt_Lindsay_Core Image")</f>
        <v>10351_ML49_Mt_Lindsay_Core Image</v>
      </c>
    </row>
    <row r="5091" spans="1:11" x14ac:dyDescent="0.25">
      <c r="A5091" t="str">
        <f>HYPERLINK("http://www.corstruth.com.au/Tas/5965_MT1_Mount_Terror_cs.png","5965_MT1_Mount_Terror_A4")</f>
        <v>5965_MT1_Mount_Terror_A4</v>
      </c>
      <c r="D5091">
        <v>5965</v>
      </c>
      <c r="E5091" t="s">
        <v>3422</v>
      </c>
      <c r="F5091" t="str">
        <f>HYPERLINK("http://www.mrt.tas.gov.au/webdoc2/app/default/drilling_detail?id=5965","Geol Survey Link")</f>
        <v>Geol Survey Link</v>
      </c>
      <c r="G5091" t="s">
        <v>3440</v>
      </c>
      <c r="H5091" t="s">
        <v>3452</v>
      </c>
      <c r="I5091">
        <v>-41.213000000000001</v>
      </c>
      <c r="J5091">
        <v>147.76499999999999</v>
      </c>
    </row>
    <row r="5092" spans="1:11" x14ac:dyDescent="0.25">
      <c r="A5092" t="str">
        <f>HYPERLINK("http://www.corstruth.com.au/Tas/5966_MT2_Mount_Terror_cs.png","5966_MT2_Mount_Terror_A4")</f>
        <v>5966_MT2_Mount_Terror_A4</v>
      </c>
      <c r="D5092">
        <v>5966</v>
      </c>
      <c r="E5092" t="s">
        <v>3422</v>
      </c>
      <c r="F5092" t="str">
        <f>HYPERLINK("http://www.mrt.tas.gov.au/webdoc2/app/default/drilling_detail?id=5966","Geol Survey Link")</f>
        <v>Geol Survey Link</v>
      </c>
      <c r="G5092" t="s">
        <v>3440</v>
      </c>
      <c r="H5092" t="s">
        <v>3452</v>
      </c>
      <c r="I5092">
        <v>-41.213000000000001</v>
      </c>
      <c r="J5092">
        <v>147.76499999999999</v>
      </c>
    </row>
    <row r="5093" spans="1:11" x14ac:dyDescent="0.25">
      <c r="A5093" t="str">
        <f>HYPERLINK("http://www.corstruth.com.au/Tas/5967_MT3_Mount_Terror_cs.png","5967_MT3_Mount_Terror_A4")</f>
        <v>5967_MT3_Mount_Terror_A4</v>
      </c>
      <c r="D5093">
        <v>5967</v>
      </c>
      <c r="E5093" t="s">
        <v>3422</v>
      </c>
      <c r="F5093" t="str">
        <f>HYPERLINK("http://www.mrt.tas.gov.au/webdoc2/app/default/drilling_detail?id=5967","Geol Survey Link")</f>
        <v>Geol Survey Link</v>
      </c>
      <c r="G5093" t="s">
        <v>3440</v>
      </c>
      <c r="H5093" t="s">
        <v>3452</v>
      </c>
      <c r="I5093">
        <v>-41.212800000000001</v>
      </c>
      <c r="J5093">
        <v>147.76599999999999</v>
      </c>
    </row>
    <row r="5094" spans="1:11" x14ac:dyDescent="0.25">
      <c r="A5094" t="str">
        <f>HYPERLINK("http://www.corstruth.com.au/Tas/5968_MT4_Mount_Terror_cs.png","5968_MT4_Mount_Terror_A4")</f>
        <v>5968_MT4_Mount_Terror_A4</v>
      </c>
      <c r="D5094">
        <v>5968</v>
      </c>
      <c r="E5094" t="s">
        <v>3422</v>
      </c>
      <c r="F5094" t="str">
        <f>HYPERLINK("http://www.mrt.tas.gov.au/webdoc2/app/default/drilling_detail?id=5968","Geol Survey Link")</f>
        <v>Geol Survey Link</v>
      </c>
      <c r="G5094" t="s">
        <v>3440</v>
      </c>
      <c r="H5094" t="s">
        <v>3452</v>
      </c>
      <c r="I5094">
        <v>-41.212499999999999</v>
      </c>
      <c r="J5094">
        <v>147.76599999999999</v>
      </c>
    </row>
    <row r="5095" spans="1:11" x14ac:dyDescent="0.25">
      <c r="A5095" t="str">
        <f>HYPERLINK("http://www.corstruth.com.au/Tas/50064_ZQ117_cs.png","50064_ZQ117_A4")</f>
        <v>50064_ZQ117_A4</v>
      </c>
      <c r="B5095" t="str">
        <f>HYPERLINK("http://www.corstruth.com.au/Tas/PNG2/50064_ZQ117_cs.png","50064_ZQ117_0.25m Bins")</f>
        <v>50064_ZQ117_0.25m Bins</v>
      </c>
      <c r="C5095" t="str">
        <f>HYPERLINK("http://www.corstruth.com.au/Tas/CSV/50064_ZQ117.csv","50064_ZQ117_CSV File 1m Bins")</f>
        <v>50064_ZQ117_CSV File 1m Bins</v>
      </c>
      <c r="D5095">
        <v>50064</v>
      </c>
      <c r="E5095" t="s">
        <v>3422</v>
      </c>
      <c r="F5095" t="str">
        <f>HYPERLINK("http://www.mrt.tas.gov.au/webdoc2/app/default/drilling_detail?id=50064","Geol Survey Link")</f>
        <v>Geol Survey Link</v>
      </c>
      <c r="G5095" t="s">
        <v>3440</v>
      </c>
      <c r="H5095" t="s">
        <v>3453</v>
      </c>
      <c r="I5095">
        <v>-41.882300000000001</v>
      </c>
      <c r="J5095">
        <v>145.327</v>
      </c>
      <c r="K5095" t="str">
        <f>HYPERLINK("http://www.mrt.tas.gov.au/NVCLDataServices/mosaic.html?datasetid=f360e872-daf2-4e22-aa52-b550b28e372","50064_ZQ117_Core Image")</f>
        <v>50064_ZQ117_Core Image</v>
      </c>
    </row>
    <row r="5096" spans="1:11" x14ac:dyDescent="0.25">
      <c r="A5096" t="str">
        <f>HYPERLINK("http://www.corstruth.com.au/Tas/12826_RGC1_Royal_George_cs.png","12826_RGC1_Royal_George_A4")</f>
        <v>12826_RGC1_Royal_George_A4</v>
      </c>
      <c r="D5096">
        <v>12826</v>
      </c>
      <c r="E5096" t="s">
        <v>3422</v>
      </c>
      <c r="F5096" t="str">
        <f>HYPERLINK("http://www.mrt.tas.gov.au/webdoc2/app/default/drilling_detail?id=12826","Geol Survey Link")</f>
        <v>Geol Survey Link</v>
      </c>
      <c r="G5096" t="s">
        <v>3440</v>
      </c>
      <c r="H5096" t="s">
        <v>3454</v>
      </c>
      <c r="I5096">
        <v>-41.834000000000003</v>
      </c>
      <c r="J5096">
        <v>147.88300000000001</v>
      </c>
    </row>
    <row r="5097" spans="1:11" x14ac:dyDescent="0.25">
      <c r="A5097" t="str">
        <f>HYPERLINK("http://www.corstruth.com.au/Tas/13979_BHP1_Royal_George_cs.png","13979_BHP1_Royal_George_A4")</f>
        <v>13979_BHP1_Royal_George_A4</v>
      </c>
      <c r="D5097">
        <v>13979</v>
      </c>
      <c r="E5097" t="s">
        <v>3422</v>
      </c>
      <c r="F5097" t="str">
        <f>HYPERLINK("http://www.mrt.tas.gov.au/webdoc2/app/default/drilling_detail?id=13979","Geol Survey Link")</f>
        <v>Geol Survey Link</v>
      </c>
      <c r="G5097" t="s">
        <v>3440</v>
      </c>
      <c r="H5097" t="s">
        <v>3454</v>
      </c>
      <c r="I5097">
        <v>-41.8339</v>
      </c>
      <c r="J5097">
        <v>147.88399999999999</v>
      </c>
      <c r="K5097" t="str">
        <f>HYPERLINK("http://www.mrt.tas.gov.au/NVCLDataServices/mosaic.html?datasetid=bb54d8b5-7f12-42df-a513-ae807390782","13979_BHP1_Royal_George_Core Image")</f>
        <v>13979_BHP1_Royal_George_Core Image</v>
      </c>
    </row>
    <row r="5098" spans="1:11" x14ac:dyDescent="0.25">
      <c r="A5098" t="str">
        <f>HYPERLINK("http://www.corstruth.com.au/Tas/13981_BHP3_Royal_George_cs.png","13981_BHP3_Royal_George_A4")</f>
        <v>13981_BHP3_Royal_George_A4</v>
      </c>
      <c r="D5098">
        <v>13981</v>
      </c>
      <c r="E5098" t="s">
        <v>3422</v>
      </c>
      <c r="F5098" t="str">
        <f>HYPERLINK("http://www.mrt.tas.gov.au/webdoc2/app/default/drilling_detail?id=13981","Geol Survey Link")</f>
        <v>Geol Survey Link</v>
      </c>
      <c r="G5098" t="s">
        <v>3440</v>
      </c>
      <c r="H5098" t="s">
        <v>3454</v>
      </c>
      <c r="I5098">
        <v>-41.834400000000002</v>
      </c>
      <c r="J5098">
        <v>147.88499999999999</v>
      </c>
    </row>
    <row r="5099" spans="1:11" x14ac:dyDescent="0.25">
      <c r="A5099" t="str">
        <f>HYPERLINK("http://www.corstruth.com.au/Tas/2570_CCC6_Royal_George_cs.png","2570_CCC6_Royal_George_A4")</f>
        <v>2570_CCC6_Royal_George_A4</v>
      </c>
      <c r="D5099">
        <v>2570</v>
      </c>
      <c r="E5099" t="s">
        <v>3422</v>
      </c>
      <c r="F5099" t="str">
        <f>HYPERLINK("http://www.mrt.tas.gov.au/webdoc2/app/default/drilling_detail?id=2570","Geol Survey Link")</f>
        <v>Geol Survey Link</v>
      </c>
      <c r="G5099" t="s">
        <v>3440</v>
      </c>
      <c r="H5099" t="s">
        <v>3455</v>
      </c>
      <c r="I5099">
        <v>-41.834899999999998</v>
      </c>
      <c r="J5099">
        <v>147.886</v>
      </c>
      <c r="K5099" t="str">
        <f>HYPERLINK("http://www.mrt.tas.gov.au/NVCLDataServices/mosaic.html?datasetid=0fb50c06-4671-4e33-a855-d0f095650fe","2570_CCC6_Royal_George_Core Image")</f>
        <v>2570_CCC6_Royal_George_Core Image</v>
      </c>
    </row>
    <row r="5100" spans="1:11" x14ac:dyDescent="0.25">
      <c r="A5100" t="str">
        <f>HYPERLINK("http://www.corstruth.com.au/Tas/2572_CCC8_Royal_George_cs.png","2572_CCC8_Royal_George_A4")</f>
        <v>2572_CCC8_Royal_George_A4</v>
      </c>
      <c r="D5100">
        <v>2572</v>
      </c>
      <c r="E5100" t="s">
        <v>3422</v>
      </c>
      <c r="F5100" t="str">
        <f>HYPERLINK("http://www.mrt.tas.gov.au/webdoc2/app/default/drilling_detail?id=2572","Geol Survey Link")</f>
        <v>Geol Survey Link</v>
      </c>
      <c r="G5100" t="s">
        <v>3440</v>
      </c>
      <c r="H5100" t="s">
        <v>3455</v>
      </c>
      <c r="I5100">
        <v>-41.834000000000003</v>
      </c>
      <c r="J5100">
        <v>147.88499999999999</v>
      </c>
      <c r="K5100" t="str">
        <f>HYPERLINK("http://www.mrt.tas.gov.au/NVCLDataServices/mosaic.html?datasetid=bd324877-eb12-4122-8405-167e54182e3","2572_CCC8_Royal_George_Core Image")</f>
        <v>2572_CCC8_Royal_George_Core Image</v>
      </c>
    </row>
    <row r="5101" spans="1:11" x14ac:dyDescent="0.25">
      <c r="A5101" t="str">
        <f>HYPERLINK("http://www.corstruth.com.au/Tas/2574_CCC10_Royal_George_cs.png","2574_CCC10_Royal_George_A4")</f>
        <v>2574_CCC10_Royal_George_A4</v>
      </c>
      <c r="D5101">
        <v>2574</v>
      </c>
      <c r="E5101" t="s">
        <v>3422</v>
      </c>
      <c r="F5101" t="str">
        <f>HYPERLINK("http://www.mrt.tas.gov.au/webdoc2/app/default/drilling_detail?id=2574","Geol Survey Link")</f>
        <v>Geol Survey Link</v>
      </c>
      <c r="G5101" t="s">
        <v>3440</v>
      </c>
      <c r="H5101" t="s">
        <v>3455</v>
      </c>
      <c r="I5101">
        <v>-41.833300000000001</v>
      </c>
      <c r="J5101">
        <v>147.88399999999999</v>
      </c>
      <c r="K5101" t="str">
        <f>HYPERLINK("http://www.mrt.tas.gov.au/NVCLDataServices/mosaic.html?datasetid=d7d70581-698c-474f-898d-7ee0ba755e2","2574_CCC10_Royal_George_Core Image")</f>
        <v>2574_CCC10_Royal_George_Core Image</v>
      </c>
    </row>
    <row r="5102" spans="1:11" x14ac:dyDescent="0.25">
      <c r="A5102" t="str">
        <f>HYPERLINK("http://www.corstruth.com.au/Tas/2575_CCC11_Royal_George_cs.png","2575_CCC11_Royal_George_A4")</f>
        <v>2575_CCC11_Royal_George_A4</v>
      </c>
      <c r="D5102">
        <v>2575</v>
      </c>
      <c r="E5102" t="s">
        <v>3422</v>
      </c>
      <c r="F5102" t="str">
        <f>HYPERLINK("http://www.mrt.tas.gov.au/webdoc2/app/default/drilling_detail?id=2575","Geol Survey Link")</f>
        <v>Geol Survey Link</v>
      </c>
      <c r="G5102" t="s">
        <v>3440</v>
      </c>
      <c r="H5102" t="s">
        <v>3455</v>
      </c>
      <c r="I5102">
        <v>-41.832900000000002</v>
      </c>
      <c r="J5102">
        <v>147.88399999999999</v>
      </c>
      <c r="K5102" t="str">
        <f>HYPERLINK("http://www.mrt.tas.gov.au/NVCLDataServices/mosaic.html?datasetid=1902ceeb-200a-486e-a7d7-c85c55e22d6","2575_CCC11_Royal_George_Core Image")</f>
        <v>2575_CCC11_Royal_George_Core Image</v>
      </c>
    </row>
    <row r="5103" spans="1:11" x14ac:dyDescent="0.25">
      <c r="A5103" t="str">
        <f>HYPERLINK("http://www.corstruth.com.au/Tas/2576_CCC12_Royal_George_cs.png","2576_CCC12_Royal_George_A4")</f>
        <v>2576_CCC12_Royal_George_A4</v>
      </c>
      <c r="D5103">
        <v>2576</v>
      </c>
      <c r="E5103" t="s">
        <v>3422</v>
      </c>
      <c r="F5103" t="str">
        <f>HYPERLINK("http://www.mrt.tas.gov.au/webdoc2/app/default/drilling_detail?id=2576","Geol Survey Link")</f>
        <v>Geol Survey Link</v>
      </c>
      <c r="G5103" t="s">
        <v>3440</v>
      </c>
      <c r="H5103" t="s">
        <v>3455</v>
      </c>
      <c r="I5103">
        <v>-41.833199999999998</v>
      </c>
      <c r="J5103">
        <v>147.88399999999999</v>
      </c>
      <c r="K5103" t="str">
        <f>HYPERLINK("http://www.mrt.tas.gov.au/NVCLDataServices/mosaic.html?datasetid=f4977c53-a19a-46a8-a0b5-bb1d84dd7ef","2576_CCC12_Royal_George_Core Image")</f>
        <v>2576_CCC12_Royal_George_Core Image</v>
      </c>
    </row>
    <row r="5104" spans="1:11" x14ac:dyDescent="0.25">
      <c r="A5104" t="str">
        <f>HYPERLINK("http://www.corstruth.com.au/Tas/2577_CCC13_Royal_George_cs.png","2577_CCC13_Royal_George_A4")</f>
        <v>2577_CCC13_Royal_George_A4</v>
      </c>
      <c r="D5104">
        <v>2577</v>
      </c>
      <c r="E5104" t="s">
        <v>3422</v>
      </c>
      <c r="F5104" t="str">
        <f>HYPERLINK("http://www.mrt.tas.gov.au/webdoc2/app/default/drilling_detail?id=2577","Geol Survey Link")</f>
        <v>Geol Survey Link</v>
      </c>
      <c r="G5104" t="s">
        <v>3440</v>
      </c>
      <c r="H5104" t="s">
        <v>3455</v>
      </c>
      <c r="I5104">
        <v>-41.834099999999999</v>
      </c>
      <c r="J5104">
        <v>147.88499999999999</v>
      </c>
      <c r="K5104" t="str">
        <f>HYPERLINK("http://www.mrt.tas.gov.au/NVCLDataServices/mosaic.html?datasetid=74e54fee-57a6-4a57-935b-b5dd4519e95","2577_CCC13_Royal_George_Core Image")</f>
        <v>2577_CCC13_Royal_George_Core Image</v>
      </c>
    </row>
    <row r="5105" spans="1:11" x14ac:dyDescent="0.25">
      <c r="A5105" t="str">
        <f>HYPERLINK("http://www.corstruth.com.au/Tas/50069_ZS113_Severn_cs.png","50069_ZS113_Severn_A4")</f>
        <v>50069_ZS113_Severn_A4</v>
      </c>
      <c r="B5105" t="str">
        <f>HYPERLINK("http://www.corstruth.com.au/Tas/PNG2/50069_ZS113_Severn_cs.png","50069_ZS113_Severn_0.25m Bins")</f>
        <v>50069_ZS113_Severn_0.25m Bins</v>
      </c>
      <c r="C5105" t="str">
        <f>HYPERLINK("http://www.corstruth.com.au/Tas/CSV/50069_ZS113_Severn.csv","50069_ZS113_Severn_CSV File 1m Bins")</f>
        <v>50069_ZS113_Severn_CSV File 1m Bins</v>
      </c>
      <c r="D5105">
        <v>50069</v>
      </c>
      <c r="E5105" t="s">
        <v>3422</v>
      </c>
      <c r="F5105" t="str">
        <f>HYPERLINK("http://www.mrt.tas.gov.au/webdoc2/app/default/drilling_detail?id=50069","Geol Survey Link")</f>
        <v>Geol Survey Link</v>
      </c>
      <c r="G5105" t="s">
        <v>3440</v>
      </c>
      <c r="H5105" t="s">
        <v>3456</v>
      </c>
      <c r="I5105">
        <v>-41.883099999999999</v>
      </c>
      <c r="J5105">
        <v>145.328</v>
      </c>
      <c r="K5105" t="str">
        <f>HYPERLINK("http://www.mrt.tas.gov.au/NVCLDataServices/mosaic.html?datasetid=8c717ea3-ccdb-4f10-80ff-e5183578952","50069_ZS113_Severn_Core Image")</f>
        <v>50069_ZS113_Severn_Core Image</v>
      </c>
    </row>
    <row r="5106" spans="1:11" x14ac:dyDescent="0.25">
      <c r="A5106" t="str">
        <f>HYPERLINK("http://www.corstruth.com.au/Tas/50072_ZS116_Severn_cs.png","50072_ZS116_Severn_A4")</f>
        <v>50072_ZS116_Severn_A4</v>
      </c>
      <c r="B5106" t="str">
        <f>HYPERLINK("http://www.corstruth.com.au/Tas/PNG2/50072_ZS116_Severn_cs.png","50072_ZS116_Severn_0.25m Bins")</f>
        <v>50072_ZS116_Severn_0.25m Bins</v>
      </c>
      <c r="C5106" t="str">
        <f>HYPERLINK("http://www.corstruth.com.au/Tas/CSV/50072_ZS116_Severn.csv","50072_ZS116_Severn_CSV File 1m Bins")</f>
        <v>50072_ZS116_Severn_CSV File 1m Bins</v>
      </c>
      <c r="D5106">
        <v>50072</v>
      </c>
      <c r="E5106" t="s">
        <v>3422</v>
      </c>
      <c r="F5106" t="str">
        <f>HYPERLINK("http://www.mrt.tas.gov.au/webdoc2/app/default/drilling_detail?id=50072","Geol Survey Link")</f>
        <v>Geol Survey Link</v>
      </c>
      <c r="G5106" t="s">
        <v>3440</v>
      </c>
      <c r="H5106" t="s">
        <v>3456</v>
      </c>
      <c r="I5106">
        <v>-41.883099999999999</v>
      </c>
      <c r="J5106">
        <v>145.328</v>
      </c>
      <c r="K5106" t="str">
        <f>HYPERLINK("http://www.mrt.tas.gov.au/NVCLDataServices/mosaic.html?datasetid=d6841b53-acb2-4a27-b4cd-d4eafb71275","50072_ZS116_Severn_Core Image")</f>
        <v>50072_ZS116_Severn_Core Image</v>
      </c>
    </row>
    <row r="5107" spans="1:11" x14ac:dyDescent="0.25">
      <c r="A5107" t="str">
        <f>HYPERLINK("http://www.corstruth.com.au/Tas/50074_ZS120_Severn_cs.png","50074_ZS120_Severn_A4")</f>
        <v>50074_ZS120_Severn_A4</v>
      </c>
      <c r="B5107" t="str">
        <f>HYPERLINK("http://www.corstruth.com.au/Tas/PNG2/50074_ZS120_Severn_cs.png","50074_ZS120_Severn_0.25m Bins")</f>
        <v>50074_ZS120_Severn_0.25m Bins</v>
      </c>
      <c r="C5107" t="str">
        <f>HYPERLINK("http://www.corstruth.com.au/Tas/CSV/50074_ZS120_Severn.csv","50074_ZS120_Severn_CSV File 1m Bins")</f>
        <v>50074_ZS120_Severn_CSV File 1m Bins</v>
      </c>
      <c r="D5107">
        <v>50074</v>
      </c>
      <c r="E5107" t="s">
        <v>3422</v>
      </c>
      <c r="F5107" t="str">
        <f>HYPERLINK("http://www.mrt.tas.gov.au/webdoc2/app/default/drilling_detail?id=50074","Geol Survey Link")</f>
        <v>Geol Survey Link</v>
      </c>
      <c r="G5107" t="s">
        <v>3440</v>
      </c>
      <c r="H5107" t="s">
        <v>3456</v>
      </c>
      <c r="I5107">
        <v>-41.883600000000001</v>
      </c>
      <c r="J5107">
        <v>145.33000000000001</v>
      </c>
      <c r="K5107" t="str">
        <f>HYPERLINK("http://www.mrt.tas.gov.au/NVCLDataServices/mosaic.html?datasetid=afc5aacc-bca4-4a37-b07b-8851fc1aa45","50074_ZS120_Severn_Core Image")</f>
        <v>50074_ZS120_Severn_Core Image</v>
      </c>
    </row>
    <row r="5108" spans="1:11" x14ac:dyDescent="0.25">
      <c r="A5108" t="str">
        <f>HYPERLINK("http://www.corstruth.com.au/Tas/6156_SY003_Sylvester_Zeehan_cs.png","6156_SY003_Sylvester_Zeehan_A4")</f>
        <v>6156_SY003_Sylvester_Zeehan_A4</v>
      </c>
      <c r="B5108" t="str">
        <f>HYPERLINK("http://www.corstruth.com.au/Tas/PNG2/6156_SY003_Sylvester_Zeehan_cs.png","6156_SY003_Sylvester_Zeehan_0.25m Bins")</f>
        <v>6156_SY003_Sylvester_Zeehan_0.25m Bins</v>
      </c>
      <c r="C5108" t="str">
        <f>HYPERLINK("http://www.corstruth.com.au/Tas/CSV/6156_SY003_Sylvester_Zeehan.csv","6156_SY003_Sylvester_Zeehan_CSV File 1m Bins")</f>
        <v>6156_SY003_Sylvester_Zeehan_CSV File 1m Bins</v>
      </c>
      <c r="D5108">
        <v>6156</v>
      </c>
      <c r="E5108" t="s">
        <v>3422</v>
      </c>
      <c r="F5108" t="str">
        <f>HYPERLINK("http://www.mrt.tas.gov.au/webdoc2/app/default/drilling_detail?id=6156","Geol Survey Link")</f>
        <v>Geol Survey Link</v>
      </c>
      <c r="G5108" t="s">
        <v>3440</v>
      </c>
      <c r="H5108" t="s">
        <v>3457</v>
      </c>
      <c r="I5108">
        <v>-41.8904</v>
      </c>
      <c r="J5108">
        <v>145.28700000000001</v>
      </c>
      <c r="K5108" t="str">
        <f>HYPERLINK("http://www.mrt.tas.gov.au/NVCLDataServices/mosaic.html?datasetid=4c48d6c6-520b-4078-ad1f-20d9cf7989f","6156_SY003_Sylvester_Zeehan_Core Image")</f>
        <v>6156_SY003_Sylvester_Zeehan_Core Image</v>
      </c>
    </row>
    <row r="5109" spans="1:11" x14ac:dyDescent="0.25">
      <c r="A5109" t="str">
        <f>HYPERLINK("http://www.corstruth.com.au/Tas/27133_SCD001_Storeys_Creek_cs.png","27133_SCD001_Storeys_Creek_A4")</f>
        <v>27133_SCD001_Storeys_Creek_A4</v>
      </c>
      <c r="D5109">
        <v>27133</v>
      </c>
      <c r="E5109" t="s">
        <v>3422</v>
      </c>
      <c r="F5109" t="str">
        <f>HYPERLINK("http://www.mrt.tas.gov.au/webdoc2/app/default/drilling_detail?id=27133","Geol Survey Link")</f>
        <v>Geol Survey Link</v>
      </c>
      <c r="G5109" t="s">
        <v>3440</v>
      </c>
      <c r="H5109" t="s">
        <v>3458</v>
      </c>
      <c r="I5109">
        <v>-41.6342</v>
      </c>
      <c r="J5109">
        <v>147.732</v>
      </c>
    </row>
    <row r="5110" spans="1:11" x14ac:dyDescent="0.25">
      <c r="A5110" t="str">
        <f>HYPERLINK("http://www.corstruth.com.au/Tas/27134_SCDD002_Storeys_Creek_cs.png","27134_SCDD002_Storeys_Creek_A4")</f>
        <v>27134_SCDD002_Storeys_Creek_A4</v>
      </c>
      <c r="D5110">
        <v>27134</v>
      </c>
      <c r="E5110" t="s">
        <v>3422</v>
      </c>
      <c r="F5110" t="str">
        <f>HYPERLINK("http://www.mrt.tas.gov.au/webdoc2/app/default/drilling_detail?id=27134","Geol Survey Link")</f>
        <v>Geol Survey Link</v>
      </c>
      <c r="G5110" t="s">
        <v>3440</v>
      </c>
      <c r="H5110" t="s">
        <v>3458</v>
      </c>
      <c r="I5110">
        <v>-41.635300000000001</v>
      </c>
      <c r="J5110">
        <v>147.733</v>
      </c>
    </row>
    <row r="5111" spans="1:11" x14ac:dyDescent="0.25">
      <c r="A5111" t="str">
        <f>HYPERLINK("http://www.corstruth.com.au/Tas/13968_BB-BH1_Bell_Bay_cs.png","13968_BB-BH1_Bell_Bay_A4")</f>
        <v>13968_BB-BH1_Bell_Bay_A4</v>
      </c>
      <c r="B5111" t="str">
        <f>HYPERLINK("http://www.corstruth.com.au/Tas/PNG2/13968_BB-BH1_Bell_Bay_cs.png","13968_BB-BH1_Bell_Bay_0.25m Bins")</f>
        <v>13968_BB-BH1_Bell_Bay_0.25m Bins</v>
      </c>
      <c r="C5111" t="str">
        <f>HYPERLINK("http://www.corstruth.com.au/Tas/CSV/13968_BB-BH1_Bell_Bay.csv","13968_BB-BH1_Bell_Bay_CSV File 1m Bins")</f>
        <v>13968_BB-BH1_Bell_Bay_CSV File 1m Bins</v>
      </c>
      <c r="D5111">
        <v>13968</v>
      </c>
      <c r="E5111" t="s">
        <v>3422</v>
      </c>
      <c r="F5111" t="str">
        <f>HYPERLINK("http://www.mrt.tas.gov.au/webdoc2/app/default/drilling_detail?id=13968","Geol Survey Link")</f>
        <v>Geol Survey Link</v>
      </c>
      <c r="G5111" t="s">
        <v>3459</v>
      </c>
      <c r="H5111" t="s">
        <v>3460</v>
      </c>
      <c r="I5111">
        <v>-41.137099999999997</v>
      </c>
      <c r="J5111">
        <v>146.85400000000001</v>
      </c>
      <c r="K5111" t="str">
        <f>HYPERLINK("http://www.mrt.tas.gov.au/NVCLDataServices/mosaic.html?datasetid=0c55872e-601d-4df4-9a44-ccfb0fd548f","13968_BB-BH1_Bell_Bay_Core Image")</f>
        <v>13968_BB-BH1_Bell_Bay_Core Image</v>
      </c>
    </row>
    <row r="5112" spans="1:11" x14ac:dyDescent="0.25">
      <c r="A5112" t="str">
        <f>HYPERLINK("http://www.corstruth.com.au/Tas/87807_BWBBH08_cs.png","87807_BWBBH08_A4")</f>
        <v>87807_BWBBH08_A4</v>
      </c>
      <c r="B5112" t="str">
        <f>HYPERLINK("http://www.corstruth.com.au/Tas/PNG2/87807_BWBBH08_cs.png","87807_BWBBH08_0.25m Bins")</f>
        <v>87807_BWBBH08_0.25m Bins</v>
      </c>
      <c r="C5112" t="str">
        <f>HYPERLINK("http://www.corstruth.com.au/Tas/CSV/87807_BWBBH08.csv","87807_BWBBH08_CSV File 1m Bins")</f>
        <v>87807_BWBBH08_CSV File 1m Bins</v>
      </c>
      <c r="D5112">
        <v>87807</v>
      </c>
      <c r="E5112" t="s">
        <v>3422</v>
      </c>
      <c r="F5112" t="str">
        <f>HYPERLINK("http://www.mrt.tas.gov.au/webdoc2/app/default/drilling_detail?id=87807","Geol Survey Link")</f>
        <v>Geol Survey Link</v>
      </c>
      <c r="G5112" t="s">
        <v>3459</v>
      </c>
      <c r="H5112" t="s">
        <v>3461</v>
      </c>
      <c r="I5112">
        <v>-42.739699999999999</v>
      </c>
      <c r="J5112">
        <v>147.227</v>
      </c>
    </row>
    <row r="5113" spans="1:11" x14ac:dyDescent="0.25">
      <c r="A5113" t="str">
        <f>HYPERLINK("http://www.corstruth.com.au/Tas/87826_BWBBH04_cs.png","87826_BWBBH04_A4")</f>
        <v>87826_BWBBH04_A4</v>
      </c>
      <c r="B5113" t="str">
        <f>HYPERLINK("http://www.corstruth.com.au/Tas/PNG2/87826_BWBBH04_cs.png","87826_BWBBH04_0.25m Bins")</f>
        <v>87826_BWBBH04_0.25m Bins</v>
      </c>
      <c r="C5113" t="str">
        <f>HYPERLINK("http://www.corstruth.com.au/Tas/CSV/87826_BWBBH04.csv","87826_BWBBH04_CSV File 1m Bins")</f>
        <v>87826_BWBBH04_CSV File 1m Bins</v>
      </c>
      <c r="D5113">
        <v>87826</v>
      </c>
      <c r="E5113" t="s">
        <v>3422</v>
      </c>
      <c r="F5113" t="str">
        <f>HYPERLINK("http://www.mrt.tas.gov.au/webdoc2/app/default/drilling_detail?id=87826","Geol Survey Link")</f>
        <v>Geol Survey Link</v>
      </c>
      <c r="G5113" t="s">
        <v>3459</v>
      </c>
      <c r="H5113" t="s">
        <v>3461</v>
      </c>
      <c r="I5113">
        <v>-42.750599999999999</v>
      </c>
      <c r="J5113">
        <v>147.227</v>
      </c>
    </row>
    <row r="5114" spans="1:11" x14ac:dyDescent="0.25">
      <c r="A5114" t="str">
        <f>HYPERLINK("http://www.corstruth.com.au/Tas/24725_LV_IBH1_2005_cs.png","24725_LV_IBH1_2005_A4")</f>
        <v>24725_LV_IBH1_2005_A4</v>
      </c>
      <c r="B5114" t="str">
        <f>HYPERLINK("http://www.corstruth.com.au/Tas/PNG2/24725_LV_IBH1_2005_cs.png","24725_LV_IBH1_2005_0.25m Bins")</f>
        <v>24725_LV_IBH1_2005_0.25m Bins</v>
      </c>
      <c r="C5114" t="str">
        <f>HYPERLINK("http://www.corstruth.com.au/Tas/CSV/24725_LV_IBH1_2005.csv","24725_LV_IBH1_2005_CSV File 1m Bins")</f>
        <v>24725_LV_IBH1_2005_CSV File 1m Bins</v>
      </c>
      <c r="D5114">
        <v>24725</v>
      </c>
      <c r="E5114" t="s">
        <v>3422</v>
      </c>
      <c r="F5114" t="str">
        <f>HYPERLINK("http://www.mrt.tas.gov.au/webdoc2/app/default/drilling_detail?id=24725","Geol Survey Link")</f>
        <v>Geol Survey Link</v>
      </c>
      <c r="G5114" t="s">
        <v>3459</v>
      </c>
      <c r="H5114" t="s">
        <v>3462</v>
      </c>
      <c r="I5114">
        <v>-41.455500000000001</v>
      </c>
      <c r="J5114">
        <v>147.15199999999999</v>
      </c>
      <c r="K5114" t="str">
        <f>HYPERLINK("http://www.mrt.tas.gov.au/NVCLDataServices/mosaic.html?datasetid=af204ea8-5a44-45c4-a5a0-b9078e4062d","24725_LV_IBH1_2005_Core Image")</f>
        <v>24725_LV_IBH1_2005_Core Image</v>
      </c>
    </row>
    <row r="5115" spans="1:11" x14ac:dyDescent="0.25">
      <c r="A5115" t="str">
        <f>HYPERLINK("http://www.corstruth.com.au/Tas/50349_3216966_01_cs.png","50349_3216966_01_A4")</f>
        <v>50349_3216966_01_A4</v>
      </c>
      <c r="B5115" t="str">
        <f>HYPERLINK("http://www.corstruth.com.au/Tas/PNG2/50349_3216966_01_cs.png","50349_3216966_01_0.25m Bins")</f>
        <v>50349_3216966_01_0.25m Bins</v>
      </c>
      <c r="C5115" t="str">
        <f>HYPERLINK("http://www.corstruth.com.au/Tas/CSV/50349_3216966_01.csv","50349_3216966_01_CSV File 1m Bins")</f>
        <v>50349_3216966_01_CSV File 1m Bins</v>
      </c>
      <c r="D5115">
        <v>50349</v>
      </c>
      <c r="E5115" t="s">
        <v>3422</v>
      </c>
      <c r="F5115" t="str">
        <f>HYPERLINK("http://www.mrt.tas.gov.au/webdoc2/app/default/drilling_detail?id=50349","Geol Survey Link")</f>
        <v>Geol Survey Link</v>
      </c>
      <c r="G5115" t="s">
        <v>3459</v>
      </c>
      <c r="H5115" t="s">
        <v>3463</v>
      </c>
      <c r="I5115">
        <v>-42.812100000000001</v>
      </c>
      <c r="J5115">
        <v>147.262</v>
      </c>
      <c r="K5115" t="str">
        <f>HYPERLINK("http://www.mrt.tas.gov.au/NVCLDataServices/mosaic.html?datasetid=db72f614-f105-49fe-b137-66599f9aae1","50349_3216966_01_Core Image")</f>
        <v>50349_3216966_01_Core Image</v>
      </c>
    </row>
    <row r="5116" spans="1:11" x14ac:dyDescent="0.25">
      <c r="A5116" t="str">
        <f>HYPERLINK("http://www.corstruth.com.au/Tas/50350_3216966_02_cs.png","50350_3216966_02_A4")</f>
        <v>50350_3216966_02_A4</v>
      </c>
      <c r="B5116" t="str">
        <f>HYPERLINK("http://www.corstruth.com.au/Tas/PNG2/50350_3216966_02_cs.png","50350_3216966_02_0.25m Bins")</f>
        <v>50350_3216966_02_0.25m Bins</v>
      </c>
      <c r="C5116" t="str">
        <f>HYPERLINK("http://www.corstruth.com.au/Tas/CSV/50350_3216966_02.csv","50350_3216966_02_CSV File 1m Bins")</f>
        <v>50350_3216966_02_CSV File 1m Bins</v>
      </c>
      <c r="D5116">
        <v>50350</v>
      </c>
      <c r="E5116" t="s">
        <v>3422</v>
      </c>
      <c r="F5116" t="str">
        <f>HYPERLINK("http://www.mrt.tas.gov.au/webdoc2/app/default/drilling_detail?id=50350","Geol Survey Link")</f>
        <v>Geol Survey Link</v>
      </c>
      <c r="G5116" t="s">
        <v>3459</v>
      </c>
      <c r="H5116" t="s">
        <v>3463</v>
      </c>
      <c r="I5116">
        <v>-42.8123</v>
      </c>
      <c r="J5116">
        <v>147.262</v>
      </c>
      <c r="K5116" t="str">
        <f>HYPERLINK("http://www.mrt.tas.gov.au/NVCLDataServices/mosaic.html?datasetid=6dc49ee7-50ae-443e-b547-3da3c8b5770","50350_3216966_02_Core Image")</f>
        <v>50350_3216966_02_Core Image</v>
      </c>
    </row>
    <row r="5117" spans="1:11" x14ac:dyDescent="0.25">
      <c r="A5117" t="str">
        <f>HYPERLINK("http://www.corstruth.com.au/Tas/50351_3216966_03_cs.png","50351_3216966_03_A4")</f>
        <v>50351_3216966_03_A4</v>
      </c>
      <c r="B5117" t="str">
        <f>HYPERLINK("http://www.corstruth.com.au/Tas/PNG2/50351_3216966_03_cs.png","50351_3216966_03_0.25m Bins")</f>
        <v>50351_3216966_03_0.25m Bins</v>
      </c>
      <c r="C5117" t="str">
        <f>HYPERLINK("http://www.corstruth.com.au/Tas/CSV/50351_3216966_03.csv","50351_3216966_03_CSV File 1m Bins")</f>
        <v>50351_3216966_03_CSV File 1m Bins</v>
      </c>
      <c r="D5117">
        <v>50351</v>
      </c>
      <c r="E5117" t="s">
        <v>3422</v>
      </c>
      <c r="F5117" t="str">
        <f>HYPERLINK("http://www.mrt.tas.gov.au/webdoc2/app/default/drilling_detail?id=50351","Geol Survey Link")</f>
        <v>Geol Survey Link</v>
      </c>
      <c r="G5117" t="s">
        <v>3459</v>
      </c>
      <c r="H5117" t="s">
        <v>3463</v>
      </c>
      <c r="I5117">
        <v>-42.812100000000001</v>
      </c>
      <c r="J5117">
        <v>147.262</v>
      </c>
      <c r="K5117" t="str">
        <f>HYPERLINK("http://www.mrt.tas.gov.au/NVCLDataServices/mosaic.html?datasetid=ed727f05-6758-480e-bd85-9b3d18f496e","50351_3216966_03_Core Image")</f>
        <v>50351_3216966_03_Core Image</v>
      </c>
    </row>
    <row r="5118" spans="1:11" x14ac:dyDescent="0.25">
      <c r="A5118" t="str">
        <f>HYPERLINK("http://www.corstruth.com.au/Tas/50338_3215717_01_cs.png","50338_3215717_01_A4")</f>
        <v>50338_3215717_01_A4</v>
      </c>
      <c r="B5118" t="str">
        <f>HYPERLINK("http://www.corstruth.com.au/Tas/PNG2/50338_3215717_01_cs.png","50338_3215717_01_0.25m Bins")</f>
        <v>50338_3215717_01_0.25m Bins</v>
      </c>
      <c r="C5118" t="str">
        <f>HYPERLINK("http://www.corstruth.com.au/Tas/CSV/50338_3215717_01.csv","50338_3215717_01_CSV File 1m Bins")</f>
        <v>50338_3215717_01_CSV File 1m Bins</v>
      </c>
      <c r="D5118">
        <v>50338</v>
      </c>
      <c r="E5118" t="s">
        <v>3422</v>
      </c>
      <c r="F5118" t="str">
        <f>HYPERLINK("http://www.mrt.tas.gov.au/webdoc2/app/default/drilling_detail?id=50338","Geol Survey Link")</f>
        <v>Geol Survey Link</v>
      </c>
      <c r="G5118" t="s">
        <v>3459</v>
      </c>
      <c r="H5118" t="s">
        <v>3464</v>
      </c>
      <c r="I5118">
        <v>-42.88</v>
      </c>
      <c r="J5118">
        <v>147.33099999999999</v>
      </c>
      <c r="K5118" t="str">
        <f>HYPERLINK("http://www.mrt.tas.gov.au/NVCLDataServices/mosaic.html?datasetid=e06d2c2b-0217-4a3d-afbf-f2265e53f5b","50338_3215717_01_Core Image")</f>
        <v>50338_3215717_01_Core Image</v>
      </c>
    </row>
    <row r="5119" spans="1:11" x14ac:dyDescent="0.25">
      <c r="A5119" t="str">
        <f>HYPERLINK("http://www.corstruth.com.au/Tas/50340_3215717_03_cs.png","50340_3215717_03_A4")</f>
        <v>50340_3215717_03_A4</v>
      </c>
      <c r="B5119" t="str">
        <f>HYPERLINK("http://www.corstruth.com.au/Tas/PNG2/50340_3215717_03_cs.png","50340_3215717_03_0.25m Bins")</f>
        <v>50340_3215717_03_0.25m Bins</v>
      </c>
      <c r="C5119" t="str">
        <f>HYPERLINK("http://www.corstruth.com.au/Tas/CSV/50340_3215717_03.csv","50340_3215717_03_CSV File 1m Bins")</f>
        <v>50340_3215717_03_CSV File 1m Bins</v>
      </c>
      <c r="D5119">
        <v>50340</v>
      </c>
      <c r="E5119" t="s">
        <v>3422</v>
      </c>
      <c r="F5119" t="str">
        <f>HYPERLINK("http://www.mrt.tas.gov.au/webdoc2/app/default/drilling_detail?id=50340","Geol Survey Link")</f>
        <v>Geol Survey Link</v>
      </c>
      <c r="G5119" t="s">
        <v>3459</v>
      </c>
      <c r="H5119" t="s">
        <v>3464</v>
      </c>
      <c r="I5119">
        <v>-42.879800000000003</v>
      </c>
      <c r="J5119">
        <v>147.33000000000001</v>
      </c>
      <c r="K5119" t="str">
        <f>HYPERLINK("http://www.mrt.tas.gov.au/NVCLDataServices/mosaic.html?datasetid=d321964f-2f9c-4605-a2b0-99541721d51","50340_3215717_03_Core Image")</f>
        <v>50340_3215717_03_Core Image</v>
      </c>
    </row>
    <row r="5120" spans="1:11" x14ac:dyDescent="0.25">
      <c r="A5120" t="str">
        <f>HYPERLINK("http://www.corstruth.com.au/Tas/50341_3215717_04_cs.png","50341_3215717_04_A4")</f>
        <v>50341_3215717_04_A4</v>
      </c>
      <c r="B5120" t="str">
        <f>HYPERLINK("http://www.corstruth.com.au/Tas/PNG2/50341_3215717_04_cs.png","50341_3215717_04_0.25m Bins")</f>
        <v>50341_3215717_04_0.25m Bins</v>
      </c>
      <c r="C5120" t="str">
        <f>HYPERLINK("http://www.corstruth.com.au/Tas/CSV/50341_3215717_04.csv","50341_3215717_04_CSV File 1m Bins")</f>
        <v>50341_3215717_04_CSV File 1m Bins</v>
      </c>
      <c r="D5120">
        <v>50341</v>
      </c>
      <c r="E5120" t="s">
        <v>3422</v>
      </c>
      <c r="F5120" t="str">
        <f>HYPERLINK("http://www.mrt.tas.gov.au/webdoc2/app/default/drilling_detail?id=50341","Geol Survey Link")</f>
        <v>Geol Survey Link</v>
      </c>
      <c r="G5120" t="s">
        <v>3459</v>
      </c>
      <c r="H5120" t="s">
        <v>3464</v>
      </c>
      <c r="I5120">
        <v>-42.879899999999999</v>
      </c>
      <c r="J5120">
        <v>147.33000000000001</v>
      </c>
      <c r="K5120" t="str">
        <f>HYPERLINK("http://www.mrt.tas.gov.au/NVCLDataServices/mosaic.html?datasetid=9e5490ad-a42b-4dc0-be3d-25f4554cc7b","50341_3215717_04_Core Image")</f>
        <v>50341_3215717_04_Core Image</v>
      </c>
    </row>
    <row r="5121" spans="1:11" x14ac:dyDescent="0.25">
      <c r="A5121" t="str">
        <f>HYPERLINK("http://www.corstruth.com.au/Tas/50343_3215717_06_cs.png","50343_3215717_06_A4")</f>
        <v>50343_3215717_06_A4</v>
      </c>
      <c r="B5121" t="str">
        <f>HYPERLINK("http://www.corstruth.com.au/Tas/PNG2/50343_3215717_06_cs.png","50343_3215717_06_0.25m Bins")</f>
        <v>50343_3215717_06_0.25m Bins</v>
      </c>
      <c r="C5121" t="str">
        <f>HYPERLINK("http://www.corstruth.com.au/Tas/CSV/50343_3215717_06.csv","50343_3215717_06_CSV File 1m Bins")</f>
        <v>50343_3215717_06_CSV File 1m Bins</v>
      </c>
      <c r="D5121">
        <v>50343</v>
      </c>
      <c r="E5121" t="s">
        <v>3422</v>
      </c>
      <c r="F5121" t="str">
        <f>HYPERLINK("http://www.mrt.tas.gov.au/webdoc2/app/default/drilling_detail?id=50343","Geol Survey Link")</f>
        <v>Geol Survey Link</v>
      </c>
      <c r="G5121" t="s">
        <v>3459</v>
      </c>
      <c r="H5121" t="s">
        <v>3464</v>
      </c>
      <c r="I5121">
        <v>-42.88</v>
      </c>
      <c r="J5121">
        <v>147.33099999999999</v>
      </c>
      <c r="K5121" t="str">
        <f>HYPERLINK("http://www.mrt.tas.gov.au/NVCLDataServices/mosaic.html?datasetid=965d9ca3-09a6-4b10-87aa-2789ba05a57","50343_3215717_06_Core Image")</f>
        <v>50343_3215717_06_Core Image</v>
      </c>
    </row>
    <row r="5122" spans="1:11" x14ac:dyDescent="0.25">
      <c r="A5122" t="str">
        <f>HYPERLINK("http://www.corstruth.com.au/Tas/84617_TA06DC013_cs.png","84617_TA06DC013_A4")</f>
        <v>84617_TA06DC013_A4</v>
      </c>
      <c r="B5122" t="str">
        <f>HYPERLINK("http://www.corstruth.com.au/Tas/PNG2/84617_TA06DC013_cs.png","84617_TA06DC013_0.25m Bins")</f>
        <v>84617_TA06DC013_0.25m Bins</v>
      </c>
      <c r="C5122" t="str">
        <f>HYPERLINK("http://www.corstruth.com.au/Tas/CSV/84617_TA06DC013.csv","84617_TA06DC013_CSV File 1m Bins")</f>
        <v>84617_TA06DC013_CSV File 1m Bins</v>
      </c>
      <c r="D5122">
        <v>84617</v>
      </c>
      <c r="E5122" t="s">
        <v>3422</v>
      </c>
      <c r="F5122" t="str">
        <f>HYPERLINK("http://www.mrt.tas.gov.au/webdoc2/app/default/drilling_detail?id=84617","Geol Survey Link")</f>
        <v>Geol Survey Link</v>
      </c>
      <c r="G5122" t="s">
        <v>3459</v>
      </c>
      <c r="H5122" t="s">
        <v>3465</v>
      </c>
      <c r="I5122">
        <v>-42.301299999999998</v>
      </c>
      <c r="J5122">
        <v>146.44200000000001</v>
      </c>
      <c r="K5122" t="str">
        <f>HYPERLINK("http://www.mrt.tas.gov.au/NVCLDataServices/mosaic.html?datasetid=b27c0bb3-4489-464d-bbfa-aedc89dd6d4","84617_TA06DC013_Core Image")</f>
        <v>84617_TA06DC013_Core Image</v>
      </c>
    </row>
    <row r="5123" spans="1:11" x14ac:dyDescent="0.25">
      <c r="A5123" t="str">
        <f>HYPERLINK("http://www.corstruth.com.au/Tas/96418_TA-DC205_Tarraleah_cs.png","96418_TA-DC205_Tarraleah_A4")</f>
        <v>96418_TA-DC205_Tarraleah_A4</v>
      </c>
      <c r="B5123" t="str">
        <f>HYPERLINK("http://www.corstruth.com.au/Tas/PNG2/96418_TA-DC205_Tarraleah_cs.png","96418_TA-DC205_Tarraleah_0.25m Bins")</f>
        <v>96418_TA-DC205_Tarraleah_0.25m Bins</v>
      </c>
      <c r="C5123" t="str">
        <f>HYPERLINK("http://www.corstruth.com.au/Tas/CSV/96418_TA-DC205_Tarraleah.csv","96418_TA-DC205_Tarraleah_CSV File 1m Bins")</f>
        <v>96418_TA-DC205_Tarraleah_CSV File 1m Bins</v>
      </c>
      <c r="D5123">
        <v>96418</v>
      </c>
      <c r="E5123" t="s">
        <v>3422</v>
      </c>
      <c r="F5123" t="str">
        <f>HYPERLINK("http://www.mrt.tas.gov.au/webdoc2/app/default/drilling_detail?id=96418","Geol Survey Link")</f>
        <v>Geol Survey Link</v>
      </c>
      <c r="G5123" t="s">
        <v>3459</v>
      </c>
      <c r="H5123" t="s">
        <v>3466</v>
      </c>
      <c r="I5123">
        <v>-42.261600000000001</v>
      </c>
      <c r="J5123">
        <v>146.268</v>
      </c>
    </row>
    <row r="5124" spans="1:11" x14ac:dyDescent="0.25">
      <c r="A5124" t="str">
        <f>HYPERLINK("http://www.corstruth.com.au/Tas/10229_Windermere_BH1_cs.png","10229_Windermere_BH1_A4")</f>
        <v>10229_Windermere_BH1_A4</v>
      </c>
      <c r="B5124" t="str">
        <f>HYPERLINK("http://www.corstruth.com.au/Tas/PNG2/10229_Windermere_BH1_cs.png","10229_Windermere_BH1_0.25m Bins")</f>
        <v>10229_Windermere_BH1_0.25m Bins</v>
      </c>
      <c r="C5124" t="str">
        <f>HYPERLINK("http://www.corstruth.com.au/Tas/CSV/10229_Windermere_BH1.csv","10229_Windermere_BH1_CSV File 1m Bins")</f>
        <v>10229_Windermere_BH1_CSV File 1m Bins</v>
      </c>
      <c r="D5124">
        <v>10229</v>
      </c>
      <c r="E5124" t="s">
        <v>3422</v>
      </c>
      <c r="F5124" t="str">
        <f>HYPERLINK("http://www.mrt.tas.gov.au/webdoc2/app/default/drilling_detail?id=10229","Geol Survey Link")</f>
        <v>Geol Survey Link</v>
      </c>
      <c r="G5124" t="s">
        <v>3459</v>
      </c>
      <c r="H5124" t="s">
        <v>3467</v>
      </c>
      <c r="I5124">
        <v>-41.306699999999999</v>
      </c>
      <c r="J5124">
        <v>147.012</v>
      </c>
      <c r="K5124" t="str">
        <f>HYPERLINK("http://www.mrt.tas.gov.au/NVCLDataServices/mosaic.html?datasetid=29a59f5a-7cb1-449e-b43c-b65279ffa39","10229_Windermere_BH1_Core Image")</f>
        <v>10229_Windermere_BH1_Core Image</v>
      </c>
    </row>
    <row r="5125" spans="1:11" x14ac:dyDescent="0.25">
      <c r="A5125" t="str">
        <f>HYPERLINK("http://www.corstruth.com.au/Tas/25872_MS2_cs.png","25872_MS2_A4")</f>
        <v>25872_MS2_A4</v>
      </c>
      <c r="B5125" t="str">
        <f>HYPERLINK("http://www.corstruth.com.au/Tas/PNG2/25872_MS2_cs.png","25872_MS2_0.25m Bins")</f>
        <v>25872_MS2_0.25m Bins</v>
      </c>
      <c r="C5125" t="str">
        <f>HYPERLINK("http://www.corstruth.com.au/Tas/CSV/25872_MS2.csv","25872_MS2_CSV File 1m Bins")</f>
        <v>25872_MS2_CSV File 1m Bins</v>
      </c>
      <c r="D5125">
        <v>25872</v>
      </c>
      <c r="E5125" t="s">
        <v>3422</v>
      </c>
      <c r="F5125" t="str">
        <f>HYPERLINK("http://www.mrt.tas.gov.au/webdoc2/app/default/drilling_detail?id=25872","Geol Survey Link")</f>
        <v>Geol Survey Link</v>
      </c>
      <c r="I5125">
        <v>0</v>
      </c>
      <c r="J5125">
        <v>0</v>
      </c>
      <c r="K5125" t="str">
        <f>HYPERLINK("http://www.mrt.tas.gov.au/NVCLDataServices/mosaic.html?datasetid=e4bc48e9-49f6-4be3-8d61-38fc805a518","25872_MS2_Core Image")</f>
        <v>25872_MS2_Core Image</v>
      </c>
    </row>
    <row r="5126" spans="1:11" x14ac:dyDescent="0.25">
      <c r="A5126" t="str">
        <f>HYPERLINK("http://www.corstruth.com.au/Tas/27312_NDDH0613_Savage_River_cs.png","27312_NDDH0613_Savage_River_A4")</f>
        <v>27312_NDDH0613_Savage_River_A4</v>
      </c>
      <c r="E5126" t="s">
        <v>3422</v>
      </c>
      <c r="F5126" t="str">
        <f>HYPERLINK("http://www.mrt.tas.gov.au/webdoc2/app/default/drilling_detail?id=","Geol Survey Link")</f>
        <v>Geol Survey Link</v>
      </c>
      <c r="I5126">
        <v>0</v>
      </c>
      <c r="J5126">
        <v>0</v>
      </c>
    </row>
    <row r="5127" spans="1:11" x14ac:dyDescent="0.25">
      <c r="A5127" t="str">
        <f>HYPERLINK("http://www.corstruth.com.au/Tas/27313_NDDH0505_Savage_River_cs.png","27313_NDDH0505_Savage_River_A4")</f>
        <v>27313_NDDH0505_Savage_River_A4</v>
      </c>
      <c r="E5127" t="s">
        <v>3422</v>
      </c>
      <c r="F5127" t="str">
        <f>HYPERLINK("http://www.mrt.tas.gov.au/webdoc2/app/default/drilling_detail?id=","Geol Survey Link")</f>
        <v>Geol Survey Link</v>
      </c>
      <c r="I5127">
        <v>0</v>
      </c>
      <c r="J5127">
        <v>0</v>
      </c>
    </row>
    <row r="5128" spans="1:11" x14ac:dyDescent="0.25">
      <c r="A5128" t="str">
        <f>HYPERLINK("http://www.corstruth.com.au/Tas/46053_Cadart1_NewCaledoniaGouaroProspect_cs.png","46053_Cadart1_NewCaledoniaGouaroProspect_A4")</f>
        <v>46053_Cadart1_NewCaledoniaGouaroProspect_A4</v>
      </c>
      <c r="B5128" t="str">
        <f>HYPERLINK("http://www.corstruth.com.au/Tas/PNG2/46053_Cadart1_NewCaledoniaGouaroProspect_cs.png","46053_Cadart1_NewCaledoniaGouaroProspect_0.25m Bins")</f>
        <v>46053_Cadart1_NewCaledoniaGouaroProspect_0.25m Bins</v>
      </c>
      <c r="C5128" t="str">
        <f>HYPERLINK("http://www.corstruth.com.au/Tas/CSV/46053_Cadart1_NewCaledoniaGouaroProspect.csv","46053_Cadart1_NewCaledoniaGouaroProspect_CSV File 1m Bins")</f>
        <v>46053_Cadart1_NewCaledoniaGouaroProspect_CSV File 1m Bins</v>
      </c>
      <c r="D5128">
        <v>46053</v>
      </c>
      <c r="E5128" t="s">
        <v>3422</v>
      </c>
      <c r="F5128" t="str">
        <f>HYPERLINK("http://www.mrt.tas.gov.au/webdoc2/app/default/drilling_detail?id=46053","Geol Survey Link")</f>
        <v>Geol Survey Link</v>
      </c>
      <c r="G5128" t="s">
        <v>3468</v>
      </c>
      <c r="H5128" t="s">
        <v>3469</v>
      </c>
      <c r="I5128">
        <v>0</v>
      </c>
      <c r="J5128">
        <v>0</v>
      </c>
      <c r="K5128" t="str">
        <f>HYPERLINK("http://www.mrt.tas.gov.au/NVCLDataServices/mosaic.html?datasetid=134ac39a-031d-462f-ba95-ee3a879f046","46053_Cadart1_NewCaledoniaGouaroProspect_Core Image")</f>
        <v>46053_Cadart1_NewCaledoniaGouaroProspect_Core Image</v>
      </c>
    </row>
    <row r="5129" spans="1:11" x14ac:dyDescent="0.25">
      <c r="A5129" t="str">
        <f>HYPERLINK("http://www.corstruth.com.au/Tas/68438_TCG-A01_cs.png","68438_TCG-A01_A4")</f>
        <v>68438_TCG-A01_A4</v>
      </c>
      <c r="B5129" t="str">
        <f>HYPERLINK("http://www.corstruth.com.au/Tas/PNG2/68438_TCG-A01_cs.png","68438_TCG-A01_0.25m Bins")</f>
        <v>68438_TCG-A01_0.25m Bins</v>
      </c>
      <c r="C5129" t="str">
        <f>HYPERLINK("http://www.corstruth.com.au/Tas/CSV/68438_TCG-A01.csv","68438_TCG-A01_CSV File 1m Bins")</f>
        <v>68438_TCG-A01_CSV File 1m Bins</v>
      </c>
      <c r="D5129">
        <v>68438</v>
      </c>
      <c r="E5129" t="s">
        <v>3422</v>
      </c>
      <c r="F5129" t="str">
        <f>HYPERLINK("http://www.mrt.tas.gov.au/webdoc2/app/default/drilling_detail?id=68438","Geol Survey Link")</f>
        <v>Geol Survey Link</v>
      </c>
      <c r="I5129">
        <v>0</v>
      </c>
      <c r="J5129">
        <v>0</v>
      </c>
      <c r="K5129" t="str">
        <f>HYPERLINK("http://www.mrt.tas.gov.au/NVCLDataServices/mosaic.html?datasetid=a88f729e-9968-4c77-9a76-6b6d17ecd4d","68438_TCG-A01_Core Image")</f>
        <v>68438_TCG-A01_Core Image</v>
      </c>
    </row>
    <row r="5130" spans="1:11" x14ac:dyDescent="0.25">
      <c r="A5130" t="str">
        <f>HYPERLINK("http://www.corstruth.com.au/Tas/68677_Maria_Island_East_1_cs.png","68677_Maria_Island_East_1_A4")</f>
        <v>68677_Maria_Island_East_1_A4</v>
      </c>
      <c r="B5130" t="str">
        <f>HYPERLINK("http://www.corstruth.com.au/Tas/PNG2/68677_Maria_Island_East_1_cs.png","68677_Maria_Island_East_1_0.25m Bins")</f>
        <v>68677_Maria_Island_East_1_0.25m Bins</v>
      </c>
      <c r="C5130" t="str">
        <f>HYPERLINK("http://www.corstruth.com.au/Tas/CSV/68677_Maria_Island_East_1.csv","68677_Maria_Island_East_1_CSV File 1m Bins")</f>
        <v>68677_Maria_Island_East_1_CSV File 1m Bins</v>
      </c>
      <c r="D5130">
        <v>68677</v>
      </c>
      <c r="E5130" t="s">
        <v>3422</v>
      </c>
      <c r="F5130" t="str">
        <f>HYPERLINK("http://www.mrt.tas.gov.au/webdoc2/app/default/drilling_detail?id=68677","Geol Survey Link")</f>
        <v>Geol Survey Link</v>
      </c>
      <c r="G5130" t="s">
        <v>3470</v>
      </c>
      <c r="H5130" t="s">
        <v>3471</v>
      </c>
      <c r="I5130">
        <v>0</v>
      </c>
      <c r="J5130">
        <v>0</v>
      </c>
      <c r="K5130" t="str">
        <f>HYPERLINK("http://www.mrt.tas.gov.au/NVCLDataServices/mosaic.html?datasetid=64898a0d-bee5-40dd-8d56-22ca6b3889c","68677_Maria_Island_East_1_Core Image")</f>
        <v>68677_Maria_Island_East_1_Core Image</v>
      </c>
    </row>
    <row r="5131" spans="1:11" x14ac:dyDescent="0.25">
      <c r="A5131" t="str">
        <f>HYPERLINK("http://www.corstruth.com.au/Tas/84907_BH2_cs.png","84907_BH2_A4")</f>
        <v>84907_BH2_A4</v>
      </c>
      <c r="B5131" t="str">
        <f>HYPERLINK("http://www.corstruth.com.au/Tas/PNG2/84907_BH2_cs.png","84907_BH2_0.25m Bins")</f>
        <v>84907_BH2_0.25m Bins</v>
      </c>
      <c r="C5131" t="str">
        <f>HYPERLINK("http://www.corstruth.com.au/Tas/CSV/84907_BH2.csv","84907_BH2_CSV File 1m Bins")</f>
        <v>84907_BH2_CSV File 1m Bins</v>
      </c>
      <c r="D5131">
        <v>84907</v>
      </c>
      <c r="E5131" t="s">
        <v>3422</v>
      </c>
      <c r="F5131" t="str">
        <f>HYPERLINK("http://www.mrt.tas.gov.au/webdoc2/app/default/drilling_detail?id=84907","Geol Survey Link")</f>
        <v>Geol Survey Link</v>
      </c>
      <c r="G5131" t="s">
        <v>3459</v>
      </c>
      <c r="H5131" t="s">
        <v>3472</v>
      </c>
      <c r="I5131">
        <v>0</v>
      </c>
      <c r="J5131">
        <v>0</v>
      </c>
      <c r="K5131" t="str">
        <f>HYPERLINK("http://www.mrt.tas.gov.au/NVCLDataServices/mosaic.html?datasetid=f355d10f-df08-46a2-8b83-9e0eb5780db","84907_BH2_Core Image")</f>
        <v>84907_BH2_Core Image</v>
      </c>
    </row>
    <row r="5132" spans="1:11" x14ac:dyDescent="0.25">
      <c r="A5132" t="str">
        <f>HYPERLINK("http://www.corstruth.com.au/Tas/84908_BH3_cs.png","84908_BH3_A4")</f>
        <v>84908_BH3_A4</v>
      </c>
      <c r="B5132" t="str">
        <f>HYPERLINK("http://www.corstruth.com.au/Tas/PNG2/84908_BH3_cs.png","84908_BH3_0.25m Bins")</f>
        <v>84908_BH3_0.25m Bins</v>
      </c>
      <c r="C5132" t="str">
        <f>HYPERLINK("http://www.corstruth.com.au/Tas/CSV/84908_BH3.csv","84908_BH3_CSV File 1m Bins")</f>
        <v>84908_BH3_CSV File 1m Bins</v>
      </c>
      <c r="D5132">
        <v>84908</v>
      </c>
      <c r="E5132" t="s">
        <v>3422</v>
      </c>
      <c r="F5132" t="str">
        <f>HYPERLINK("http://www.mrt.tas.gov.au/webdoc2/app/default/drilling_detail?id=84908","Geol Survey Link")</f>
        <v>Geol Survey Link</v>
      </c>
      <c r="G5132" t="s">
        <v>3459</v>
      </c>
      <c r="H5132" t="s">
        <v>3472</v>
      </c>
      <c r="I5132">
        <v>0</v>
      </c>
      <c r="J5132">
        <v>0</v>
      </c>
      <c r="K5132" t="str">
        <f>HYPERLINK("http://www.mrt.tas.gov.au/NVCLDataServices/mosaic.html?datasetid=e5f352a2-5a40-4cfc-bd68-548965c94ba","84908_BH3_Core Image")</f>
        <v>84908_BH3_Core Image</v>
      </c>
    </row>
    <row r="5133" spans="1:11" x14ac:dyDescent="0.25">
      <c r="A5133" t="str">
        <f>HYPERLINK("http://www.corstruth.com.au/Tas/44234_FPS1660_Renison_cs.png","44234_FPS1660_Renison_A4")</f>
        <v>44234_FPS1660_Renison_A4</v>
      </c>
      <c r="B5133" t="str">
        <f>HYPERLINK("http://www.corstruth.com.au/Tas/PNG2/44234_FPS1660_Renison_cs.png","44234_FPS1660_Renison_0.25m Bins")</f>
        <v>44234_FPS1660_Renison_0.25m Bins</v>
      </c>
      <c r="C5133" t="str">
        <f>HYPERLINK("http://www.corstruth.com.au/Tas/CSV/44234_FPS1660_Renison.csv","44234_FPS1660_Renison_CSV File 1m Bins")</f>
        <v>44234_FPS1660_Renison_CSV File 1m Bins</v>
      </c>
      <c r="D5133">
        <v>44234</v>
      </c>
      <c r="E5133" t="s">
        <v>3422</v>
      </c>
      <c r="F5133" t="str">
        <f>HYPERLINK("http://www.mrt.tas.gov.au/webdoc2/app/default/drilling_detail?id=44234","Geol Survey Link")</f>
        <v>Geol Survey Link</v>
      </c>
      <c r="G5133" t="s">
        <v>3473</v>
      </c>
      <c r="I5133">
        <v>-41.79</v>
      </c>
      <c r="J5133">
        <v>145.441</v>
      </c>
      <c r="K5133" t="str">
        <f>HYPERLINK("http://www.mrt.tas.gov.au/NVCLDataServices/mosaic.html?datasetid=25beab8a-f20b-44ec-8aef-e30ca4b097b","44234_FPS1660_Renison_Core Image")</f>
        <v>44234_FPS1660_Renison_Core Image</v>
      </c>
    </row>
    <row r="5134" spans="1:11" x14ac:dyDescent="0.25">
      <c r="A5134" t="str">
        <f>HYPERLINK("http://www.corstruth.com.au/Tas/44673_GLD001A_Mt_Lyell_cs.png","44673_GLD001A_Mt_Lyell_A4")</f>
        <v>44673_GLD001A_Mt_Lyell_A4</v>
      </c>
      <c r="B5134" t="str">
        <f>HYPERLINK("http://www.corstruth.com.au/Tas/PNG2/44673_GLD001A_Mt_Lyell_cs.png","44673_GLD001A_Mt_Lyell_0.25m Bins")</f>
        <v>44673_GLD001A_Mt_Lyell_0.25m Bins</v>
      </c>
      <c r="C5134" t="str">
        <f>HYPERLINK("http://www.corstruth.com.au/Tas/CSV/44673_GLD001A_Mt_Lyell.csv","44673_GLD001A_Mt_Lyell_CSV File 1m Bins")</f>
        <v>44673_GLD001A_Mt_Lyell_CSV File 1m Bins</v>
      </c>
      <c r="D5134">
        <v>44673</v>
      </c>
      <c r="E5134" t="s">
        <v>3422</v>
      </c>
      <c r="F5134" t="str">
        <f>HYPERLINK("http://www.mrt.tas.gov.au/webdoc2/app/default/drilling_detail?id=44673","Geol Survey Link")</f>
        <v>Geol Survey Link</v>
      </c>
      <c r="G5134" t="s">
        <v>3473</v>
      </c>
      <c r="I5134">
        <v>-42.070300000000003</v>
      </c>
      <c r="J5134">
        <v>145.58600000000001</v>
      </c>
    </row>
    <row r="5135" spans="1:11" x14ac:dyDescent="0.25">
      <c r="A5135" t="str">
        <f>HYPERLINK("http://www.corstruth.com.au/Tas/14665_BLHY1(MAC24)_Hellyer_cs.png","14665_BLHY1(MAC24)_Hellyer_A4")</f>
        <v>14665_BLHY1(MAC24)_Hellyer_A4</v>
      </c>
      <c r="D5135">
        <v>14665</v>
      </c>
      <c r="E5135" t="s">
        <v>3422</v>
      </c>
      <c r="F5135" t="str">
        <f>HYPERLINK("http://www.mrt.tas.gov.au/webdoc2/app/default/drilling_detail?id=14665","Geol Survey Link")</f>
        <v>Geol Survey Link</v>
      </c>
      <c r="G5135" t="s">
        <v>3473</v>
      </c>
      <c r="H5135" t="s">
        <v>3474</v>
      </c>
      <c r="I5135">
        <v>-41.5488</v>
      </c>
      <c r="J5135">
        <v>145.685</v>
      </c>
    </row>
    <row r="5136" spans="1:11" x14ac:dyDescent="0.25">
      <c r="A5136" t="str">
        <f>HYPERLINK("http://www.corstruth.com.au/Tas/9928_BRD01A_Bulgobac_cs.png","9928_BRD01A_Bulgobac_A4")</f>
        <v>9928_BRD01A_Bulgobac_A4</v>
      </c>
      <c r="B5136" t="str">
        <f>HYPERLINK("http://www.corstruth.com.au/Tas/PNG2/9928_BRD01A_Bulgobac_cs.png","9928_BRD01A_Bulgobac_0.25m Bins")</f>
        <v>9928_BRD01A_Bulgobac_0.25m Bins</v>
      </c>
      <c r="C5136" t="str">
        <f>HYPERLINK("http://www.corstruth.com.au/Tas/CSV/9928_BRD01A_Bulgobac.csv","9928_BRD01A_Bulgobac_CSV File 1m Bins")</f>
        <v>9928_BRD01A_Bulgobac_CSV File 1m Bins</v>
      </c>
      <c r="D5136">
        <v>9928</v>
      </c>
      <c r="E5136" t="s">
        <v>3422</v>
      </c>
      <c r="F5136" t="str">
        <f>HYPERLINK("http://www.mrt.tas.gov.au/webdoc2/app/default/drilling_detail?id=9928","Geol Survey Link")</f>
        <v>Geol Survey Link</v>
      </c>
      <c r="G5136" t="s">
        <v>3473</v>
      </c>
      <c r="H5136" t="s">
        <v>3475</v>
      </c>
      <c r="I5136">
        <v>-41.588700000000003</v>
      </c>
      <c r="J5136">
        <v>145.66999999999999</v>
      </c>
      <c r="K5136" t="str">
        <f>HYPERLINK("http://www.mrt.tas.gov.au/NVCLDataServices/mosaic.html?datasetid=c9b8905d-2f6f-433a-9a7e-4e4fd307ec4","9928_BRD01A_Bulgobac_Core Image")</f>
        <v>9928_BRD01A_Bulgobac_Core Image</v>
      </c>
    </row>
    <row r="5137" spans="1:11" x14ac:dyDescent="0.25">
      <c r="A5137" t="str">
        <f>HYPERLINK("http://www.corstruth.com.au/Tas/13358_BRD5_Bulgobac_River_cs.png","13358_BRD5_Bulgobac_River_A4")</f>
        <v>13358_BRD5_Bulgobac_River_A4</v>
      </c>
      <c r="B5137" t="str">
        <f>HYPERLINK("http://www.corstruth.com.au/Tas/PNG2/13358_BRD5_Bulgobac_River_cs.png","13358_BRD5_Bulgobac_River_0.25m Bins")</f>
        <v>13358_BRD5_Bulgobac_River_0.25m Bins</v>
      </c>
      <c r="C5137" t="str">
        <f>HYPERLINK("http://www.corstruth.com.au/Tas/CSV/13358_BRD5_Bulgobac_River.csv","13358_BRD5_Bulgobac_River_CSV File 1m Bins")</f>
        <v>13358_BRD5_Bulgobac_River_CSV File 1m Bins</v>
      </c>
      <c r="D5137">
        <v>13358</v>
      </c>
      <c r="E5137" t="s">
        <v>3422</v>
      </c>
      <c r="F5137" t="str">
        <f>HYPERLINK("http://www.mrt.tas.gov.au/webdoc2/app/default/drilling_detail?id=13358","Geol Survey Link")</f>
        <v>Geol Survey Link</v>
      </c>
      <c r="G5137" t="s">
        <v>3473</v>
      </c>
      <c r="H5137" t="s">
        <v>3476</v>
      </c>
      <c r="I5137">
        <v>-41.593899999999998</v>
      </c>
      <c r="J5137">
        <v>145.667</v>
      </c>
      <c r="K5137" t="str">
        <f>HYPERLINK("http://www.mrt.tas.gov.au/NVCLDataServices/mosaic.html?datasetid=dbd42802-bac2-4a96-8fce-7d17bc3934b","13358_BRD5_Bulgobac_River_Core Image")</f>
        <v>13358_BRD5_Bulgobac_River_Core Image</v>
      </c>
    </row>
    <row r="5138" spans="1:11" x14ac:dyDescent="0.25">
      <c r="A5138" t="str">
        <f>HYPERLINK("http://www.corstruth.com.au/Tas/6402_BRD003_Bulgobac_cs.png","6402_BRD003_Bulgobac_A4")</f>
        <v>6402_BRD003_Bulgobac_A4</v>
      </c>
      <c r="B5138" t="str">
        <f>HYPERLINK("http://www.corstruth.com.au/Tas/PNG2/6402_BRD003_Bulgobac_cs.png","6402_BRD003_Bulgobac_0.25m Bins")</f>
        <v>6402_BRD003_Bulgobac_0.25m Bins</v>
      </c>
      <c r="C5138" t="str">
        <f>HYPERLINK("http://www.corstruth.com.au/Tas/CSV/6402_BRD003_Bulgobac.csv","6402_BRD003_Bulgobac_CSV File 1m Bins")</f>
        <v>6402_BRD003_Bulgobac_CSV File 1m Bins</v>
      </c>
      <c r="D5138">
        <v>6402</v>
      </c>
      <c r="E5138" t="s">
        <v>3422</v>
      </c>
      <c r="F5138" t="str">
        <f>HYPERLINK("http://www.mrt.tas.gov.au/webdoc2/app/default/drilling_detail?id=6402","Geol Survey Link")</f>
        <v>Geol Survey Link</v>
      </c>
      <c r="G5138" t="s">
        <v>3473</v>
      </c>
      <c r="H5138" t="s">
        <v>3476</v>
      </c>
      <c r="I5138">
        <v>-41.5747</v>
      </c>
      <c r="J5138">
        <v>145.68100000000001</v>
      </c>
      <c r="K5138" t="str">
        <f>HYPERLINK("http://www.mrt.tas.gov.au/NVCLDataServices/mosaic.html?datasetid=5496a5ed-3f91-42e3-a9a5-e77b3959c5f","6402_BRD003_Bulgobac_Core Image")</f>
        <v>6402_BRD003_Bulgobac_Core Image</v>
      </c>
    </row>
    <row r="5139" spans="1:11" x14ac:dyDescent="0.25">
      <c r="A5139" t="str">
        <f>HYPERLINK("http://www.corstruth.com.au/Tas/11481_BPD68_Burns_Peak_cs.png","11481_BPD68_Burns_Peak_A4")</f>
        <v>11481_BPD68_Burns_Peak_A4</v>
      </c>
      <c r="B5139" t="str">
        <f>HYPERLINK("http://www.corstruth.com.au/Tas/PNG2/11481_BPD68_Burns_Peak_cs.png","11481_BPD68_Burns_Peak_0.25m Bins")</f>
        <v>11481_BPD68_Burns_Peak_0.25m Bins</v>
      </c>
      <c r="C5139" t="str">
        <f>HYPERLINK("http://www.corstruth.com.au/Tas/CSV/11481_BPD68_Burns_Peak.csv","11481_BPD68_Burns_Peak_CSV File 1m Bins")</f>
        <v>11481_BPD68_Burns_Peak_CSV File 1m Bins</v>
      </c>
      <c r="D5139">
        <v>11481</v>
      </c>
      <c r="E5139" t="s">
        <v>3422</v>
      </c>
      <c r="F5139" t="str">
        <f>HYPERLINK("http://www.mrt.tas.gov.au/webdoc2/app/default/drilling_detail?id=11481","Geol Survey Link")</f>
        <v>Geol Survey Link</v>
      </c>
      <c r="G5139" t="s">
        <v>3473</v>
      </c>
      <c r="H5139" t="s">
        <v>3477</v>
      </c>
      <c r="I5139">
        <v>-41.715899999999998</v>
      </c>
      <c r="J5139">
        <v>145.53399999999999</v>
      </c>
      <c r="K5139" t="str">
        <f>HYPERLINK("http://www.mrt.tas.gov.au/NVCLDataServices/mosaic.html?datasetid=d7a15242-f07c-4e4d-8d95-1562814cd6d","11481_BPD68_Burns_Peak_Core Image")</f>
        <v>11481_BPD68_Burns_Peak_Core Image</v>
      </c>
    </row>
    <row r="5140" spans="1:11" x14ac:dyDescent="0.25">
      <c r="A5140" t="str">
        <f>HYPERLINK("http://www.corstruth.com.au/Tas/32059_BPK008_Burns_Peak_cs.png","32059_BPK008_Burns_Peak_A4")</f>
        <v>32059_BPK008_Burns_Peak_A4</v>
      </c>
      <c r="B5140" t="str">
        <f>HYPERLINK("http://www.corstruth.com.au/Tas/PNG2/32059_BPK008_Burns_Peak_cs.png","32059_BPK008_Burns_Peak_0.25m Bins")</f>
        <v>32059_BPK008_Burns_Peak_0.25m Bins</v>
      </c>
      <c r="C5140" t="str">
        <f>HYPERLINK("http://www.corstruth.com.au/Tas/CSV/32059_BPK008_Burns_Peak.csv","32059_BPK008_Burns_Peak_CSV File 1m Bins")</f>
        <v>32059_BPK008_Burns_Peak_CSV File 1m Bins</v>
      </c>
      <c r="D5140">
        <v>32059</v>
      </c>
      <c r="E5140" t="s">
        <v>3422</v>
      </c>
      <c r="F5140" t="str">
        <f>HYPERLINK("http://www.mrt.tas.gov.au/webdoc2/app/default/drilling_detail?id=32059","Geol Survey Link")</f>
        <v>Geol Survey Link</v>
      </c>
      <c r="G5140" t="s">
        <v>3473</v>
      </c>
      <c r="H5140" t="s">
        <v>3477</v>
      </c>
      <c r="I5140">
        <v>-41.686500000000002</v>
      </c>
      <c r="J5140">
        <v>145.52699999999999</v>
      </c>
      <c r="K5140" t="str">
        <f>HYPERLINK("http://www.mrt.tas.gov.au/NVCLDataServices/mosaic.html?datasetid=7b86163e-4f3c-4100-8cde-d330ea847ff","32059_BPK008_Burns_Peak_Core Image")</f>
        <v>32059_BPK008_Burns_Peak_Core Image</v>
      </c>
    </row>
    <row r="5141" spans="1:11" x14ac:dyDescent="0.25">
      <c r="A5141" t="str">
        <f>HYPERLINK("http://www.corstruth.com.au/Tas/32061_BPK010_Burns_Peak_cs.png","32061_BPK010_Burns_Peak_A4")</f>
        <v>32061_BPK010_Burns_Peak_A4</v>
      </c>
      <c r="B5141" t="str">
        <f>HYPERLINK("http://www.corstruth.com.au/Tas/PNG2/32061_BPK010_Burns_Peak_cs.png","32061_BPK010_Burns_Peak_0.25m Bins")</f>
        <v>32061_BPK010_Burns_Peak_0.25m Bins</v>
      </c>
      <c r="C5141" t="str">
        <f>HYPERLINK("http://www.corstruth.com.au/Tas/CSV/32061_BPK010_Burns_Peak.csv","32061_BPK010_Burns_Peak_CSV File 1m Bins")</f>
        <v>32061_BPK010_Burns_Peak_CSV File 1m Bins</v>
      </c>
      <c r="D5141">
        <v>32061</v>
      </c>
      <c r="E5141" t="s">
        <v>3422</v>
      </c>
      <c r="F5141" t="str">
        <f>HYPERLINK("http://www.mrt.tas.gov.au/webdoc2/app/default/drilling_detail?id=32061","Geol Survey Link")</f>
        <v>Geol Survey Link</v>
      </c>
      <c r="G5141" t="s">
        <v>3473</v>
      </c>
      <c r="H5141" t="s">
        <v>3477</v>
      </c>
      <c r="I5141">
        <v>-41.686399999999999</v>
      </c>
      <c r="J5141">
        <v>145.52699999999999</v>
      </c>
      <c r="K5141" t="str">
        <f>HYPERLINK("http://www.mrt.tas.gov.au/NVCLDataServices/mosaic.html?datasetid=a4f79981-4b15-41d8-8dea-e5bcc70cf54","32061_BPK010_Burns_Peak_Core Image")</f>
        <v>32061_BPK010_Burns_Peak_Core Image</v>
      </c>
    </row>
    <row r="5142" spans="1:11" x14ac:dyDescent="0.25">
      <c r="A5142" t="str">
        <f>HYPERLINK("http://www.corstruth.com.au/Tas/32062_BPK011_Burns_Peak_cs.png","32062_BPK011_Burns_Peak_A4")</f>
        <v>32062_BPK011_Burns_Peak_A4</v>
      </c>
      <c r="B5142" t="str">
        <f>HYPERLINK("http://www.corstruth.com.au/Tas/PNG2/32062_BPK011_Burns_Peak_cs.png","32062_BPK011_Burns_Peak_0.25m Bins")</f>
        <v>32062_BPK011_Burns_Peak_0.25m Bins</v>
      </c>
      <c r="C5142" t="str">
        <f>HYPERLINK("http://www.corstruth.com.au/Tas/CSV/32062_BPK011_Burns_Peak.csv","32062_BPK011_Burns_Peak_CSV File 1m Bins")</f>
        <v>32062_BPK011_Burns_Peak_CSV File 1m Bins</v>
      </c>
      <c r="D5142">
        <v>32062</v>
      </c>
      <c r="E5142" t="s">
        <v>3422</v>
      </c>
      <c r="F5142" t="str">
        <f>HYPERLINK("http://www.mrt.tas.gov.au/webdoc2/app/default/drilling_detail?id=32062","Geol Survey Link")</f>
        <v>Geol Survey Link</v>
      </c>
      <c r="G5142" t="s">
        <v>3473</v>
      </c>
      <c r="H5142" t="s">
        <v>3477</v>
      </c>
      <c r="I5142">
        <v>-41.686399999999999</v>
      </c>
      <c r="J5142">
        <v>145.52699999999999</v>
      </c>
      <c r="K5142" t="str">
        <f>HYPERLINK("http://www.mrt.tas.gov.au/NVCLDataServices/mosaic.html?datasetid=b43f1821-a5c2-4123-ab91-a9ea3f8d99c","32062_BPK011_Burns_Peak_Core Image")</f>
        <v>32062_BPK011_Burns_Peak_Core Image</v>
      </c>
    </row>
    <row r="5143" spans="1:11" x14ac:dyDescent="0.25">
      <c r="A5143" t="str">
        <f>HYPERLINK("http://www.corstruth.com.au/Tas/32064_BPK013_Burns_Peak_cs.png","32064_BPK013_Burns_Peak_A4")</f>
        <v>32064_BPK013_Burns_Peak_A4</v>
      </c>
      <c r="B5143" t="str">
        <f>HYPERLINK("http://www.corstruth.com.au/Tas/PNG2/32064_BPK013_Burns_Peak_cs.png","32064_BPK013_Burns_Peak_0.25m Bins")</f>
        <v>32064_BPK013_Burns_Peak_0.25m Bins</v>
      </c>
      <c r="C5143" t="str">
        <f>HYPERLINK("http://www.corstruth.com.au/Tas/CSV/32064_BPK013_Burns_Peak.csv","32064_BPK013_Burns_Peak_CSV File 1m Bins")</f>
        <v>32064_BPK013_Burns_Peak_CSV File 1m Bins</v>
      </c>
      <c r="D5143">
        <v>32064</v>
      </c>
      <c r="E5143" t="s">
        <v>3422</v>
      </c>
      <c r="F5143" t="str">
        <f>HYPERLINK("http://www.mrt.tas.gov.au/webdoc2/app/default/drilling_detail?id=32064","Geol Survey Link")</f>
        <v>Geol Survey Link</v>
      </c>
      <c r="G5143" t="s">
        <v>3473</v>
      </c>
      <c r="H5143" t="s">
        <v>3477</v>
      </c>
      <c r="I5143">
        <v>-41.686399999999999</v>
      </c>
      <c r="J5143">
        <v>145.52699999999999</v>
      </c>
      <c r="K5143" t="str">
        <f>HYPERLINK("http://www.mrt.tas.gov.au/NVCLDataServices/mosaic.html?datasetid=77a42d08-ee8f-4856-8fbb-713f55b02f3","32064_BPK013_Burns_Peak_Core Image")</f>
        <v>32064_BPK013_Burns_Peak_Core Image</v>
      </c>
    </row>
    <row r="5144" spans="1:11" x14ac:dyDescent="0.25">
      <c r="A5144" t="str">
        <f>HYPERLINK("http://www.corstruth.com.au/Tas/8694_EAF-16_Burns_Peak_Pinnacles_cs.png","8694_EAF-16_Burns_Peak_Pinnacles_A4")</f>
        <v>8694_EAF-16_Burns_Peak_Pinnacles_A4</v>
      </c>
      <c r="B5144" t="str">
        <f>HYPERLINK("http://www.corstruth.com.au/Tas/PNG2/8694_EAF-16_Burns_Peak_Pinnacles_cs.png","8694_EAF-16_Burns_Peak_Pinnacles_0.25m Bins")</f>
        <v>8694_EAF-16_Burns_Peak_Pinnacles_0.25m Bins</v>
      </c>
      <c r="C5144" t="str">
        <f>HYPERLINK("http://www.corstruth.com.au/Tas/CSV/8694_EAF-16_Burns_Peak_Pinnacles.csv","8694_EAF-16_Burns_Peak_Pinnacles_CSV File 1m Bins")</f>
        <v>8694_EAF-16_Burns_Peak_Pinnacles_CSV File 1m Bins</v>
      </c>
      <c r="D5144">
        <v>8694</v>
      </c>
      <c r="E5144" t="s">
        <v>3422</v>
      </c>
      <c r="F5144" t="str">
        <f>HYPERLINK("http://www.mrt.tas.gov.au/webdoc2/app/default/drilling_detail?id=8694","Geol Survey Link")</f>
        <v>Geol Survey Link</v>
      </c>
      <c r="G5144" t="s">
        <v>3473</v>
      </c>
      <c r="H5144" t="s">
        <v>3478</v>
      </c>
      <c r="I5144">
        <v>-41.682400000000001</v>
      </c>
      <c r="J5144">
        <v>145.52799999999999</v>
      </c>
      <c r="K5144" t="str">
        <f>HYPERLINK("http://www.mrt.tas.gov.au/NVCLDataServices/mosaic.html?datasetid=e5f21b25-c23b-46b0-969e-ff893a8caf2","8694_EAF-16_Burns_Peak_Pinnacles_Core Image")</f>
        <v>8694_EAF-16_Burns_Peak_Pinnacles_Core Image</v>
      </c>
    </row>
    <row r="5145" spans="1:11" x14ac:dyDescent="0.25">
      <c r="A5145" t="str">
        <f>HYPERLINK("http://www.corstruth.com.au/Tas/25637_CETD1_Cethana_cs.png","25637_CETD1_Cethana_A4")</f>
        <v>25637_CETD1_Cethana_A4</v>
      </c>
      <c r="B5145" t="str">
        <f>HYPERLINK("http://www.corstruth.com.au/Tas/PNG2/25637_CETD1_Cethana_cs.png","25637_CETD1_Cethana_0.25m Bins")</f>
        <v>25637_CETD1_Cethana_0.25m Bins</v>
      </c>
      <c r="C5145" t="str">
        <f>HYPERLINK("http://www.corstruth.com.au/Tas/CSV/25637_CETD1_Cethana.csv","25637_CETD1_Cethana_CSV File 1m Bins")</f>
        <v>25637_CETD1_Cethana_CSV File 1m Bins</v>
      </c>
      <c r="D5145">
        <v>25637</v>
      </c>
      <c r="E5145" t="s">
        <v>3422</v>
      </c>
      <c r="F5145" t="str">
        <f>HYPERLINK("http://www.mrt.tas.gov.au/webdoc2/app/default/drilling_detail?id=25637","Geol Survey Link")</f>
        <v>Geol Survey Link</v>
      </c>
      <c r="G5145" t="s">
        <v>3473</v>
      </c>
      <c r="H5145" t="s">
        <v>3479</v>
      </c>
      <c r="I5145">
        <v>-41.527200000000001</v>
      </c>
      <c r="J5145">
        <v>146.13399999999999</v>
      </c>
      <c r="K5145" t="str">
        <f>HYPERLINK("http://www.mrt.tas.gov.au/NVCLDataServices/mosaic.html?datasetid=2675c4ef-9ed8-465f-b83f-215b6074c5a","25637_CETD1_Cethana_Core Image")</f>
        <v>25637_CETD1_Cethana_Core Image</v>
      </c>
    </row>
    <row r="5146" spans="1:11" x14ac:dyDescent="0.25">
      <c r="A5146" t="str">
        <f>HYPERLINK("http://www.corstruth.com.au/Tas/29536_CETD4_Cethana_cs.png","29536_CETD4_Cethana_A4")</f>
        <v>29536_CETD4_Cethana_A4</v>
      </c>
      <c r="B5146" t="str">
        <f>HYPERLINK("http://www.corstruth.com.au/Tas/PNG2/29536_CETD4_Cethana_cs.png","29536_CETD4_Cethana_0.25m Bins")</f>
        <v>29536_CETD4_Cethana_0.25m Bins</v>
      </c>
      <c r="C5146" t="str">
        <f>HYPERLINK("http://www.corstruth.com.au/Tas/CSV/29536_CETD4_Cethana.csv","29536_CETD4_Cethana_CSV File 1m Bins")</f>
        <v>29536_CETD4_Cethana_CSV File 1m Bins</v>
      </c>
      <c r="D5146">
        <v>29536</v>
      </c>
      <c r="E5146" t="s">
        <v>3422</v>
      </c>
      <c r="F5146" t="str">
        <f>HYPERLINK("http://www.mrt.tas.gov.au/webdoc2/app/default/drilling_detail?id=29536","Geol Survey Link")</f>
        <v>Geol Survey Link</v>
      </c>
      <c r="G5146" t="s">
        <v>3473</v>
      </c>
      <c r="H5146" t="s">
        <v>3479</v>
      </c>
      <c r="I5146">
        <v>-41.524099999999997</v>
      </c>
      <c r="J5146">
        <v>146.13499999999999</v>
      </c>
      <c r="K5146" t="str">
        <f>HYPERLINK("http://www.mrt.tas.gov.au/NVCLDataServices/mosaic.html?datasetid=70fa590b-069b-4112-8955-5c72a043675","29536_CETD4_Cethana_Core Image")</f>
        <v>29536_CETD4_Cethana_Core Image</v>
      </c>
    </row>
    <row r="5147" spans="1:11" x14ac:dyDescent="0.25">
      <c r="A5147" t="str">
        <f>HYPERLINK("http://www.corstruth.com.au/Tas/89116_CE_BH03_Cethana_cs.png","89116_CE_BH03_Cethana_A4")</f>
        <v>89116_CE_BH03_Cethana_A4</v>
      </c>
      <c r="B5147" t="str">
        <f>HYPERLINK("http://www.corstruth.com.au/Tas/PNG2/89116_CE_BH03_Cethana_cs.png","89116_CE_BH03_Cethana_0.25m Bins")</f>
        <v>89116_CE_BH03_Cethana_0.25m Bins</v>
      </c>
      <c r="C5147" t="str">
        <f>HYPERLINK("http://www.corstruth.com.au/Tas/CSV/89116_CE_BH03_Cethana.csv","89116_CE_BH03_Cethana_CSV File 1m Bins")</f>
        <v>89116_CE_BH03_Cethana_CSV File 1m Bins</v>
      </c>
      <c r="D5147">
        <v>89116</v>
      </c>
      <c r="E5147" t="s">
        <v>3422</v>
      </c>
      <c r="F5147" t="str">
        <f>HYPERLINK("http://www.mrt.tas.gov.au/webdoc2/app/default/drilling_detail?id=89116","Geol Survey Link")</f>
        <v>Geol Survey Link</v>
      </c>
      <c r="G5147" t="s">
        <v>3473</v>
      </c>
      <c r="H5147" t="s">
        <v>3479</v>
      </c>
      <c r="I5147">
        <v>-41.495800000000003</v>
      </c>
      <c r="J5147">
        <v>146.096</v>
      </c>
    </row>
    <row r="5148" spans="1:11" x14ac:dyDescent="0.25">
      <c r="A5148" t="str">
        <f>HYPERLINK("http://www.corstruth.com.au/Tas/8659_CP3_cs.png","8659_CP3_A4")</f>
        <v>8659_CP3_A4</v>
      </c>
      <c r="B5148" t="str">
        <f>HYPERLINK("http://www.corstruth.com.au/Tas/PNG2/8659_CP3_cs.png","8659_CP3_0.25m Bins")</f>
        <v>8659_CP3_0.25m Bins</v>
      </c>
      <c r="C5148" t="str">
        <f>HYPERLINK("http://www.corstruth.com.au/Tas/CSV/8659_CP3.csv","8659_CP3_CSV File 1m Bins")</f>
        <v>8659_CP3_CSV File 1m Bins</v>
      </c>
      <c r="D5148">
        <v>8659</v>
      </c>
      <c r="E5148" t="s">
        <v>3422</v>
      </c>
      <c r="F5148" t="str">
        <f>HYPERLINK("http://www.mrt.tas.gov.au/webdoc2/app/default/drilling_detail?id=8659","Geol Survey Link")</f>
        <v>Geol Survey Link</v>
      </c>
      <c r="G5148" t="s">
        <v>3473</v>
      </c>
      <c r="H5148" t="s">
        <v>3480</v>
      </c>
      <c r="I5148">
        <v>-41.717399999999998</v>
      </c>
      <c r="J5148">
        <v>145.53200000000001</v>
      </c>
      <c r="K5148" t="str">
        <f>HYPERLINK("http://www.mrt.tas.gov.au/NVCLDataServices/mosaic.html?datasetid=d1bd2286-73d0-4551-9852-0820acbecae","8659_CP3_Core Image")</f>
        <v>8659_CP3_Core Image</v>
      </c>
    </row>
    <row r="5149" spans="1:11" x14ac:dyDescent="0.25">
      <c r="A5149" t="str">
        <f>HYPERLINK("http://www.corstruth.com.au/Tas/8660_CP4_cs.png","8660_CP4_A4")</f>
        <v>8660_CP4_A4</v>
      </c>
      <c r="B5149" t="str">
        <f>HYPERLINK("http://www.corstruth.com.au/Tas/PNG2/8660_CP4_cs.png","8660_CP4_0.25m Bins")</f>
        <v>8660_CP4_0.25m Bins</v>
      </c>
      <c r="C5149" t="str">
        <f>HYPERLINK("http://www.corstruth.com.au/Tas/CSV/8660_CP4.csv","8660_CP4_CSV File 1m Bins")</f>
        <v>8660_CP4_CSV File 1m Bins</v>
      </c>
      <c r="D5149">
        <v>8660</v>
      </c>
      <c r="E5149" t="s">
        <v>3422</v>
      </c>
      <c r="F5149" t="str">
        <f>HYPERLINK("http://www.mrt.tas.gov.au/webdoc2/app/default/drilling_detail?id=8660","Geol Survey Link")</f>
        <v>Geol Survey Link</v>
      </c>
      <c r="G5149" t="s">
        <v>3473</v>
      </c>
      <c r="H5149" t="s">
        <v>3480</v>
      </c>
      <c r="I5149">
        <v>-41.7196</v>
      </c>
      <c r="J5149">
        <v>145.53899999999999</v>
      </c>
      <c r="K5149" t="str">
        <f>HYPERLINK("http://www.mrt.tas.gov.au/NVCLDataServices/mosaic.html?datasetid=f4143f86-43a7-4fa1-983d-c225dbebde9","8660_CP4_Core Image")</f>
        <v>8660_CP4_Core Image</v>
      </c>
    </row>
    <row r="5150" spans="1:11" x14ac:dyDescent="0.25">
      <c r="A5150" t="str">
        <f>HYPERLINK("http://www.corstruth.com.au/Tas/8662_CP6_cs.png","8662_CP6_A4")</f>
        <v>8662_CP6_A4</v>
      </c>
      <c r="B5150" t="str">
        <f>HYPERLINK("http://www.corstruth.com.au/Tas/PNG2/8662_CP6_cs.png","8662_CP6_0.25m Bins")</f>
        <v>8662_CP6_0.25m Bins</v>
      </c>
      <c r="C5150" t="str">
        <f>HYPERLINK("http://www.corstruth.com.au/Tas/CSV/8662_CP6.csv","8662_CP6_CSV File 1m Bins")</f>
        <v>8662_CP6_CSV File 1m Bins</v>
      </c>
      <c r="D5150">
        <v>8662</v>
      </c>
      <c r="E5150" t="s">
        <v>3422</v>
      </c>
      <c r="F5150" t="str">
        <f>HYPERLINK("http://www.mrt.tas.gov.au/webdoc2/app/default/drilling_detail?id=8662","Geol Survey Link")</f>
        <v>Geol Survey Link</v>
      </c>
      <c r="G5150" t="s">
        <v>3473</v>
      </c>
      <c r="H5150" t="s">
        <v>3480</v>
      </c>
      <c r="I5150">
        <v>-41.714300000000001</v>
      </c>
      <c r="J5150">
        <v>145.54</v>
      </c>
      <c r="K5150" t="str">
        <f>HYPERLINK("http://www.mrt.tas.gov.au/NVCLDataServices/mosaic.html?datasetid=f79fb453-11d9-492b-b2b5-402ff599a46","8662_CP6_Core Image")</f>
        <v>8662_CP6_Core Image</v>
      </c>
    </row>
    <row r="5151" spans="1:11" x14ac:dyDescent="0.25">
      <c r="A5151" t="str">
        <f>HYPERLINK("http://www.corstruth.com.au/Tas/8665_CP17_Chester_cs.png","8665_CP17_Chester_A4")</f>
        <v>8665_CP17_Chester_A4</v>
      </c>
      <c r="B5151" t="str">
        <f>HYPERLINK("http://www.corstruth.com.au/Tas/PNG2/8665_CP17_Chester_cs.png","8665_CP17_Chester_0.25m Bins")</f>
        <v>8665_CP17_Chester_0.25m Bins</v>
      </c>
      <c r="C5151" t="str">
        <f>HYPERLINK("http://www.corstruth.com.au/Tas/CSV/8665_CP17_Chester.csv","8665_CP17_Chester_CSV File 1m Bins")</f>
        <v>8665_CP17_Chester_CSV File 1m Bins</v>
      </c>
      <c r="D5151">
        <v>8665</v>
      </c>
      <c r="E5151" t="s">
        <v>3422</v>
      </c>
      <c r="F5151" t="str">
        <f>HYPERLINK("http://www.mrt.tas.gov.au/webdoc2/app/default/drilling_detail?id=8665","Geol Survey Link")</f>
        <v>Geol Survey Link</v>
      </c>
      <c r="G5151" t="s">
        <v>3473</v>
      </c>
      <c r="H5151" t="s">
        <v>3480</v>
      </c>
      <c r="I5151">
        <v>-41.718499999999999</v>
      </c>
      <c r="J5151">
        <v>145.53800000000001</v>
      </c>
    </row>
    <row r="5152" spans="1:11" x14ac:dyDescent="0.25">
      <c r="A5152" t="str">
        <f>HYPERLINK("http://www.corstruth.com.au/Tas/87526_SCD001_cs.png","87526_SCD001_A4")</f>
        <v>87526_SCD001_A4</v>
      </c>
      <c r="B5152" t="str">
        <f>HYPERLINK("http://www.corstruth.com.au/Tas/PNG2/87526_SCD001_cs.png","87526_SCD001_0.25m Bins")</f>
        <v>87526_SCD001_0.25m Bins</v>
      </c>
      <c r="C5152" t="str">
        <f>HYPERLINK("http://www.corstruth.com.au/Tas/CSV/87526_SCD001.csv","87526_SCD001_CSV File 1m Bins")</f>
        <v>87526_SCD001_CSV File 1m Bins</v>
      </c>
      <c r="D5152">
        <v>87526</v>
      </c>
      <c r="E5152" t="s">
        <v>3422</v>
      </c>
      <c r="F5152" t="str">
        <f>HYPERLINK("http://www.mrt.tas.gov.au/webdoc2/app/default/drilling_detail?id=87526","Geol Survey Link")</f>
        <v>Geol Survey Link</v>
      </c>
      <c r="G5152" t="s">
        <v>3473</v>
      </c>
      <c r="H5152" t="s">
        <v>3446</v>
      </c>
      <c r="I5152">
        <v>-41.888599999999997</v>
      </c>
      <c r="J5152">
        <v>145.446</v>
      </c>
    </row>
    <row r="5153" spans="1:11" x14ac:dyDescent="0.25">
      <c r="A5153" t="str">
        <f>HYPERLINK("http://www.corstruth.com.au/Tas/35819_CCD007_Lyell_Comstock_cs.png","35819_CCD007_Lyell_Comstock_A4")</f>
        <v>35819_CCD007_Lyell_Comstock_A4</v>
      </c>
      <c r="B5153" t="str">
        <f>HYPERLINK("http://www.corstruth.com.au/Tas/PNG2/35819_CCD007_Lyell_Comstock_cs.png","35819_CCD007_Lyell_Comstock_0.25m Bins")</f>
        <v>35819_CCD007_Lyell_Comstock_0.25m Bins</v>
      </c>
      <c r="C5153" t="str">
        <f>HYPERLINK("http://www.corstruth.com.au/Tas/CSV/35819_CCD007_Lyell_Comstock.csv","35819_CCD007_Lyell_Comstock_CSV File 1m Bins")</f>
        <v>35819_CCD007_Lyell_Comstock_CSV File 1m Bins</v>
      </c>
      <c r="D5153">
        <v>35819</v>
      </c>
      <c r="E5153" t="s">
        <v>3422</v>
      </c>
      <c r="F5153" t="str">
        <f>HYPERLINK("http://www.mrt.tas.gov.au/webdoc2/app/default/drilling_detail?id=35819","Geol Survey Link")</f>
        <v>Geol Survey Link</v>
      </c>
      <c r="G5153" t="s">
        <v>3473</v>
      </c>
      <c r="H5153" t="s">
        <v>3481</v>
      </c>
      <c r="I5153">
        <v>-42.033499999999997</v>
      </c>
      <c r="J5153">
        <v>145.59</v>
      </c>
    </row>
    <row r="5154" spans="1:11" x14ac:dyDescent="0.25">
      <c r="A5154" t="str">
        <f>HYPERLINK("http://www.corstruth.com.au/Tas/44273_DD12CMT002_Comstock_cs.png","44273_DD12CMT002_Comstock_A4")</f>
        <v>44273_DD12CMT002_Comstock_A4</v>
      </c>
      <c r="B5154" t="str">
        <f>HYPERLINK("http://www.corstruth.com.au/Tas/PNG2/44273_DD12CMT002_Comstock_cs.png","44273_DD12CMT002_Comstock_0.25m Bins")</f>
        <v>44273_DD12CMT002_Comstock_0.25m Bins</v>
      </c>
      <c r="C5154" t="str">
        <f>HYPERLINK("http://www.corstruth.com.au/Tas/CSV/44273_DD12CMT002_Comstock.csv","44273_DD12CMT002_Comstock_CSV File 1m Bins")</f>
        <v>44273_DD12CMT002_Comstock_CSV File 1m Bins</v>
      </c>
      <c r="D5154">
        <v>44273</v>
      </c>
      <c r="E5154" t="s">
        <v>3422</v>
      </c>
      <c r="F5154" t="str">
        <f>HYPERLINK("http://www.mrt.tas.gov.au/webdoc2/app/default/drilling_detail?id=44273","Geol Survey Link")</f>
        <v>Geol Survey Link</v>
      </c>
      <c r="G5154" t="s">
        <v>3473</v>
      </c>
      <c r="H5154" t="s">
        <v>3481</v>
      </c>
      <c r="I5154">
        <v>-42.035600000000002</v>
      </c>
      <c r="J5154">
        <v>145.59299999999999</v>
      </c>
      <c r="K5154" t="str">
        <f>HYPERLINK("http://www.mrt.tas.gov.au/NVCLDataServices/mosaic.html?datasetid=90f1151b-17ba-4727-a314-d6f660d8295","44273_DD12CMT002_Comstock_Core Image")</f>
        <v>44273_DD12CMT002_Comstock_Core Image</v>
      </c>
    </row>
    <row r="5155" spans="1:11" x14ac:dyDescent="0.25">
      <c r="A5155" t="str">
        <f>HYPERLINK("http://www.corstruth.com.au/Tas/29032_SCDDH4_SulphideCk_cs.png","29032_SCDDH4_SulphideCk_A4")</f>
        <v>29032_SCDDH4_SulphideCk_A4</v>
      </c>
      <c r="B5155" t="str">
        <f>HYPERLINK("http://www.corstruth.com.au/Tas/PNG2/29032_SCDDH4_SulphideCk_cs.png","29032_SCDDH4_SulphideCk_0.25m Bins")</f>
        <v>29032_SCDDH4_SulphideCk_0.25m Bins</v>
      </c>
      <c r="C5155" t="str">
        <f>HYPERLINK("http://www.corstruth.com.au/Tas/CSV/29032_SCDDH4_SulphideCk.csv","29032_SCDDH4_SulphideCk_CSV File 1m Bins")</f>
        <v>29032_SCDDH4_SulphideCk_CSV File 1m Bins</v>
      </c>
      <c r="D5155">
        <v>29032</v>
      </c>
      <c r="E5155" t="s">
        <v>3422</v>
      </c>
      <c r="F5155" t="str">
        <f>HYPERLINK("http://www.mrt.tas.gov.au/webdoc2/app/default/drilling_detail?id=29032","Geol Survey Link")</f>
        <v>Geol Survey Link</v>
      </c>
      <c r="G5155" t="s">
        <v>3473</v>
      </c>
      <c r="H5155" t="s">
        <v>3482</v>
      </c>
      <c r="I5155">
        <v>-42.113599999999998</v>
      </c>
      <c r="J5155">
        <v>145.49799999999999</v>
      </c>
      <c r="K5155" t="str">
        <f>HYPERLINK("http://www.mrt.tas.gov.au/NVCLDataServices/mosaic.html?datasetid=ce4f0743-2001-4185-93aa-322652bfd52","29032_SCDDH4_SulphideCk_Core Image")</f>
        <v>29032_SCDDH4_SulphideCk_Core Image</v>
      </c>
    </row>
    <row r="5156" spans="1:11" x14ac:dyDescent="0.25">
      <c r="A5156" t="str">
        <f>HYPERLINK("http://www.corstruth.com.au/Tas/29033_SCDDH5_SulphideCk_cs.png","29033_SCDDH5_SulphideCk_A4")</f>
        <v>29033_SCDDH5_SulphideCk_A4</v>
      </c>
      <c r="B5156" t="str">
        <f>HYPERLINK("http://www.corstruth.com.au/Tas/PNG2/29033_SCDDH5_SulphideCk_cs.png","29033_SCDDH5_SulphideCk_0.25m Bins")</f>
        <v>29033_SCDDH5_SulphideCk_0.25m Bins</v>
      </c>
      <c r="C5156" t="str">
        <f>HYPERLINK("http://www.corstruth.com.au/Tas/CSV/29033_SCDDH5_SulphideCk.csv","29033_SCDDH5_SulphideCk_CSV File 1m Bins")</f>
        <v>29033_SCDDH5_SulphideCk_CSV File 1m Bins</v>
      </c>
      <c r="D5156">
        <v>29033</v>
      </c>
      <c r="E5156" t="s">
        <v>3422</v>
      </c>
      <c r="F5156" t="str">
        <f>HYPERLINK("http://www.mrt.tas.gov.au/webdoc2/app/default/drilling_detail?id=29033","Geol Survey Link")</f>
        <v>Geol Survey Link</v>
      </c>
      <c r="G5156" t="s">
        <v>3473</v>
      </c>
      <c r="H5156" t="s">
        <v>3482</v>
      </c>
      <c r="I5156">
        <v>-42.113599999999998</v>
      </c>
      <c r="J5156">
        <v>145.49799999999999</v>
      </c>
      <c r="K5156" t="str">
        <f>HYPERLINK("http://www.mrt.tas.gov.au/NVCLDataServices/mosaic.html?datasetid=f419714b-08fa-43a4-8bb0-949483a797e","29033_SCDDH5_SulphideCk_Core Image")</f>
        <v>29033_SCDDH5_SulphideCk_Core Image</v>
      </c>
    </row>
    <row r="5157" spans="1:11" x14ac:dyDescent="0.25">
      <c r="A5157" t="str">
        <f>HYPERLINK("http://www.corstruth.com.au/Tas/38133_DDDC01_Discovery_Creek_cs.png","38133_DDDC01_Discovery_Creek_A4")</f>
        <v>38133_DDDC01_Discovery_Creek_A4</v>
      </c>
      <c r="B5157" t="str">
        <f>HYPERLINK("http://www.corstruth.com.au/Tas/PNG2/38133_DDDC01_Discovery_Creek_cs.png","38133_DDDC01_Discovery_Creek_0.25m Bins")</f>
        <v>38133_DDDC01_Discovery_Creek_0.25m Bins</v>
      </c>
      <c r="C5157" t="str">
        <f>HYPERLINK("http://www.corstruth.com.au/Tas/CSV/38133_DDDC01_Discovery_Creek.csv","38133_DDDC01_Discovery_Creek_CSV File 1m Bins")</f>
        <v>38133_DDDC01_Discovery_Creek_CSV File 1m Bins</v>
      </c>
      <c r="D5157">
        <v>38133</v>
      </c>
      <c r="E5157" t="s">
        <v>3422</v>
      </c>
      <c r="F5157" t="str">
        <f>HYPERLINK("http://www.mrt.tas.gov.au/webdoc2/app/default/drilling_detail?id=38133","Geol Survey Link")</f>
        <v>Geol Survey Link</v>
      </c>
      <c r="G5157" t="s">
        <v>3473</v>
      </c>
      <c r="H5157" t="s">
        <v>3483</v>
      </c>
      <c r="I5157">
        <v>-42.8703</v>
      </c>
      <c r="J5157">
        <v>145.602</v>
      </c>
    </row>
    <row r="5158" spans="1:11" x14ac:dyDescent="0.25">
      <c r="A5158" t="str">
        <f>HYPERLINK("http://www.corstruth.com.au/Tas/38159_DDDC02_Discovery_Creek_cs.png","38159_DDDC02_Discovery_Creek_A4")</f>
        <v>38159_DDDC02_Discovery_Creek_A4</v>
      </c>
      <c r="B5158" t="str">
        <f>HYPERLINK("http://www.corstruth.com.au/Tas/PNG2/38159_DDDC02_Discovery_Creek_cs.png","38159_DDDC02_Discovery_Creek_0.25m Bins")</f>
        <v>38159_DDDC02_Discovery_Creek_0.25m Bins</v>
      </c>
      <c r="C5158" t="str">
        <f>HYPERLINK("http://www.corstruth.com.au/Tas/CSV/38159_DDDC02_Discovery_Creek.csv","38159_DDDC02_Discovery_Creek_CSV File 1m Bins")</f>
        <v>38159_DDDC02_Discovery_Creek_CSV File 1m Bins</v>
      </c>
      <c r="D5158">
        <v>38159</v>
      </c>
      <c r="E5158" t="s">
        <v>3422</v>
      </c>
      <c r="F5158" t="str">
        <f>HYPERLINK("http://www.mrt.tas.gov.au/webdoc2/app/default/drilling_detail?id=38159","Geol Survey Link")</f>
        <v>Geol Survey Link</v>
      </c>
      <c r="G5158" t="s">
        <v>3473</v>
      </c>
      <c r="H5158" t="s">
        <v>3483</v>
      </c>
      <c r="I5158">
        <v>-42.8703</v>
      </c>
      <c r="J5158">
        <v>145.602</v>
      </c>
      <c r="K5158" t="str">
        <f>HYPERLINK("http://www.mrt.tas.gov.au/NVCLDataServices/mosaic.html?datasetid=7befe91b-1c88-46db-896c-eb3bb6a8e90","38159_DDDC02_Discovery_Creek_Core Image")</f>
        <v>38159_DDDC02_Discovery_Creek_Core Image</v>
      </c>
    </row>
    <row r="5159" spans="1:11" x14ac:dyDescent="0.25">
      <c r="A5159" t="str">
        <f>HYPERLINK("http://www.corstruth.com.au/Tas/5433_KH-9_cs.png","5433_KH-9_A4")</f>
        <v>5433_KH-9_A4</v>
      </c>
      <c r="B5159" t="str">
        <f>HYPERLINK("http://www.corstruth.com.au/Tas/PNG2/5433_KH-9_cs.png","5433_KH-9_0.25m Bins")</f>
        <v>5433_KH-9_0.25m Bins</v>
      </c>
      <c r="C5159" t="str">
        <f>HYPERLINK("http://www.corstruth.com.au/Tas/CSV/5433_KH-9.csv","5433_KH-9_CSV File 1m Bins")</f>
        <v>5433_KH-9_CSV File 1m Bins</v>
      </c>
      <c r="D5159">
        <v>5433</v>
      </c>
      <c r="E5159" t="s">
        <v>3422</v>
      </c>
      <c r="F5159" t="str">
        <f>HYPERLINK("http://www.mrt.tas.gov.au/webdoc2/app/default/drilling_detail?id=5433","Geol Survey Link")</f>
        <v>Geol Survey Link</v>
      </c>
      <c r="G5159" t="s">
        <v>3473</v>
      </c>
      <c r="H5159" t="s">
        <v>3484</v>
      </c>
      <c r="I5159">
        <v>-41.883499999999998</v>
      </c>
      <c r="J5159">
        <v>145.44300000000001</v>
      </c>
      <c r="K5159" t="str">
        <f>HYPERLINK("http://www.mrt.tas.gov.au/NVCLDataServices/mosaic.html?datasetid=11ef0070-67f5-4287-933c-0563914385d","5433_KH-9_Core Image")</f>
        <v>5433_KH-9_Core Image</v>
      </c>
    </row>
    <row r="5160" spans="1:11" x14ac:dyDescent="0.25">
      <c r="A5160" t="str">
        <f>HYPERLINK("http://www.corstruth.com.au/Tas/5493_KH-12_cs.png","5493_KH-12_A4")</f>
        <v>5493_KH-12_A4</v>
      </c>
      <c r="B5160" t="str">
        <f>HYPERLINK("http://www.corstruth.com.au/Tas/PNG2/5493_KH-12_cs.png","5493_KH-12_0.25m Bins")</f>
        <v>5493_KH-12_0.25m Bins</v>
      </c>
      <c r="C5160" t="str">
        <f>HYPERLINK("http://www.corstruth.com.au/Tas/CSV/5493_KH-12.csv","5493_KH-12_CSV File 1m Bins")</f>
        <v>5493_KH-12_CSV File 1m Bins</v>
      </c>
      <c r="D5160">
        <v>5493</v>
      </c>
      <c r="E5160" t="s">
        <v>3422</v>
      </c>
      <c r="F5160" t="str">
        <f>HYPERLINK("http://www.mrt.tas.gov.au/webdoc2/app/default/drilling_detail?id=5493","Geol Survey Link")</f>
        <v>Geol Survey Link</v>
      </c>
      <c r="G5160" t="s">
        <v>3473</v>
      </c>
      <c r="H5160" t="s">
        <v>3484</v>
      </c>
      <c r="I5160">
        <v>-41.884399999999999</v>
      </c>
      <c r="J5160">
        <v>145.44300000000001</v>
      </c>
      <c r="K5160" t="str">
        <f>HYPERLINK("http://www.mrt.tas.gov.au/NVCLDataServices/mosaic.html?datasetid=fc7b122a-560b-4fa6-b533-8439a19c81b","5493_KH-12_Core Image")</f>
        <v>5493_KH-12_Core Image</v>
      </c>
    </row>
    <row r="5161" spans="1:11" x14ac:dyDescent="0.25">
      <c r="A5161" t="str">
        <f>HYPERLINK("http://www.corstruth.com.au/Tas/5497_KH-16_cs.png","5497_KH-16_A4")</f>
        <v>5497_KH-16_A4</v>
      </c>
      <c r="B5161" t="str">
        <f>HYPERLINK("http://www.corstruth.com.au/Tas/PNG2/5497_KH-16_cs.png","5497_KH-16_0.25m Bins")</f>
        <v>5497_KH-16_0.25m Bins</v>
      </c>
      <c r="C5161" t="str">
        <f>HYPERLINK("http://www.corstruth.com.au/Tas/CSV/5497_KH-16.csv","5497_KH-16_CSV File 1m Bins")</f>
        <v>5497_KH-16_CSV File 1m Bins</v>
      </c>
      <c r="D5161">
        <v>5497</v>
      </c>
      <c r="E5161" t="s">
        <v>3422</v>
      </c>
      <c r="F5161" t="str">
        <f>HYPERLINK("http://www.mrt.tas.gov.au/webdoc2/app/default/drilling_detail?id=5497","Geol Survey Link")</f>
        <v>Geol Survey Link</v>
      </c>
      <c r="G5161" t="s">
        <v>3473</v>
      </c>
      <c r="H5161" t="s">
        <v>3484</v>
      </c>
      <c r="I5161">
        <v>-41.884399999999999</v>
      </c>
      <c r="J5161">
        <v>145.44399999999999</v>
      </c>
      <c r="K5161" t="str">
        <f>HYPERLINK("http://www.mrt.tas.gov.au/NVCLDataServices/mosaic.html?datasetid=774ef717-0488-4595-8814-5b83e7363f2","5497_KH-16_Core Image")</f>
        <v>5497_KH-16_Core Image</v>
      </c>
    </row>
    <row r="5162" spans="1:11" x14ac:dyDescent="0.25">
      <c r="A5162" t="str">
        <f>HYPERLINK("http://www.corstruth.com.au/Tas/5499_KH-18_cs.png","5499_KH-18_A4")</f>
        <v>5499_KH-18_A4</v>
      </c>
      <c r="B5162" t="str">
        <f>HYPERLINK("http://www.corstruth.com.au/Tas/PNG2/5499_KH-18_cs.png","5499_KH-18_0.25m Bins")</f>
        <v>5499_KH-18_0.25m Bins</v>
      </c>
      <c r="C5162" t="str">
        <f>HYPERLINK("http://www.corstruth.com.au/Tas/CSV/5499_KH-18.csv","5499_KH-18_CSV File 1m Bins")</f>
        <v>5499_KH-18_CSV File 1m Bins</v>
      </c>
      <c r="D5162">
        <v>5499</v>
      </c>
      <c r="E5162" t="s">
        <v>3422</v>
      </c>
      <c r="F5162" t="str">
        <f>HYPERLINK("http://www.mrt.tas.gov.au/webdoc2/app/default/drilling_detail?id=5499","Geol Survey Link")</f>
        <v>Geol Survey Link</v>
      </c>
      <c r="G5162" t="s">
        <v>3473</v>
      </c>
      <c r="H5162" t="s">
        <v>3484</v>
      </c>
      <c r="I5162">
        <v>-41.884500000000003</v>
      </c>
      <c r="J5162">
        <v>145.44499999999999</v>
      </c>
      <c r="K5162" t="str">
        <f>HYPERLINK("http://www.mrt.tas.gov.au/NVCLDataServices/mosaic.html?datasetid=f3588019-d53f-441e-97db-56d762c730a","5499_KH-18_Core Image")</f>
        <v>5499_KH-18_Core Image</v>
      </c>
    </row>
    <row r="5163" spans="1:11" x14ac:dyDescent="0.25">
      <c r="A5163" t="str">
        <f>HYPERLINK("http://www.corstruth.com.au/Tas/15266_SC-16_cs.png","15266_SC-16_A4")</f>
        <v>15266_SC-16_A4</v>
      </c>
      <c r="B5163" t="str">
        <f>HYPERLINK("http://www.corstruth.com.au/Tas/PNG2/15266_SC-16_cs.png","15266_SC-16_0.25m Bins")</f>
        <v>15266_SC-16_0.25m Bins</v>
      </c>
      <c r="C5163" t="str">
        <f>HYPERLINK("http://www.corstruth.com.au/Tas/CSV/15266_SC-16.csv","15266_SC-16_CSV File 1m Bins")</f>
        <v>15266_SC-16_CSV File 1m Bins</v>
      </c>
      <c r="D5163">
        <v>15266</v>
      </c>
      <c r="E5163" t="s">
        <v>3422</v>
      </c>
      <c r="F5163" t="str">
        <f>HYPERLINK("http://www.mrt.tas.gov.au/webdoc2/app/default/drilling_detail?id=15266","Geol Survey Link")</f>
        <v>Geol Survey Link</v>
      </c>
      <c r="G5163" t="s">
        <v>3473</v>
      </c>
      <c r="H5163" t="s">
        <v>3485</v>
      </c>
      <c r="I5163">
        <v>-41.886299999999999</v>
      </c>
      <c r="J5163">
        <v>145.446</v>
      </c>
      <c r="K5163" t="str">
        <f>HYPERLINK("http://www.mrt.tas.gov.au/NVCLDataServices/mosaic.html?datasetid=01a48150-f914-4c19-ba84-45726ba47c1","15266_SC-16_Core Image")</f>
        <v>15266_SC-16_Core Image</v>
      </c>
    </row>
    <row r="5164" spans="1:11" x14ac:dyDescent="0.25">
      <c r="A5164" t="str">
        <f>HYPERLINK("http://www.corstruth.com.au/Tas/4461_SC-1_cs.png","4461_SC-1_A4")</f>
        <v>4461_SC-1_A4</v>
      </c>
      <c r="B5164" t="str">
        <f>HYPERLINK("http://www.corstruth.com.au/Tas/PNG2/4461_SC-1_cs.png","4461_SC-1_0.25m Bins")</f>
        <v>4461_SC-1_0.25m Bins</v>
      </c>
      <c r="C5164" t="str">
        <f>HYPERLINK("http://www.corstruth.com.au/Tas/CSV/4461_SC-1.csv","4461_SC-1_CSV File 1m Bins")</f>
        <v>4461_SC-1_CSV File 1m Bins</v>
      </c>
      <c r="D5164">
        <v>4461</v>
      </c>
      <c r="E5164" t="s">
        <v>3422</v>
      </c>
      <c r="F5164" t="str">
        <f>HYPERLINK("http://www.mrt.tas.gov.au/webdoc2/app/default/drilling_detail?id=4461","Geol Survey Link")</f>
        <v>Geol Survey Link</v>
      </c>
      <c r="G5164" t="s">
        <v>3473</v>
      </c>
      <c r="H5164" t="s">
        <v>3485</v>
      </c>
      <c r="I5164">
        <v>-41.886299999999999</v>
      </c>
      <c r="J5164">
        <v>145.447</v>
      </c>
      <c r="K5164" t="str">
        <f>HYPERLINK("http://www.mrt.tas.gov.au/NVCLDataServices/mosaic.html?datasetid=e3dfb9b2-9f7b-4dfb-9c0e-2c7753b4d87","4461_SC-1_Core Image")</f>
        <v>4461_SC-1_Core Image</v>
      </c>
    </row>
    <row r="5165" spans="1:11" x14ac:dyDescent="0.25">
      <c r="A5165" t="str">
        <f>HYPERLINK("http://www.corstruth.com.au/Tas/5504_SC-7_cs.png","5504_SC-7_A4")</f>
        <v>5504_SC-7_A4</v>
      </c>
      <c r="B5165" t="str">
        <f>HYPERLINK("http://www.corstruth.com.au/Tas/PNG2/5504_SC-7_cs.png","5504_SC-7_0.25m Bins")</f>
        <v>5504_SC-7_0.25m Bins</v>
      </c>
      <c r="C5165" t="str">
        <f>HYPERLINK("http://www.corstruth.com.au/Tas/CSV/5504_SC-7.csv","5504_SC-7_CSV File 1m Bins")</f>
        <v>5504_SC-7_CSV File 1m Bins</v>
      </c>
      <c r="D5165">
        <v>5504</v>
      </c>
      <c r="E5165" t="s">
        <v>3422</v>
      </c>
      <c r="F5165" t="str">
        <f>HYPERLINK("http://www.mrt.tas.gov.au/webdoc2/app/default/drilling_detail?id=5504","Geol Survey Link")</f>
        <v>Geol Survey Link</v>
      </c>
      <c r="G5165" t="s">
        <v>3473</v>
      </c>
      <c r="H5165" t="s">
        <v>3485</v>
      </c>
      <c r="I5165">
        <v>-41.886299999999999</v>
      </c>
      <c r="J5165">
        <v>145.44499999999999</v>
      </c>
      <c r="K5165" t="str">
        <f>HYPERLINK("http://www.mrt.tas.gov.au/NVCLDataServices/mosaic.html?datasetid=6c07d75d-2e06-47ed-82ea-f027567215e","5504_SC-7_Core Image")</f>
        <v>5504_SC-7_Core Image</v>
      </c>
    </row>
    <row r="5166" spans="1:11" x14ac:dyDescent="0.25">
      <c r="A5166" t="str">
        <f>HYPERLINK("http://www.corstruth.com.au/Tas/5539_SC-18_cs.png","5539_SC-18_A4")</f>
        <v>5539_SC-18_A4</v>
      </c>
      <c r="B5166" t="str">
        <f>HYPERLINK("http://www.corstruth.com.au/Tas/PNG2/5539_SC-18_cs.png","5539_SC-18_0.25m Bins")</f>
        <v>5539_SC-18_0.25m Bins</v>
      </c>
      <c r="C5166" t="str">
        <f>HYPERLINK("http://www.corstruth.com.au/Tas/CSV/5539_SC-18.csv","5539_SC-18_CSV File 1m Bins")</f>
        <v>5539_SC-18_CSV File 1m Bins</v>
      </c>
      <c r="D5166">
        <v>5539</v>
      </c>
      <c r="E5166" t="s">
        <v>3422</v>
      </c>
      <c r="F5166" t="str">
        <f>HYPERLINK("http://www.mrt.tas.gov.au/webdoc2/app/default/drilling_detail?id=5539","Geol Survey Link")</f>
        <v>Geol Survey Link</v>
      </c>
      <c r="G5166" t="s">
        <v>3473</v>
      </c>
      <c r="H5166" t="s">
        <v>3485</v>
      </c>
      <c r="I5166">
        <v>-41.885399999999997</v>
      </c>
      <c r="J5166">
        <v>145.44499999999999</v>
      </c>
      <c r="K5166" t="str">
        <f>HYPERLINK("http://www.mrt.tas.gov.au/NVCLDataServices/mosaic.html?datasetid=42fba842-0a05-49a2-b2a3-f63116b985a","5539_SC-18_Core Image")</f>
        <v>5539_SC-18_Core Image</v>
      </c>
    </row>
    <row r="5167" spans="1:11" x14ac:dyDescent="0.25">
      <c r="A5167" t="str">
        <f>HYPERLINK("http://www.corstruth.com.au/Tas/5544_SC-21_cs.png","5544_SC-21_A4")</f>
        <v>5544_SC-21_A4</v>
      </c>
      <c r="B5167" t="str">
        <f>HYPERLINK("http://www.corstruth.com.au/Tas/PNG2/5544_SC-21_cs.png","5544_SC-21_0.25m Bins")</f>
        <v>5544_SC-21_0.25m Bins</v>
      </c>
      <c r="C5167" t="str">
        <f>HYPERLINK("http://www.corstruth.com.au/Tas/CSV/5544_SC-21.csv","5544_SC-21_CSV File 1m Bins")</f>
        <v>5544_SC-21_CSV File 1m Bins</v>
      </c>
      <c r="D5167">
        <v>5544</v>
      </c>
      <c r="E5167" t="s">
        <v>3422</v>
      </c>
      <c r="F5167" t="str">
        <f>HYPERLINK("http://www.mrt.tas.gov.au/webdoc2/app/default/drilling_detail?id=5544","Geol Survey Link")</f>
        <v>Geol Survey Link</v>
      </c>
      <c r="G5167" t="s">
        <v>3473</v>
      </c>
      <c r="H5167" t="s">
        <v>3485</v>
      </c>
      <c r="I5167">
        <v>-41.8872</v>
      </c>
      <c r="J5167">
        <v>145.447</v>
      </c>
      <c r="K5167" t="str">
        <f>HYPERLINK("http://www.mrt.tas.gov.au/NVCLDataServices/mosaic.html?datasetid=276bddab-26b8-4fc4-8f40-2405ad4322e","5544_SC-21_Core Image")</f>
        <v>5544_SC-21_Core Image</v>
      </c>
    </row>
    <row r="5168" spans="1:11" x14ac:dyDescent="0.25">
      <c r="A5168" t="str">
        <f>HYPERLINK("http://www.corstruth.com.au/Tas/6535_VOYAGER-V12-6_ElliottBay_cs.png","6535_VOYAGER-V12-6_ElliottBay_A4")</f>
        <v>6535_VOYAGER-V12-6_ElliottBay_A4</v>
      </c>
      <c r="B5168" t="str">
        <f>HYPERLINK("http://www.corstruth.com.au/Tas/PNG2/6535_VOYAGER-V12-6_ElliottBay_cs.png","6535_VOYAGER-V12-6_ElliottBay_0.25m Bins")</f>
        <v>6535_VOYAGER-V12-6_ElliottBay_0.25m Bins</v>
      </c>
      <c r="C5168" t="str">
        <f>HYPERLINK("http://www.corstruth.com.au/Tas/CSV/6535_VOYAGER-V12-6_ElliottBay.csv","6535_VOYAGER-V12-6_ElliottBay_CSV File 1m Bins")</f>
        <v>6535_VOYAGER-V12-6_ElliottBay_CSV File 1m Bins</v>
      </c>
      <c r="D5168">
        <v>6535</v>
      </c>
      <c r="E5168" t="s">
        <v>3422</v>
      </c>
      <c r="F5168" t="str">
        <f>HYPERLINK("http://www.mrt.tas.gov.au/webdoc2/app/default/drilling_detail?id=6535","Geol Survey Link")</f>
        <v>Geol Survey Link</v>
      </c>
      <c r="G5168" t="s">
        <v>3473</v>
      </c>
      <c r="H5168" t="s">
        <v>3486</v>
      </c>
      <c r="I5168">
        <v>-42.925600000000003</v>
      </c>
      <c r="J5168">
        <v>145.589</v>
      </c>
      <c r="K5168" t="str">
        <f>HYPERLINK("http://www.mrt.tas.gov.au/NVCLDataServices/mosaic.html?datasetid=3a9f164b-7a7c-4c4e-8ece-fd4a0fcd6f2","6535_VOYAGER-V12-6_ElliottBay_Core Image")</f>
        <v>6535_VOYAGER-V12-6_ElliottBay_Core Image</v>
      </c>
    </row>
    <row r="5169" spans="1:11" x14ac:dyDescent="0.25">
      <c r="A5169" t="str">
        <f>HYPERLINK("http://www.corstruth.com.au/Tas/6277_VOYAGER-V9-2_ElliottBay_cs.png","6277_VOYAGER-V9-2_ElliottBay_A4")</f>
        <v>6277_VOYAGER-V9-2_ElliottBay_A4</v>
      </c>
      <c r="B5169" t="str">
        <f>HYPERLINK("http://www.corstruth.com.au/Tas/PNG2/6277_VOYAGER-V9-2_ElliottBay_cs.png","6277_VOYAGER-V9-2_ElliottBay_0.25m Bins")</f>
        <v>6277_VOYAGER-V9-2_ElliottBay_0.25m Bins</v>
      </c>
      <c r="C5169" t="str">
        <f>HYPERLINK("http://www.corstruth.com.au/Tas/CSV/6277_VOYAGER-V9-2_ElliottBay.csv","6277_VOYAGER-V9-2_ElliottBay_CSV File 1m Bins")</f>
        <v>6277_VOYAGER-V9-2_ElliottBay_CSV File 1m Bins</v>
      </c>
      <c r="D5169">
        <v>6277</v>
      </c>
      <c r="E5169" t="s">
        <v>3422</v>
      </c>
      <c r="F5169" t="str">
        <f>HYPERLINK("http://www.mrt.tas.gov.au/webdoc2/app/default/drilling_detail?id=6277","Geol Survey Link")</f>
        <v>Geol Survey Link</v>
      </c>
      <c r="G5169" t="s">
        <v>3473</v>
      </c>
      <c r="H5169" t="s">
        <v>3487</v>
      </c>
      <c r="I5169">
        <v>-42.916600000000003</v>
      </c>
      <c r="J5169">
        <v>145.535</v>
      </c>
      <c r="K5169" t="str">
        <f>HYPERLINK("http://www.mrt.tas.gov.au/NVCLDataServices/mosaic.html?datasetid=2857f55f-dbea-4f2d-b2f2-936f574c5ba","6277_VOYAGER-V9-2_ElliottBay_Core Image")</f>
        <v>6277_VOYAGER-V9-2_ElliottBay_Core Image</v>
      </c>
    </row>
    <row r="5170" spans="1:11" x14ac:dyDescent="0.25">
      <c r="A5170" t="str">
        <f>HYPERLINK("http://www.corstruth.com.au/Tas/6282_VOYAGER-V2-6_ElliottBay_cs.png","6282_VOYAGER-V2-6_ElliottBay_A4")</f>
        <v>6282_VOYAGER-V2-6_ElliottBay_A4</v>
      </c>
      <c r="B5170" t="str">
        <f>HYPERLINK("http://www.corstruth.com.au/Tas/PNG2/6282_VOYAGER-V2-6_ElliottBay_cs.png","6282_VOYAGER-V2-6_ElliottBay_0.25m Bins")</f>
        <v>6282_VOYAGER-V2-6_ElliottBay_0.25m Bins</v>
      </c>
      <c r="C5170" t="str">
        <f>HYPERLINK("http://www.corstruth.com.au/Tas/CSV/6282_VOYAGER-V2-6_ElliottBay.csv","6282_VOYAGER-V2-6_ElliottBay_CSV File 1m Bins")</f>
        <v>6282_VOYAGER-V2-6_ElliottBay_CSV File 1m Bins</v>
      </c>
      <c r="D5170">
        <v>6282</v>
      </c>
      <c r="E5170" t="s">
        <v>3422</v>
      </c>
      <c r="F5170" t="str">
        <f>HYPERLINK("http://www.mrt.tas.gov.au/webdoc2/app/default/drilling_detail?id=6282","Geol Survey Link")</f>
        <v>Geol Survey Link</v>
      </c>
      <c r="G5170" t="s">
        <v>3473</v>
      </c>
      <c r="H5170" t="s">
        <v>3487</v>
      </c>
      <c r="I5170">
        <v>-42.931800000000003</v>
      </c>
      <c r="J5170">
        <v>145.583</v>
      </c>
      <c r="K5170" t="str">
        <f>HYPERLINK("http://www.mrt.tas.gov.au/NVCLDataServices/mosaic.html?datasetid=19383d5b-8a4e-48d8-bcd0-bbac3bfeb5d","6282_VOYAGER-V2-6_ElliottBay_Core Image")</f>
        <v>6282_VOYAGER-V2-6_ElliottBay_Core Image</v>
      </c>
    </row>
    <row r="5171" spans="1:11" x14ac:dyDescent="0.25">
      <c r="A5171" t="str">
        <f>HYPERLINK("http://www.corstruth.com.au/Tas/21194_FTD5_Fire_Tower_cs.png","21194_FTD5_Fire_Tower_A4")</f>
        <v>21194_FTD5_Fire_Tower_A4</v>
      </c>
      <c r="B5171" t="str">
        <f>HYPERLINK("http://www.corstruth.com.au/Tas/PNG2/21194_FTD5_Fire_Tower_cs.png","21194_FTD5_Fire_Tower_0.25m Bins")</f>
        <v>21194_FTD5_Fire_Tower_0.25m Bins</v>
      </c>
      <c r="C5171" t="str">
        <f>HYPERLINK("http://www.corstruth.com.au/Tas/CSV/21194_FTD5_Fire_Tower.csv","21194_FTD5_Fire_Tower_CSV File 1m Bins")</f>
        <v>21194_FTD5_Fire_Tower_CSV File 1m Bins</v>
      </c>
      <c r="D5171">
        <v>21194</v>
      </c>
      <c r="E5171" t="s">
        <v>3422</v>
      </c>
      <c r="F5171" t="str">
        <f>HYPERLINK("http://www.mrt.tas.gov.au/webdoc2/app/default/drilling_detail?id=21194","Geol Survey Link")</f>
        <v>Geol Survey Link</v>
      </c>
      <c r="G5171" t="s">
        <v>3473</v>
      </c>
      <c r="H5171" t="s">
        <v>3488</v>
      </c>
      <c r="I5171">
        <v>-41.504199999999997</v>
      </c>
      <c r="J5171">
        <v>146.35300000000001</v>
      </c>
    </row>
    <row r="5172" spans="1:11" x14ac:dyDescent="0.25">
      <c r="A5172" t="str">
        <f>HYPERLINK("http://www.corstruth.com.au/Tas/22741_FTD013_Fire_Tower_cs.png","22741_FTD013_Fire_Tower_A4")</f>
        <v>22741_FTD013_Fire_Tower_A4</v>
      </c>
      <c r="B5172" t="str">
        <f>HYPERLINK("http://www.corstruth.com.au/Tas/PNG2/22741_FTD013_Fire_Tower_cs.png","22741_FTD013_Fire_Tower_0.25m Bins")</f>
        <v>22741_FTD013_Fire_Tower_0.25m Bins</v>
      </c>
      <c r="C5172" t="str">
        <f>HYPERLINK("http://www.corstruth.com.au/Tas/CSV/22741_FTD013_Fire_Tower.csv","22741_FTD013_Fire_Tower_CSV File 1m Bins")</f>
        <v>22741_FTD013_Fire_Tower_CSV File 1m Bins</v>
      </c>
      <c r="D5172">
        <v>22741</v>
      </c>
      <c r="E5172" t="s">
        <v>3422</v>
      </c>
      <c r="F5172" t="str">
        <f>HYPERLINK("http://www.mrt.tas.gov.au/webdoc2/app/default/drilling_detail?id=22741","Geol Survey Link")</f>
        <v>Geol Survey Link</v>
      </c>
      <c r="G5172" t="s">
        <v>3473</v>
      </c>
      <c r="H5172" t="s">
        <v>3488</v>
      </c>
      <c r="I5172">
        <v>-41.503900000000002</v>
      </c>
      <c r="J5172">
        <v>146.35300000000001</v>
      </c>
    </row>
    <row r="5173" spans="1:11" x14ac:dyDescent="0.25">
      <c r="A5173" t="str">
        <f>HYPERLINK("http://www.corstruth.com.au/Tas/22742_FTD014_Fire_Tower_cs.png","22742_FTD014_Fire_Tower_A4")</f>
        <v>22742_FTD014_Fire_Tower_A4</v>
      </c>
      <c r="B5173" t="str">
        <f>HYPERLINK("http://www.corstruth.com.au/Tas/PNG2/22742_FTD014_Fire_Tower_cs.png","22742_FTD014_Fire_Tower_0.25m Bins")</f>
        <v>22742_FTD014_Fire_Tower_0.25m Bins</v>
      </c>
      <c r="C5173" t="str">
        <f>HYPERLINK("http://www.corstruth.com.au/Tas/CSV/22742_FTD014_Fire_Tower.csv","22742_FTD014_Fire_Tower_CSV File 1m Bins")</f>
        <v>22742_FTD014_Fire_Tower_CSV File 1m Bins</v>
      </c>
      <c r="D5173">
        <v>22742</v>
      </c>
      <c r="E5173" t="s">
        <v>3422</v>
      </c>
      <c r="F5173" t="str">
        <f>HYPERLINK("http://www.mrt.tas.gov.au/webdoc2/app/default/drilling_detail?id=22742","Geol Survey Link")</f>
        <v>Geol Survey Link</v>
      </c>
      <c r="G5173" t="s">
        <v>3473</v>
      </c>
      <c r="H5173" t="s">
        <v>3488</v>
      </c>
      <c r="I5173">
        <v>-41.503700000000002</v>
      </c>
      <c r="J5173">
        <v>146.35300000000001</v>
      </c>
    </row>
    <row r="5174" spans="1:11" x14ac:dyDescent="0.25">
      <c r="A5174" t="str">
        <f>HYPERLINK("http://www.corstruth.com.au/Tas/22743_FTD015_Fire_Tower_cs.png","22743_FTD015_Fire_Tower_A4")</f>
        <v>22743_FTD015_Fire_Tower_A4</v>
      </c>
      <c r="B5174" t="str">
        <f>HYPERLINK("http://www.corstruth.com.au/Tas/PNG2/22743_FTD015_Fire_Tower_cs.png","22743_FTD015_Fire_Tower_0.25m Bins")</f>
        <v>22743_FTD015_Fire_Tower_0.25m Bins</v>
      </c>
      <c r="C5174" t="str">
        <f>HYPERLINK("http://www.corstruth.com.au/Tas/CSV/22743_FTD015_Fire_Tower.csv","22743_FTD015_Fire_Tower_CSV File 1m Bins")</f>
        <v>22743_FTD015_Fire_Tower_CSV File 1m Bins</v>
      </c>
      <c r="D5174">
        <v>22743</v>
      </c>
      <c r="E5174" t="s">
        <v>3422</v>
      </c>
      <c r="F5174" t="str">
        <f>HYPERLINK("http://www.mrt.tas.gov.au/webdoc2/app/default/drilling_detail?id=22743","Geol Survey Link")</f>
        <v>Geol Survey Link</v>
      </c>
      <c r="G5174" t="s">
        <v>3473</v>
      </c>
      <c r="H5174" t="s">
        <v>3488</v>
      </c>
      <c r="I5174">
        <v>-41.503700000000002</v>
      </c>
      <c r="J5174">
        <v>146.35300000000001</v>
      </c>
    </row>
    <row r="5175" spans="1:11" x14ac:dyDescent="0.25">
      <c r="A5175" t="str">
        <f>HYPERLINK("http://www.corstruth.com.au/Tas/23632_FTD032_Fire_Tower_cs.png","23632_FTD032_Fire_Tower_A4")</f>
        <v>23632_FTD032_Fire_Tower_A4</v>
      </c>
      <c r="B5175" t="str">
        <f>HYPERLINK("http://www.corstruth.com.au/Tas/PNG2/23632_FTD032_Fire_Tower_cs.png","23632_FTD032_Fire_Tower_0.25m Bins")</f>
        <v>23632_FTD032_Fire_Tower_0.25m Bins</v>
      </c>
      <c r="C5175" t="str">
        <f>HYPERLINK("http://www.corstruth.com.au/Tas/CSV/23632_FTD032_Fire_Tower.csv","23632_FTD032_Fire_Tower_CSV File 1m Bins")</f>
        <v>23632_FTD032_Fire_Tower_CSV File 1m Bins</v>
      </c>
      <c r="D5175">
        <v>23632</v>
      </c>
      <c r="E5175" t="s">
        <v>3422</v>
      </c>
      <c r="F5175" t="str">
        <f>HYPERLINK("http://www.mrt.tas.gov.au/webdoc2/app/default/drilling_detail?id=23632","Geol Survey Link")</f>
        <v>Geol Survey Link</v>
      </c>
      <c r="G5175" t="s">
        <v>3473</v>
      </c>
      <c r="H5175" t="s">
        <v>3489</v>
      </c>
      <c r="I5175">
        <v>-41.487699999999997</v>
      </c>
      <c r="J5175">
        <v>146.31700000000001</v>
      </c>
    </row>
    <row r="5176" spans="1:11" x14ac:dyDescent="0.25">
      <c r="A5176" t="str">
        <f>HYPERLINK("http://www.corstruth.com.au/Tas/23633_FTD033_Fire_Tower_cs.png","23633_FTD033_Fire_Tower_A4")</f>
        <v>23633_FTD033_Fire_Tower_A4</v>
      </c>
      <c r="B5176" t="str">
        <f>HYPERLINK("http://www.corstruth.com.au/Tas/PNG2/23633_FTD033_Fire_Tower_cs.png","23633_FTD033_Fire_Tower_0.25m Bins")</f>
        <v>23633_FTD033_Fire_Tower_0.25m Bins</v>
      </c>
      <c r="C5176" t="str">
        <f>HYPERLINK("http://www.corstruth.com.au/Tas/CSV/23633_FTD033_Fire_Tower.csv","23633_FTD033_Fire_Tower_CSV File 1m Bins")</f>
        <v>23633_FTD033_Fire_Tower_CSV File 1m Bins</v>
      </c>
      <c r="D5176">
        <v>23633</v>
      </c>
      <c r="E5176" t="s">
        <v>3422</v>
      </c>
      <c r="F5176" t="str">
        <f>HYPERLINK("http://www.mrt.tas.gov.au/webdoc2/app/default/drilling_detail?id=23633","Geol Survey Link")</f>
        <v>Geol Survey Link</v>
      </c>
      <c r="G5176" t="s">
        <v>3473</v>
      </c>
      <c r="H5176" t="s">
        <v>3489</v>
      </c>
      <c r="I5176">
        <v>-41.470399999999998</v>
      </c>
      <c r="J5176">
        <v>146.32</v>
      </c>
    </row>
    <row r="5177" spans="1:11" x14ac:dyDescent="0.25">
      <c r="A5177" t="str">
        <f>HYPERLINK("http://www.corstruth.com.au/Tas/41153_FTD038_Fire_Tower_West_cs.png","41153_FTD038_Fire_Tower_West_A4")</f>
        <v>41153_FTD038_Fire_Tower_West_A4</v>
      </c>
      <c r="B5177" t="str">
        <f>HYPERLINK("http://www.corstruth.com.au/Tas/PNG2/41153_FTD038_Fire_Tower_West_cs.png","41153_FTD038_Fire_Tower_West_0.25m Bins")</f>
        <v>41153_FTD038_Fire_Tower_West_0.25m Bins</v>
      </c>
      <c r="C5177" t="str">
        <f>HYPERLINK("http://www.corstruth.com.au/Tas/CSV/41153_FTD038_Fire_Tower_West.csv","41153_FTD038_Fire_Tower_West_CSV File 1m Bins")</f>
        <v>41153_FTD038_Fire_Tower_West_CSV File 1m Bins</v>
      </c>
      <c r="D5177">
        <v>41153</v>
      </c>
      <c r="E5177" t="s">
        <v>3422</v>
      </c>
      <c r="F5177" t="str">
        <f>HYPERLINK("http://www.mrt.tas.gov.au/webdoc2/app/default/drilling_detail?id=41153","Geol Survey Link")</f>
        <v>Geol Survey Link</v>
      </c>
      <c r="G5177" t="s">
        <v>3473</v>
      </c>
      <c r="H5177" t="s">
        <v>3489</v>
      </c>
      <c r="I5177">
        <v>-41.486699999999999</v>
      </c>
      <c r="J5177">
        <v>146.31399999999999</v>
      </c>
    </row>
    <row r="5178" spans="1:11" x14ac:dyDescent="0.25">
      <c r="A5178" t="str">
        <f>HYPERLINK("http://www.corstruth.com.au/Tas/41158_FTD043_Fire_Tower_West_cs.png","41158_FTD043_Fire_Tower_West_A4")</f>
        <v>41158_FTD043_Fire_Tower_West_A4</v>
      </c>
      <c r="B5178" t="str">
        <f>HYPERLINK("http://www.corstruth.com.au/Tas/PNG2/41158_FTD043_Fire_Tower_West_cs.png","41158_FTD043_Fire_Tower_West_0.25m Bins")</f>
        <v>41158_FTD043_Fire_Tower_West_0.25m Bins</v>
      </c>
      <c r="C5178" t="str">
        <f>HYPERLINK("http://www.corstruth.com.au/Tas/CSV/41158_FTD043_Fire_Tower_West.csv","41158_FTD043_Fire_Tower_West_CSV File 1m Bins")</f>
        <v>41158_FTD043_Fire_Tower_West_CSV File 1m Bins</v>
      </c>
      <c r="D5178">
        <v>41158</v>
      </c>
      <c r="E5178" t="s">
        <v>3422</v>
      </c>
      <c r="F5178" t="str">
        <f>HYPERLINK("http://www.mrt.tas.gov.au/webdoc2/app/default/drilling_detail?id=41158","Geol Survey Link")</f>
        <v>Geol Survey Link</v>
      </c>
      <c r="G5178" t="s">
        <v>3473</v>
      </c>
      <c r="H5178" t="s">
        <v>3489</v>
      </c>
      <c r="I5178">
        <v>-41.490099999999998</v>
      </c>
      <c r="J5178">
        <v>146.315</v>
      </c>
    </row>
    <row r="5179" spans="1:11" x14ac:dyDescent="0.25">
      <c r="A5179" t="str">
        <f>HYPERLINK("http://www.corstruth.com.au/Tas/87234_2019FTD007_Firetower_cs.png","87234_2019FTD007_Firetower_A4")</f>
        <v>87234_2019FTD007_Firetower_A4</v>
      </c>
      <c r="B5179" t="str">
        <f>HYPERLINK("http://www.corstruth.com.au/Tas/PNG2/87234_2019FTD007_Firetower_cs.png","87234_2019FTD007_Firetower_0.25m Bins")</f>
        <v>87234_2019FTD007_Firetower_0.25m Bins</v>
      </c>
      <c r="C5179" t="str">
        <f>HYPERLINK("http://www.corstruth.com.au/Tas/CSV/87234_2019FTD007_Firetower.csv","87234_2019FTD007_Firetower_CSV File 1m Bins")</f>
        <v>87234_2019FTD007_Firetower_CSV File 1m Bins</v>
      </c>
      <c r="D5179">
        <v>87234</v>
      </c>
      <c r="E5179" t="s">
        <v>3422</v>
      </c>
      <c r="F5179" t="str">
        <f>HYPERLINK("http://www.mrt.tas.gov.au/webdoc2/app/default/drilling_detail?id=87234","Geol Survey Link")</f>
        <v>Geol Survey Link</v>
      </c>
      <c r="G5179" t="s">
        <v>3473</v>
      </c>
      <c r="H5179" t="s">
        <v>3490</v>
      </c>
      <c r="I5179">
        <v>-41.502600000000001</v>
      </c>
      <c r="J5179">
        <v>146.35499999999999</v>
      </c>
    </row>
    <row r="5180" spans="1:11" x14ac:dyDescent="0.25">
      <c r="A5180" t="str">
        <f>HYPERLINK("http://www.corstruth.com.au/Tas/87548_2019FTD010_Firetower_cs.png","87548_2019FTD010_Firetower_A4")</f>
        <v>87548_2019FTD010_Firetower_A4</v>
      </c>
      <c r="B5180" t="str">
        <f>HYPERLINK("http://www.corstruth.com.au/Tas/PNG2/87548_2019FTD010_Firetower_cs.png","87548_2019FTD010_Firetower_0.25m Bins")</f>
        <v>87548_2019FTD010_Firetower_0.25m Bins</v>
      </c>
      <c r="C5180" t="str">
        <f>HYPERLINK("http://www.corstruth.com.au/Tas/CSV/87548_2019FTD010_Firetower.csv","87548_2019FTD010_Firetower_CSV File 1m Bins")</f>
        <v>87548_2019FTD010_Firetower_CSV File 1m Bins</v>
      </c>
      <c r="D5180">
        <v>87548</v>
      </c>
      <c r="E5180" t="s">
        <v>3422</v>
      </c>
      <c r="F5180" t="str">
        <f>HYPERLINK("http://www.mrt.tas.gov.au/webdoc2/app/default/drilling_detail?id=87548","Geol Survey Link")</f>
        <v>Geol Survey Link</v>
      </c>
      <c r="G5180" t="s">
        <v>3473</v>
      </c>
      <c r="H5180" t="s">
        <v>3490</v>
      </c>
      <c r="I5180">
        <v>-41.502000000000002</v>
      </c>
      <c r="J5180">
        <v>146.35499999999999</v>
      </c>
    </row>
    <row r="5181" spans="1:11" x14ac:dyDescent="0.25">
      <c r="A5181" t="str">
        <f>HYPERLINK("http://www.corstruth.com.au/Tas/87549_2019FTD011_Firetower_cs.png","87549_2019FTD011_Firetower_A4")</f>
        <v>87549_2019FTD011_Firetower_A4</v>
      </c>
      <c r="B5181" t="str">
        <f>HYPERLINK("http://www.corstruth.com.au/Tas/PNG2/87549_2019FTD011_Firetower_cs.png","87549_2019FTD011_Firetower_0.25m Bins")</f>
        <v>87549_2019FTD011_Firetower_0.25m Bins</v>
      </c>
      <c r="C5181" t="str">
        <f>HYPERLINK("http://www.corstruth.com.au/Tas/CSV/87549_2019FTD011_Firetower.csv","87549_2019FTD011_Firetower_CSV File 1m Bins")</f>
        <v>87549_2019FTD011_Firetower_CSV File 1m Bins</v>
      </c>
      <c r="D5181">
        <v>87549</v>
      </c>
      <c r="E5181" t="s">
        <v>3422</v>
      </c>
      <c r="F5181" t="str">
        <f>HYPERLINK("http://www.mrt.tas.gov.au/webdoc2/app/default/drilling_detail?id=87549","Geol Survey Link")</f>
        <v>Geol Survey Link</v>
      </c>
      <c r="G5181" t="s">
        <v>3473</v>
      </c>
      <c r="H5181" t="s">
        <v>3490</v>
      </c>
      <c r="I5181">
        <v>-41.502299999999998</v>
      </c>
      <c r="J5181">
        <v>146.35499999999999</v>
      </c>
    </row>
    <row r="5182" spans="1:11" x14ac:dyDescent="0.25">
      <c r="A5182" t="str">
        <f>HYPERLINK("http://www.corstruth.com.au/Tas/87552_2019FTD014_Firetower_cs.png","87552_2019FTD014_Firetower_A4")</f>
        <v>87552_2019FTD014_Firetower_A4</v>
      </c>
      <c r="B5182" t="str">
        <f>HYPERLINK("http://www.corstruth.com.au/Tas/PNG2/87552_2019FTD014_Firetower_cs.png","87552_2019FTD014_Firetower_0.25m Bins")</f>
        <v>87552_2019FTD014_Firetower_0.25m Bins</v>
      </c>
      <c r="C5182" t="str">
        <f>HYPERLINK("http://www.corstruth.com.au/Tas/CSV/87552_2019FTD014_Firetower.csv","87552_2019FTD014_Firetower_CSV File 1m Bins")</f>
        <v>87552_2019FTD014_Firetower_CSV File 1m Bins</v>
      </c>
      <c r="D5182">
        <v>87552</v>
      </c>
      <c r="E5182" t="s">
        <v>3422</v>
      </c>
      <c r="F5182" t="str">
        <f>HYPERLINK("http://www.mrt.tas.gov.au/webdoc2/app/default/drilling_detail?id=87552","Geol Survey Link")</f>
        <v>Geol Survey Link</v>
      </c>
      <c r="G5182" t="s">
        <v>3473</v>
      </c>
      <c r="H5182" t="s">
        <v>3490</v>
      </c>
      <c r="I5182">
        <v>-41.503100000000003</v>
      </c>
      <c r="J5182">
        <v>146.35499999999999</v>
      </c>
    </row>
    <row r="5183" spans="1:11" x14ac:dyDescent="0.25">
      <c r="A5183" t="str">
        <f>HYPERLINK("http://www.corstruth.com.au/Tas/87554_2019FTD016_Firetower_cs.png","87554_2019FTD016_Firetower_A4")</f>
        <v>87554_2019FTD016_Firetower_A4</v>
      </c>
      <c r="B5183" t="str">
        <f>HYPERLINK("http://www.corstruth.com.au/Tas/PNG2/87554_2019FTD016_Firetower_cs.png","87554_2019FTD016_Firetower_0.25m Bins")</f>
        <v>87554_2019FTD016_Firetower_0.25m Bins</v>
      </c>
      <c r="C5183" t="str">
        <f>HYPERLINK("http://www.corstruth.com.au/Tas/CSV/87554_2019FTD016_Firetower.csv","87554_2019FTD016_Firetower_CSV File 1m Bins")</f>
        <v>87554_2019FTD016_Firetower_CSV File 1m Bins</v>
      </c>
      <c r="D5183">
        <v>87554</v>
      </c>
      <c r="E5183" t="s">
        <v>3422</v>
      </c>
      <c r="F5183" t="str">
        <f>HYPERLINK("http://www.mrt.tas.gov.au/webdoc2/app/default/drilling_detail?id=87554","Geol Survey Link")</f>
        <v>Geol Survey Link</v>
      </c>
      <c r="G5183" t="s">
        <v>3473</v>
      </c>
      <c r="H5183" t="s">
        <v>3490</v>
      </c>
      <c r="I5183">
        <v>-41.503999999999998</v>
      </c>
      <c r="J5183">
        <v>146.36099999999999</v>
      </c>
    </row>
    <row r="5184" spans="1:11" x14ac:dyDescent="0.25">
      <c r="A5184" t="str">
        <f>HYPERLINK("http://www.corstruth.com.au/Tas/41123_FUD0081_Fossey_Underground_cs.png","41123_FUD0081_Fossey_Underground_A4")</f>
        <v>41123_FUD0081_Fossey_Underground_A4</v>
      </c>
      <c r="B5184" t="str">
        <f>HYPERLINK("http://www.corstruth.com.au/Tas/PNG2/41123_FUD0081_Fossey_Underground_cs.png","41123_FUD0081_Fossey_Underground_0.25m Bins")</f>
        <v>41123_FUD0081_Fossey_Underground_0.25m Bins</v>
      </c>
      <c r="C5184" t="str">
        <f>HYPERLINK("http://www.corstruth.com.au/Tas/CSV/41123_FUD0081_Fossey_Underground.csv","41123_FUD0081_Fossey_Underground_CSV File 1m Bins")</f>
        <v>41123_FUD0081_Fossey_Underground_CSV File 1m Bins</v>
      </c>
      <c r="D5184">
        <v>41123</v>
      </c>
      <c r="E5184" t="s">
        <v>3422</v>
      </c>
      <c r="F5184" t="str">
        <f>HYPERLINK("http://www.mrt.tas.gov.au/webdoc2/app/default/drilling_detail?id=41123","Geol Survey Link")</f>
        <v>Geol Survey Link</v>
      </c>
      <c r="G5184" t="s">
        <v>3473</v>
      </c>
      <c r="H5184" t="s">
        <v>3491</v>
      </c>
      <c r="I5184">
        <v>-41.579900000000002</v>
      </c>
      <c r="J5184">
        <v>145.71799999999999</v>
      </c>
      <c r="K5184" t="str">
        <f>HYPERLINK("http://www.mrt.tas.gov.au/NVCLDataServices/mosaic.html?datasetid=30dc7256-6741-47dd-8fc9-014b8a14327","41123_FUD0081_Fossey_Underground_Core Image")</f>
        <v>41123_FUD0081_Fossey_Underground_Core Image</v>
      </c>
    </row>
    <row r="5185" spans="1:11" x14ac:dyDescent="0.25">
      <c r="A5185" t="str">
        <f>HYPERLINK("http://www.corstruth.com.au/Tas/44253_GLD001_Mt_Lyell_cs.png","44253_GLD001_Mt_Lyell_A4")</f>
        <v>44253_GLD001_Mt_Lyell_A4</v>
      </c>
      <c r="B5185" t="str">
        <f>HYPERLINK("http://www.corstruth.com.au/Tas/PNG2/44253_GLD001_Mt_Lyell_cs.png","44253_GLD001_Mt_Lyell_0.25m Bins")</f>
        <v>44253_GLD001_Mt_Lyell_0.25m Bins</v>
      </c>
      <c r="C5185" t="str">
        <f>HYPERLINK("http://www.corstruth.com.au/Tas/CSV/44253_GLD001_Mt_Lyell.csv","44253_GLD001_Mt_Lyell_CSV File 1m Bins")</f>
        <v>44253_GLD001_Mt_Lyell_CSV File 1m Bins</v>
      </c>
      <c r="D5185">
        <v>44253</v>
      </c>
      <c r="E5185" t="s">
        <v>3422</v>
      </c>
      <c r="F5185" t="str">
        <f>HYPERLINK("http://www.mrt.tas.gov.au/webdoc2/app/default/drilling_detail?id=44253","Geol Survey Link")</f>
        <v>Geol Survey Link</v>
      </c>
      <c r="G5185" t="s">
        <v>3473</v>
      </c>
      <c r="H5185" t="s">
        <v>3492</v>
      </c>
      <c r="I5185">
        <v>-42.071800000000003</v>
      </c>
      <c r="J5185">
        <v>145.584</v>
      </c>
      <c r="K5185" t="str">
        <f>HYPERLINK("http://www.mrt.tas.gov.au/NVCLDataServices/mosaic.html?datasetid=72bf02f9-7f93-4669-b982-428c14d7751","44253_GLD001_Mt_Lyell_Core Image")</f>
        <v>44253_GLD001_Mt_Lyell_Core Image</v>
      </c>
    </row>
    <row r="5186" spans="1:11" x14ac:dyDescent="0.25">
      <c r="A5186" t="str">
        <f>HYPERLINK("http://www.corstruth.com.au/Tas/45573_GLD002_Glen_Lyell_cs.png","45573_GLD002_Glen_Lyell_A4")</f>
        <v>45573_GLD002_Glen_Lyell_A4</v>
      </c>
      <c r="B5186" t="str">
        <f>HYPERLINK("http://www.corstruth.com.au/Tas/PNG2/45573_GLD002_Glen_Lyell_cs.png","45573_GLD002_Glen_Lyell_0.25m Bins")</f>
        <v>45573_GLD002_Glen_Lyell_0.25m Bins</v>
      </c>
      <c r="C5186" t="str">
        <f>HYPERLINK("http://www.corstruth.com.au/Tas/CSV/45573_GLD002_Glen_Lyell.csv","45573_GLD002_Glen_Lyell_CSV File 1m Bins")</f>
        <v>45573_GLD002_Glen_Lyell_CSV File 1m Bins</v>
      </c>
      <c r="D5186">
        <v>45573</v>
      </c>
      <c r="E5186" t="s">
        <v>3422</v>
      </c>
      <c r="F5186" t="str">
        <f>HYPERLINK("http://www.mrt.tas.gov.au/webdoc2/app/default/drilling_detail?id=45573","Geol Survey Link")</f>
        <v>Geol Survey Link</v>
      </c>
      <c r="G5186" t="s">
        <v>3473</v>
      </c>
      <c r="H5186" t="s">
        <v>3492</v>
      </c>
      <c r="I5186">
        <v>-42.071800000000003</v>
      </c>
      <c r="J5186">
        <v>145.584</v>
      </c>
      <c r="K5186" t="str">
        <f>HYPERLINK("http://www.mrt.tas.gov.au/NVCLDataServices/mosaic.html?datasetid=5298434e-9d3d-49aa-96c6-d71cf4b5a97","45573_GLD002_Glen_Lyell_Core Image")</f>
        <v>45573_GLD002_Glen_Lyell_Core Image</v>
      </c>
    </row>
    <row r="5187" spans="1:11" x14ac:dyDescent="0.25">
      <c r="A5187" t="str">
        <f>HYPERLINK("http://www.corstruth.com.au/Tas/13246_HAT2_cs.png","13246_HAT2_A4")</f>
        <v>13246_HAT2_A4</v>
      </c>
      <c r="B5187" t="str">
        <f>HYPERLINK("http://www.corstruth.com.au/Tas/PNG2/13246_HAT2_cs.png","13246_HAT2_0.25m Bins")</f>
        <v>13246_HAT2_0.25m Bins</v>
      </c>
      <c r="C5187" t="str">
        <f>HYPERLINK("http://www.corstruth.com.au/Tas/CSV/13246_HAT2.csv","13246_HAT2_CSV File 1m Bins")</f>
        <v>13246_HAT2_CSV File 1m Bins</v>
      </c>
      <c r="D5187">
        <v>13246</v>
      </c>
      <c r="E5187" t="s">
        <v>3422</v>
      </c>
      <c r="F5187" t="str">
        <f>HYPERLINK("http://www.mrt.tas.gov.au/webdoc2/app/default/drilling_detail?id=13246","Geol Survey Link")</f>
        <v>Geol Survey Link</v>
      </c>
      <c r="G5187" t="s">
        <v>3473</v>
      </c>
      <c r="H5187" t="s">
        <v>3493</v>
      </c>
      <c r="I5187">
        <v>-41.612200000000001</v>
      </c>
      <c r="J5187">
        <v>145.66900000000001</v>
      </c>
      <c r="K5187" t="str">
        <f>HYPERLINK("http://www.mrt.tas.gov.au/NVCLDataServices/mosaic.html?datasetid=79c294c8-6eaa-4874-829a-99f58fe5047","13246_HAT2_Core Image")</f>
        <v>13246_HAT2_Core Image</v>
      </c>
    </row>
    <row r="5188" spans="1:11" x14ac:dyDescent="0.25">
      <c r="A5188" t="str">
        <f>HYPERLINK("http://www.corstruth.com.au/Tas/13247_HAT2A_cs.png","13247_HAT2A_A4")</f>
        <v>13247_HAT2A_A4</v>
      </c>
      <c r="B5188" t="str">
        <f>HYPERLINK("http://www.corstruth.com.au/Tas/PNG2/13247_HAT2A_cs.png","13247_HAT2A_0.25m Bins")</f>
        <v>13247_HAT2A_0.25m Bins</v>
      </c>
      <c r="C5188" t="str">
        <f>HYPERLINK("http://www.corstruth.com.au/Tas/CSV/13247_HAT2A.csv","13247_HAT2A_CSV File 1m Bins")</f>
        <v>13247_HAT2A_CSV File 1m Bins</v>
      </c>
      <c r="D5188">
        <v>13247</v>
      </c>
      <c r="E5188" t="s">
        <v>3422</v>
      </c>
      <c r="F5188" t="str">
        <f>HYPERLINK("http://www.mrt.tas.gov.au/webdoc2/app/default/drilling_detail?id=13247","Geol Survey Link")</f>
        <v>Geol Survey Link</v>
      </c>
      <c r="G5188" t="s">
        <v>3473</v>
      </c>
      <c r="H5188" t="s">
        <v>3493</v>
      </c>
      <c r="I5188">
        <v>-41.612200000000001</v>
      </c>
      <c r="J5188">
        <v>145.66900000000001</v>
      </c>
      <c r="K5188" t="str">
        <f>HYPERLINK("http://www.mrt.tas.gov.au/NVCLDataServices/mosaic.html?datasetid=64141d14-e634-474a-963c-1efe8c3566c","13247_HAT2A_Core Image")</f>
        <v>13247_HAT2A_Core Image</v>
      </c>
    </row>
    <row r="5189" spans="1:11" x14ac:dyDescent="0.25">
      <c r="A5189" t="str">
        <f>HYPERLINK("http://www.corstruth.com.au/Tas/8484_HAT7_cs.png","8484_HAT7_A4")</f>
        <v>8484_HAT7_A4</v>
      </c>
      <c r="B5189" t="str">
        <f>HYPERLINK("http://www.corstruth.com.au/Tas/PNG2/8484_HAT7_cs.png","8484_HAT7_0.25m Bins")</f>
        <v>8484_HAT7_0.25m Bins</v>
      </c>
      <c r="C5189" t="str">
        <f>HYPERLINK("http://www.corstruth.com.au/Tas/CSV/8484_HAT7.csv","8484_HAT7_CSV File 1m Bins")</f>
        <v>8484_HAT7_CSV File 1m Bins</v>
      </c>
      <c r="D5189">
        <v>8484</v>
      </c>
      <c r="E5189" t="s">
        <v>3422</v>
      </c>
      <c r="F5189" t="str">
        <f>HYPERLINK("http://www.mrt.tas.gov.au/webdoc2/app/default/drilling_detail?id=8484","Geol Survey Link")</f>
        <v>Geol Survey Link</v>
      </c>
      <c r="G5189" t="s">
        <v>3473</v>
      </c>
      <c r="H5189" t="s">
        <v>3493</v>
      </c>
      <c r="I5189">
        <v>-41.610100000000003</v>
      </c>
      <c r="J5189">
        <v>145.68100000000001</v>
      </c>
      <c r="K5189" t="str">
        <f>HYPERLINK("http://www.mrt.tas.gov.au/NVCLDataServices/mosaic.html?datasetid=35b5306c-c3b8-4f64-b093-0b087a3a1c2","8484_HAT7_Core Image")</f>
        <v>8484_HAT7_Core Image</v>
      </c>
    </row>
    <row r="5190" spans="1:11" x14ac:dyDescent="0.25">
      <c r="A5190" t="str">
        <f>HYPERLINK("http://www.corstruth.com.au/Tas/8485_MC14_cs.png","8485_MC14_A4")</f>
        <v>8485_MC14_A4</v>
      </c>
      <c r="B5190" t="str">
        <f>HYPERLINK("http://www.corstruth.com.au/Tas/PNG2/8485_MC14_cs.png","8485_MC14_0.25m Bins")</f>
        <v>8485_MC14_0.25m Bins</v>
      </c>
      <c r="C5190" t="str">
        <f>HYPERLINK("http://www.corstruth.com.au/Tas/CSV/8485_MC14.csv","8485_MC14_CSV File 1m Bins")</f>
        <v>8485_MC14_CSV File 1m Bins</v>
      </c>
      <c r="D5190">
        <v>8485</v>
      </c>
      <c r="E5190" t="s">
        <v>3422</v>
      </c>
      <c r="F5190" t="str">
        <f>HYPERLINK("http://www.mrt.tas.gov.au/webdoc2/app/default/drilling_detail?id=8485","Geol Survey Link")</f>
        <v>Geol Survey Link</v>
      </c>
      <c r="G5190" t="s">
        <v>3473</v>
      </c>
      <c r="H5190" t="s">
        <v>3494</v>
      </c>
      <c r="I5190">
        <v>-41.616300000000003</v>
      </c>
      <c r="J5190">
        <v>145.66300000000001</v>
      </c>
      <c r="K5190" t="str">
        <f>HYPERLINK("http://www.mrt.tas.gov.au/NVCLDataServices/mosaic.html?datasetid=017f6e44-2f7b-438b-9776-64509d28505","8485_MC14_Core Image")</f>
        <v>8485_MC14_Core Image</v>
      </c>
    </row>
    <row r="5191" spans="1:11" x14ac:dyDescent="0.25">
      <c r="A5191" t="str">
        <f>HYPERLINK("http://www.corstruth.com.au/Tas/9501_MC12_cs.png","9501_MC12_A4")</f>
        <v>9501_MC12_A4</v>
      </c>
      <c r="B5191" t="str">
        <f>HYPERLINK("http://www.corstruth.com.au/Tas/PNG2/9501_MC12_cs.png","9501_MC12_0.25m Bins")</f>
        <v>9501_MC12_0.25m Bins</v>
      </c>
      <c r="C5191" t="str">
        <f>HYPERLINK("http://www.corstruth.com.au/Tas/CSV/9501_MC12.csv","9501_MC12_CSV File 1m Bins")</f>
        <v>9501_MC12_CSV File 1m Bins</v>
      </c>
      <c r="D5191">
        <v>9501</v>
      </c>
      <c r="E5191" t="s">
        <v>3422</v>
      </c>
      <c r="F5191" t="str">
        <f>HYPERLINK("http://www.mrt.tas.gov.au/webdoc2/app/default/drilling_detail?id=9501","Geol Survey Link")</f>
        <v>Geol Survey Link</v>
      </c>
      <c r="G5191" t="s">
        <v>3473</v>
      </c>
      <c r="H5191" t="s">
        <v>3495</v>
      </c>
      <c r="I5191">
        <v>-41.610799999999998</v>
      </c>
      <c r="J5191">
        <v>145.67099999999999</v>
      </c>
      <c r="K5191" t="str">
        <f>HYPERLINK("http://www.mrt.tas.gov.au/NVCLDataServices/mosaic.html?datasetid=9c40260a-0e96-499d-9921-99317c4cad8","9501_MC12_Core Image")</f>
        <v>9501_MC12_Core Image</v>
      </c>
    </row>
    <row r="5192" spans="1:11" x14ac:dyDescent="0.25">
      <c r="A5192" t="str">
        <f>HYPERLINK("http://www.corstruth.com.au/Tas/32032_HL366_Hellyer_cs.png","32032_HL366_Hellyer_A4")</f>
        <v>32032_HL366_Hellyer_A4</v>
      </c>
      <c r="B5192" t="str">
        <f>HYPERLINK("http://www.corstruth.com.au/Tas/PNG2/32032_HL366_Hellyer_cs.png","32032_HL366_Hellyer_0.25m Bins")</f>
        <v>32032_HL366_Hellyer_0.25m Bins</v>
      </c>
      <c r="C5192" t="str">
        <f>HYPERLINK("http://www.corstruth.com.au/Tas/CSV/32032_HL366_Hellyer.csv","32032_HL366_Hellyer_CSV File 1m Bins")</f>
        <v>32032_HL366_Hellyer_CSV File 1m Bins</v>
      </c>
      <c r="D5192">
        <v>32032</v>
      </c>
      <c r="E5192" t="s">
        <v>3422</v>
      </c>
      <c r="F5192" t="str">
        <f>HYPERLINK("http://www.mrt.tas.gov.au/webdoc2/app/default/drilling_detail?id=32032","Geol Survey Link")</f>
        <v>Geol Survey Link</v>
      </c>
      <c r="G5192" t="s">
        <v>3473</v>
      </c>
      <c r="H5192" t="s">
        <v>3496</v>
      </c>
      <c r="I5192">
        <v>-41.5745</v>
      </c>
      <c r="J5192">
        <v>145.72200000000001</v>
      </c>
      <c r="K5192" t="str">
        <f>HYPERLINK("http://www.mrt.tas.gov.au/NVCLDataServices/mosaic.html?datasetid=49abed54-0cbc-4521-8cca-0d303a58a67","32032_HL366_Hellyer_Core Image")</f>
        <v>32032_HL366_Hellyer_Core Image</v>
      </c>
    </row>
    <row r="5193" spans="1:11" x14ac:dyDescent="0.25">
      <c r="A5193" t="str">
        <f>HYPERLINK("http://www.corstruth.com.au/Tas/32033_HL742_Hellyer_cs.png","32033_HL742_Hellyer_A4")</f>
        <v>32033_HL742_Hellyer_A4</v>
      </c>
      <c r="B5193" t="str">
        <f>HYPERLINK("http://www.corstruth.com.au/Tas/PNG2/32033_HL742_Hellyer_cs.png","32033_HL742_Hellyer_0.25m Bins")</f>
        <v>32033_HL742_Hellyer_0.25m Bins</v>
      </c>
      <c r="C5193" t="str">
        <f>HYPERLINK("http://www.corstruth.com.au/Tas/CSV/32033_HL742_Hellyer.csv","32033_HL742_Hellyer_CSV File 1m Bins")</f>
        <v>32033_HL742_Hellyer_CSV File 1m Bins</v>
      </c>
      <c r="D5193">
        <v>32033</v>
      </c>
      <c r="E5193" t="s">
        <v>3422</v>
      </c>
      <c r="F5193" t="str">
        <f>HYPERLINK("http://www.mrt.tas.gov.au/webdoc2/app/default/drilling_detail?id=32033","Geol Survey Link")</f>
        <v>Geol Survey Link</v>
      </c>
      <c r="G5193" t="s">
        <v>3473</v>
      </c>
      <c r="H5193" t="s">
        <v>3496</v>
      </c>
      <c r="I5193">
        <v>-41.573399999999999</v>
      </c>
      <c r="J5193">
        <v>145.72499999999999</v>
      </c>
      <c r="K5193" t="str">
        <f>HYPERLINK("http://www.mrt.tas.gov.au/NVCLDataServices/mosaic.html?datasetid=f65dac1e-0c37-4b39-9bcc-7e58f2c455c","32033_HL742_Hellyer_Core Image")</f>
        <v>32033_HL742_Hellyer_Core Image</v>
      </c>
    </row>
    <row r="5194" spans="1:11" x14ac:dyDescent="0.25">
      <c r="A5194" t="str">
        <f>HYPERLINK("http://www.corstruth.com.au/Tas/44193_HL0703_Hellyer_cs.png","44193_HL0703_Hellyer_A4")</f>
        <v>44193_HL0703_Hellyer_A4</v>
      </c>
      <c r="B5194" t="str">
        <f>HYPERLINK("http://www.corstruth.com.au/Tas/PNG2/44193_HL0703_Hellyer_cs.png","44193_HL0703_Hellyer_0.25m Bins")</f>
        <v>44193_HL0703_Hellyer_0.25m Bins</v>
      </c>
      <c r="C5194" t="str">
        <f>HYPERLINK("http://www.corstruth.com.au/Tas/CSV/44193_HL0703_Hellyer.csv","44193_HL0703_Hellyer_CSV File 1m Bins")</f>
        <v>44193_HL0703_Hellyer_CSV File 1m Bins</v>
      </c>
      <c r="D5194">
        <v>44193</v>
      </c>
      <c r="E5194" t="s">
        <v>3422</v>
      </c>
      <c r="F5194" t="str">
        <f>HYPERLINK("http://www.mrt.tas.gov.au/webdoc2/app/default/drilling_detail?id=44193","Geol Survey Link")</f>
        <v>Geol Survey Link</v>
      </c>
      <c r="G5194" t="s">
        <v>3473</v>
      </c>
      <c r="H5194" t="s">
        <v>3496</v>
      </c>
      <c r="I5194">
        <v>-41.577399999999997</v>
      </c>
      <c r="J5194">
        <v>145.72</v>
      </c>
      <c r="K5194" t="str">
        <f>HYPERLINK("http://www.mrt.tas.gov.au/NVCLDataServices/mosaic.html?datasetid=472ddef6-819c-427f-9584-9bb46fb60fa","44193_HL0703_Hellyer_Core Image")</f>
        <v>44193_HL0703_Hellyer_Core Image</v>
      </c>
    </row>
    <row r="5195" spans="1:11" x14ac:dyDescent="0.25">
      <c r="A5195" t="str">
        <f>HYPERLINK("http://www.corstruth.com.au/Tas/9062_HL084_Hellyer_cs.png","9062_HL084_Hellyer_A4")</f>
        <v>9062_HL084_Hellyer_A4</v>
      </c>
      <c r="B5195" t="str">
        <f>HYPERLINK("http://www.corstruth.com.au/Tas/PNG2/9062_HL084_Hellyer_cs.png","9062_HL084_Hellyer_0.25m Bins")</f>
        <v>9062_HL084_Hellyer_0.25m Bins</v>
      </c>
      <c r="C5195" t="str">
        <f>HYPERLINK("http://www.corstruth.com.au/Tas/CSV/9062_HL084_Hellyer.csv","9062_HL084_Hellyer_CSV File 1m Bins")</f>
        <v>9062_HL084_Hellyer_CSV File 1m Bins</v>
      </c>
      <c r="D5195">
        <v>9062</v>
      </c>
      <c r="E5195" t="s">
        <v>3422</v>
      </c>
      <c r="F5195" t="str">
        <f>HYPERLINK("http://www.mrt.tas.gov.au/webdoc2/app/default/drilling_detail?id=9062","Geol Survey Link")</f>
        <v>Geol Survey Link</v>
      </c>
      <c r="G5195" t="s">
        <v>3473</v>
      </c>
      <c r="H5195" t="s">
        <v>3496</v>
      </c>
      <c r="I5195">
        <v>-41.577100000000002</v>
      </c>
      <c r="J5195">
        <v>145.727</v>
      </c>
      <c r="K5195" t="str">
        <f>HYPERLINK("http://www.mrt.tas.gov.au/NVCLDataServices/mosaic.html?datasetid=072a580e-e70a-4148-a1f4-7e049e752be","9062_HL084_Hellyer_Core Image")</f>
        <v>9062_HL084_Hellyer_Core Image</v>
      </c>
    </row>
    <row r="5196" spans="1:11" x14ac:dyDescent="0.25">
      <c r="A5196" t="str">
        <f>HYPERLINK("http://www.corstruth.com.au/Tas/9122_HL306_Hellyer_cs.png","9122_HL306_Hellyer_A4")</f>
        <v>9122_HL306_Hellyer_A4</v>
      </c>
      <c r="B5196" t="str">
        <f>HYPERLINK("http://www.corstruth.com.au/Tas/PNG2/9122_HL306_Hellyer_cs.png","9122_HL306_Hellyer_0.25m Bins")</f>
        <v>9122_HL306_Hellyer_0.25m Bins</v>
      </c>
      <c r="C5196" t="str">
        <f>HYPERLINK("http://www.corstruth.com.au/Tas/CSV/9122_HL306_Hellyer.csv","9122_HL306_Hellyer_CSV File 1m Bins")</f>
        <v>9122_HL306_Hellyer_CSV File 1m Bins</v>
      </c>
      <c r="D5196">
        <v>9122</v>
      </c>
      <c r="E5196" t="s">
        <v>3422</v>
      </c>
      <c r="F5196" t="str">
        <f>HYPERLINK("http://www.mrt.tas.gov.au/webdoc2/app/default/drilling_detail?id=9122","Geol Survey Link")</f>
        <v>Geol Survey Link</v>
      </c>
      <c r="G5196" t="s">
        <v>3473</v>
      </c>
      <c r="H5196" t="s">
        <v>3496</v>
      </c>
      <c r="I5196">
        <v>-41.573999999999998</v>
      </c>
      <c r="J5196">
        <v>145.72300000000001</v>
      </c>
      <c r="K5196" t="str">
        <f>HYPERLINK("http://www.mrt.tas.gov.au/NVCLDataServices/mosaic.html?datasetid=add55013-0b53-4299-9dfd-b10ad3d8128","9122_HL306_Hellyer_Core Image")</f>
        <v>9122_HL306_Hellyer_Core Image</v>
      </c>
    </row>
    <row r="5197" spans="1:11" x14ac:dyDescent="0.25">
      <c r="A5197" t="str">
        <f>HYPERLINK("http://www.corstruth.com.au/Tas/9867_HL678_Hellyer_cs.png","9867_HL678_Hellyer_A4")</f>
        <v>9867_HL678_Hellyer_A4</v>
      </c>
      <c r="B5197" t="str">
        <f>HYPERLINK("http://www.corstruth.com.au/Tas/PNG2/9867_HL678_Hellyer_cs.png","9867_HL678_Hellyer_0.25m Bins")</f>
        <v>9867_HL678_Hellyer_0.25m Bins</v>
      </c>
      <c r="C5197" t="str">
        <f>HYPERLINK("http://www.corstruth.com.au/Tas/CSV/9867_HL678_Hellyer.csv","9867_HL678_Hellyer_CSV File 1m Bins")</f>
        <v>9867_HL678_Hellyer_CSV File 1m Bins</v>
      </c>
      <c r="D5197">
        <v>9867</v>
      </c>
      <c r="E5197" t="s">
        <v>3422</v>
      </c>
      <c r="F5197" t="str">
        <f>HYPERLINK("http://www.mrt.tas.gov.au/webdoc2/app/default/drilling_detail?id=9867","Geol Survey Link")</f>
        <v>Geol Survey Link</v>
      </c>
      <c r="G5197" t="s">
        <v>3473</v>
      </c>
      <c r="H5197" t="s">
        <v>3496</v>
      </c>
      <c r="I5197">
        <v>-41.578499999999998</v>
      </c>
      <c r="J5197">
        <v>145.71700000000001</v>
      </c>
      <c r="K5197" t="str">
        <f>HYPERLINK("http://www.mrt.tas.gov.au/NVCLDataServices/mosaic.html?datasetid=9975b7e7-29fd-476b-9b27-ece64014edd","9867_HL678_Hellyer_Core Image")</f>
        <v>9867_HL678_Hellyer_Core Image</v>
      </c>
    </row>
    <row r="5198" spans="1:11" x14ac:dyDescent="0.25">
      <c r="A5198" t="str">
        <f>HYPERLINK("http://www.corstruth.com.au/Tas/14542_HP096A_Henty_cs.png","14542_HP096A_Henty_A4")</f>
        <v>14542_HP096A_Henty_A4</v>
      </c>
      <c r="B5198" t="str">
        <f>HYPERLINK("http://www.corstruth.com.au/Tas/PNG2/14542_HP096A_Henty_cs.png","14542_HP096A_Henty_0.25m Bins")</f>
        <v>14542_HP096A_Henty_0.25m Bins</v>
      </c>
      <c r="C5198" t="str">
        <f>HYPERLINK("http://www.corstruth.com.au/Tas/CSV/14542_HP096A_Henty.csv","14542_HP096A_Henty_CSV File 1m Bins")</f>
        <v>14542_HP096A_Henty_CSV File 1m Bins</v>
      </c>
      <c r="D5198">
        <v>14542</v>
      </c>
      <c r="E5198" t="s">
        <v>3422</v>
      </c>
      <c r="F5198" t="str">
        <f>HYPERLINK("http://www.mrt.tas.gov.au/webdoc2/app/default/drilling_detail?id=14542","Geol Survey Link")</f>
        <v>Geol Survey Link</v>
      </c>
      <c r="G5198" t="s">
        <v>3473</v>
      </c>
      <c r="H5198" t="s">
        <v>3497</v>
      </c>
      <c r="I5198">
        <v>-41.866199999999999</v>
      </c>
      <c r="J5198">
        <v>145.55099999999999</v>
      </c>
      <c r="K5198" t="str">
        <f>HYPERLINK("http://www.mrt.tas.gov.au/NVCLDataServices/mosaic.html?datasetid=09355e7a-eb90-49d1-8d32-d84e4e91004","14542_HP096A_Henty_Core Image")</f>
        <v>14542_HP096A_Henty_Core Image</v>
      </c>
    </row>
    <row r="5199" spans="1:11" x14ac:dyDescent="0.25">
      <c r="A5199" t="str">
        <f>HYPERLINK("http://www.corstruth.com.au/Tas/67311_Z20462_Henty_cs.png","67311_Z20462_Henty_A4")</f>
        <v>67311_Z20462_Henty_A4</v>
      </c>
      <c r="B5199" t="str">
        <f>HYPERLINK("http://www.corstruth.com.au/Tas/PNG2/67311_Z20462_Henty_cs.png","67311_Z20462_Henty_0.25m Bins")</f>
        <v>67311_Z20462_Henty_0.25m Bins</v>
      </c>
      <c r="C5199" t="str">
        <f>HYPERLINK("http://www.corstruth.com.au/Tas/CSV/67311_Z20462_Henty.csv","67311_Z20462_Henty_CSV File 1m Bins")</f>
        <v>67311_Z20462_Henty_CSV File 1m Bins</v>
      </c>
      <c r="D5199">
        <v>67311</v>
      </c>
      <c r="E5199" t="s">
        <v>3422</v>
      </c>
      <c r="F5199" t="str">
        <f>HYPERLINK("http://www.mrt.tas.gov.au/webdoc2/app/default/drilling_detail?id=67311","Geol Survey Link")</f>
        <v>Geol Survey Link</v>
      </c>
      <c r="G5199" t="s">
        <v>3473</v>
      </c>
      <c r="H5199" t="s">
        <v>3497</v>
      </c>
      <c r="I5199">
        <v>-41.863100000000003</v>
      </c>
      <c r="J5199">
        <v>145.55799999999999</v>
      </c>
    </row>
    <row r="5200" spans="1:11" x14ac:dyDescent="0.25">
      <c r="A5200" t="str">
        <f>HYPERLINK("http://www.corstruth.com.au/Tas/67313_Z20464_Henty_cs.png","67313_Z20464_Henty_A4")</f>
        <v>67313_Z20464_Henty_A4</v>
      </c>
      <c r="B5200" t="str">
        <f>HYPERLINK("http://www.corstruth.com.au/Tas/PNG2/67313_Z20464_Henty_cs.png","67313_Z20464_Henty_0.25m Bins")</f>
        <v>67313_Z20464_Henty_0.25m Bins</v>
      </c>
      <c r="C5200" t="str">
        <f>HYPERLINK("http://www.corstruth.com.au/Tas/CSV/67313_Z20464_Henty.csv","67313_Z20464_Henty_CSV File 1m Bins")</f>
        <v>67313_Z20464_Henty_CSV File 1m Bins</v>
      </c>
      <c r="D5200">
        <v>67313</v>
      </c>
      <c r="E5200" t="s">
        <v>3422</v>
      </c>
      <c r="F5200" t="str">
        <f>HYPERLINK("http://www.mrt.tas.gov.au/webdoc2/app/default/drilling_detail?id=67313","Geol Survey Link")</f>
        <v>Geol Survey Link</v>
      </c>
      <c r="G5200" t="s">
        <v>3473</v>
      </c>
      <c r="H5200" t="s">
        <v>3497</v>
      </c>
      <c r="I5200">
        <v>-41.863100000000003</v>
      </c>
      <c r="J5200">
        <v>145.55799999999999</v>
      </c>
    </row>
    <row r="5201" spans="1:11" x14ac:dyDescent="0.25">
      <c r="A5201" t="str">
        <f>HYPERLINK("http://www.corstruth.com.au/Tas/83315_Z22003_Henty_cs.png","83315_Z22003_Henty_A4")</f>
        <v>83315_Z22003_Henty_A4</v>
      </c>
      <c r="B5201" t="str">
        <f>HYPERLINK("http://www.corstruth.com.au/Tas/PNG2/83315_Z22003_Henty_cs.png","83315_Z22003_Henty_0.25m Bins")</f>
        <v>83315_Z22003_Henty_0.25m Bins</v>
      </c>
      <c r="C5201" t="str">
        <f>HYPERLINK("http://www.corstruth.com.au/Tas/CSV/83315_Z22003_Henty.csv","83315_Z22003_Henty_CSV File 1m Bins")</f>
        <v>83315_Z22003_Henty_CSV File 1m Bins</v>
      </c>
      <c r="D5201">
        <v>83315</v>
      </c>
      <c r="E5201" t="s">
        <v>3422</v>
      </c>
      <c r="F5201" t="str">
        <f>HYPERLINK("http://www.mrt.tas.gov.au/webdoc2/app/default/drilling_detail?id=83315","Geol Survey Link")</f>
        <v>Geol Survey Link</v>
      </c>
      <c r="G5201" t="s">
        <v>3473</v>
      </c>
      <c r="H5201" t="s">
        <v>3497</v>
      </c>
      <c r="I5201">
        <v>-41.879300000000001</v>
      </c>
      <c r="J5201">
        <v>145.55500000000001</v>
      </c>
    </row>
    <row r="5202" spans="1:11" x14ac:dyDescent="0.25">
      <c r="A5202" t="str">
        <f>HYPERLINK("http://www.corstruth.com.au/Tas/82995_Z20887_Henty_cs.png","82995_Z20887_Henty_A4")</f>
        <v>82995_Z20887_Henty_A4</v>
      </c>
      <c r="B5202" t="str">
        <f>HYPERLINK("http://www.corstruth.com.au/Tas/PNG2/82995_Z20887_Henty_cs.png","82995_Z20887_Henty_0.25m Bins")</f>
        <v>82995_Z20887_Henty_0.25m Bins</v>
      </c>
      <c r="C5202" t="str">
        <f>HYPERLINK("http://www.corstruth.com.au/Tas/CSV/82995_Z20887_Henty.csv","82995_Z20887_Henty_CSV File 1m Bins")</f>
        <v>82995_Z20887_Henty_CSV File 1m Bins</v>
      </c>
      <c r="D5202">
        <v>82995</v>
      </c>
      <c r="E5202" t="s">
        <v>3422</v>
      </c>
      <c r="F5202" t="str">
        <f>HYPERLINK("http://www.mrt.tas.gov.au/webdoc2/app/default/drilling_detail?id=82995","Geol Survey Link")</f>
        <v>Geol Survey Link</v>
      </c>
      <c r="G5202" t="s">
        <v>3473</v>
      </c>
      <c r="H5202" t="s">
        <v>3498</v>
      </c>
      <c r="I5202">
        <v>-41.885800000000003</v>
      </c>
      <c r="J5202">
        <v>145.55099999999999</v>
      </c>
    </row>
    <row r="5203" spans="1:11" x14ac:dyDescent="0.25">
      <c r="A5203" t="str">
        <f>HYPERLINK("http://www.corstruth.com.au/Tas/16291_HP37_Henty_Prospect_cs.png","16291_HP37_Henty_Prospect_A4")</f>
        <v>16291_HP37_Henty_Prospect_A4</v>
      </c>
      <c r="B5203" t="str">
        <f>HYPERLINK("http://www.corstruth.com.au/Tas/PNG2/16291_HP37_Henty_Prospect_cs.png","16291_HP37_Henty_Prospect_0.25m Bins")</f>
        <v>16291_HP37_Henty_Prospect_0.25m Bins</v>
      </c>
      <c r="C5203" t="str">
        <f>HYPERLINK("http://www.corstruth.com.au/Tas/CSV/16291_HP37_Henty_Prospect.csv","16291_HP37_Henty_Prospect_CSV File 1m Bins")</f>
        <v>16291_HP37_Henty_Prospect_CSV File 1m Bins</v>
      </c>
      <c r="D5203">
        <v>16291</v>
      </c>
      <c r="E5203" t="s">
        <v>3422</v>
      </c>
      <c r="F5203" t="str">
        <f>HYPERLINK("http://www.mrt.tas.gov.au/webdoc2/app/default/drilling_detail?id=16291","Geol Survey Link")</f>
        <v>Geol Survey Link</v>
      </c>
      <c r="G5203" t="s">
        <v>3473</v>
      </c>
      <c r="H5203" t="s">
        <v>3499</v>
      </c>
      <c r="I5203">
        <v>-41.859900000000003</v>
      </c>
      <c r="J5203">
        <v>145.55600000000001</v>
      </c>
    </row>
    <row r="5204" spans="1:11" x14ac:dyDescent="0.25">
      <c r="A5204" t="str">
        <f>HYPERLINK("http://www.corstruth.com.au/Tas/53137_H1034_cs.png","53137_H1034_A4")</f>
        <v>53137_H1034_A4</v>
      </c>
      <c r="B5204" t="str">
        <f>HYPERLINK("http://www.corstruth.com.au/Tas/PNG2/53137_H1034_cs.png","53137_H1034_0.25m Bins")</f>
        <v>53137_H1034_0.25m Bins</v>
      </c>
      <c r="C5204" t="str">
        <f>HYPERLINK("http://www.corstruth.com.au/Tas/CSV/53137_H1034.csv","53137_H1034_CSV File 1m Bins")</f>
        <v>53137_H1034_CSV File 1m Bins</v>
      </c>
      <c r="D5204">
        <v>53137</v>
      </c>
      <c r="E5204" t="s">
        <v>3422</v>
      </c>
      <c r="F5204" t="str">
        <f>HYPERLINK("http://www.mrt.tas.gov.au/webdoc2/app/default/drilling_detail?id=53137","Geol Survey Link")</f>
        <v>Geol Survey Link</v>
      </c>
      <c r="G5204" t="s">
        <v>3473</v>
      </c>
      <c r="H5204" t="s">
        <v>232</v>
      </c>
      <c r="I5204">
        <v>-41.844900000000003</v>
      </c>
      <c r="J5204">
        <v>145.51499999999999</v>
      </c>
      <c r="K5204" t="str">
        <f>HYPERLINK("http://www.mrt.tas.gov.au/NVCLDataServices/mosaic.html?datasetid=6ad24883-6657-465f-b046-d714f1c80e3","53137_H1034_Core Image")</f>
        <v>53137_H1034_Core Image</v>
      </c>
    </row>
    <row r="5205" spans="1:11" x14ac:dyDescent="0.25">
      <c r="A5205" t="str">
        <f>HYPERLINK("http://www.corstruth.com.au/Tas/53168_H1062_cs.png","53168_H1062_A4")</f>
        <v>53168_H1062_A4</v>
      </c>
      <c r="B5205" t="str">
        <f>HYPERLINK("http://www.corstruth.com.au/Tas/PNG2/53168_H1062_cs.png","53168_H1062_0.25m Bins")</f>
        <v>53168_H1062_0.25m Bins</v>
      </c>
      <c r="C5205" t="str">
        <f>HYPERLINK("http://www.corstruth.com.au/Tas/CSV/53168_H1062.csv","53168_H1062_CSV File 1m Bins")</f>
        <v>53168_H1062_CSV File 1m Bins</v>
      </c>
      <c r="D5205">
        <v>53168</v>
      </c>
      <c r="E5205" t="s">
        <v>3422</v>
      </c>
      <c r="F5205" t="str">
        <f>HYPERLINK("http://www.mrt.tas.gov.au/webdoc2/app/default/drilling_detail?id=53168","Geol Survey Link")</f>
        <v>Geol Survey Link</v>
      </c>
      <c r="G5205" t="s">
        <v>3473</v>
      </c>
      <c r="H5205" t="s">
        <v>232</v>
      </c>
      <c r="I5205">
        <v>-41.844900000000003</v>
      </c>
      <c r="J5205">
        <v>145.517</v>
      </c>
      <c r="K5205" t="str">
        <f>HYPERLINK("http://www.mrt.tas.gov.au/NVCLDataServices/mosaic.html?datasetid=a3eba50a-523d-407d-9172-ec4b309a6a6","53168_H1062_Core Image")</f>
        <v>53168_H1062_Core Image</v>
      </c>
    </row>
    <row r="5206" spans="1:11" x14ac:dyDescent="0.25">
      <c r="A5206" t="str">
        <f>HYPERLINK("http://www.corstruth.com.au/Tas/53238_H1127_cs.png","53238_H1127_A4")</f>
        <v>53238_H1127_A4</v>
      </c>
      <c r="B5206" t="str">
        <f>HYPERLINK("http://www.corstruth.com.au/Tas/PNG2/53238_H1127_cs.png","53238_H1127_0.25m Bins")</f>
        <v>53238_H1127_0.25m Bins</v>
      </c>
      <c r="C5206" t="str">
        <f>HYPERLINK("http://www.corstruth.com.au/Tas/CSV/53238_H1127.csv","53238_H1127_CSV File 1m Bins")</f>
        <v>53238_H1127_CSV File 1m Bins</v>
      </c>
      <c r="D5206">
        <v>53238</v>
      </c>
      <c r="E5206" t="s">
        <v>3422</v>
      </c>
      <c r="F5206" t="str">
        <f>HYPERLINK("http://www.mrt.tas.gov.au/webdoc2/app/default/drilling_detail?id=53238","Geol Survey Link")</f>
        <v>Geol Survey Link</v>
      </c>
      <c r="G5206" t="s">
        <v>3473</v>
      </c>
      <c r="H5206" t="s">
        <v>232</v>
      </c>
      <c r="I5206">
        <v>-41.851599999999998</v>
      </c>
      <c r="J5206">
        <v>145.51400000000001</v>
      </c>
      <c r="K5206" t="str">
        <f>HYPERLINK("http://www.mrt.tas.gov.au/NVCLDataServices/mosaic.html?datasetid=39a946dd-c769-44db-b24b-afbbbbd17cd","53238_H1127_Core Image")</f>
        <v>53238_H1127_Core Image</v>
      </c>
    </row>
    <row r="5207" spans="1:11" x14ac:dyDescent="0.25">
      <c r="A5207" t="str">
        <f>HYPERLINK("http://www.corstruth.com.au/Tas/54285_H932_cs.png","54285_H932_A4")</f>
        <v>54285_H932_A4</v>
      </c>
      <c r="B5207" t="str">
        <f>HYPERLINK("http://www.corstruth.com.au/Tas/PNG2/54285_H932_cs.png","54285_H932_0.25m Bins")</f>
        <v>54285_H932_0.25m Bins</v>
      </c>
      <c r="C5207" t="str">
        <f>HYPERLINK("http://www.corstruth.com.au/Tas/CSV/54285_H932.csv","54285_H932_CSV File 1m Bins")</f>
        <v>54285_H932_CSV File 1m Bins</v>
      </c>
      <c r="D5207">
        <v>54285</v>
      </c>
      <c r="E5207" t="s">
        <v>3422</v>
      </c>
      <c r="F5207" t="str">
        <f>HYPERLINK("http://www.mrt.tas.gov.au/webdoc2/app/default/drilling_detail?id=54285","Geol Survey Link")</f>
        <v>Geol Survey Link</v>
      </c>
      <c r="G5207" t="s">
        <v>3473</v>
      </c>
      <c r="H5207" t="s">
        <v>232</v>
      </c>
      <c r="I5207">
        <v>-41.847799999999999</v>
      </c>
      <c r="J5207">
        <v>145.51499999999999</v>
      </c>
      <c r="K5207" t="str">
        <f>HYPERLINK("http://www.mrt.tas.gov.au/NVCLDataServices/mosaic.html?datasetid=b2b9699b-767a-41c5-9da6-e515caf825c","54285_H932_Core Image")</f>
        <v>54285_H932_Core Image</v>
      </c>
    </row>
    <row r="5208" spans="1:11" x14ac:dyDescent="0.25">
      <c r="A5208" t="str">
        <f>HYPERLINK("http://www.corstruth.com.au/Tas/25157_MS1_cs.png","25157_MS1_A4")</f>
        <v>25157_MS1_A4</v>
      </c>
      <c r="B5208" t="str">
        <f>HYPERLINK("http://www.corstruth.com.au/Tas/PNG2/25157_MS1_cs.png","25157_MS1_0.25m Bins")</f>
        <v>25157_MS1_0.25m Bins</v>
      </c>
      <c r="C5208" t="str">
        <f>HYPERLINK("http://www.corstruth.com.au/Tas/CSV/25157_MS1.csv","25157_MS1_CSV File 1m Bins")</f>
        <v>25157_MS1_CSV File 1m Bins</v>
      </c>
      <c r="D5208">
        <v>25157</v>
      </c>
      <c r="E5208" t="s">
        <v>3422</v>
      </c>
      <c r="F5208" t="str">
        <f>HYPERLINK("http://www.mrt.tas.gov.au/webdoc2/app/default/drilling_detail?id=25157","Geol Survey Link")</f>
        <v>Geol Survey Link</v>
      </c>
      <c r="G5208" t="s">
        <v>3473</v>
      </c>
      <c r="H5208" t="s">
        <v>3500</v>
      </c>
      <c r="I5208">
        <v>-41.607599999999998</v>
      </c>
      <c r="J5208">
        <v>145.66</v>
      </c>
      <c r="K5208" t="str">
        <f>HYPERLINK("http://www.mrt.tas.gov.au/NVCLDataServices/mosaic.html?datasetid=9832ccb1-753e-495f-9469-a93722235cc","25157_MS1_Core Image")</f>
        <v>25157_MS1_Core Image</v>
      </c>
    </row>
    <row r="5209" spans="1:11" x14ac:dyDescent="0.25">
      <c r="A5209" t="str">
        <f>HYPERLINK("http://www.corstruth.com.au/Tas/6086_BHD1_High_Point_cs.png","6086_BHD1_High_Point_A4")</f>
        <v>6086_BHD1_High_Point_A4</v>
      </c>
      <c r="B5209" t="str">
        <f>HYPERLINK("http://www.corstruth.com.au/Tas/PNG2/6086_BHD1_High_Point_cs.png","6086_BHD1_High_Point_0.25m Bins")</f>
        <v>6086_BHD1_High_Point_0.25m Bins</v>
      </c>
      <c r="C5209" t="str">
        <f>HYPERLINK("http://www.corstruth.com.au/Tas/CSV/6086_BHD1_High_Point.csv","6086_BHD1_High_Point_CSV File 1m Bins")</f>
        <v>6086_BHD1_High_Point_CSV File 1m Bins</v>
      </c>
      <c r="D5209">
        <v>6086</v>
      </c>
      <c r="E5209" t="s">
        <v>3422</v>
      </c>
      <c r="F5209" t="str">
        <f>HYPERLINK("http://www.mrt.tas.gov.au/webdoc2/app/default/drilling_detail?id=6086","Geol Survey Link")</f>
        <v>Geol Survey Link</v>
      </c>
      <c r="G5209" t="s">
        <v>3473</v>
      </c>
      <c r="H5209" t="s">
        <v>3500</v>
      </c>
      <c r="I5209">
        <v>-41.612499999999997</v>
      </c>
      <c r="J5209">
        <v>145.65799999999999</v>
      </c>
      <c r="K5209" t="str">
        <f>HYPERLINK("http://www.mrt.tas.gov.au/NVCLDataServices/mosaic.html?datasetid=4f26b8f1-b46d-4991-84ad-d433bdb58da","6086_BHD1_High_Point_Core Image")</f>
        <v>6086_BHD1_High_Point_Core Image</v>
      </c>
    </row>
    <row r="5210" spans="1:11" x14ac:dyDescent="0.25">
      <c r="A5210" t="str">
        <f>HYPERLINK("http://www.corstruth.com.au/Tas/9246_JC1_Jones_Creek_Rosebery_cs.png","9246_JC1_Jones_Creek_Rosebery_A4")</f>
        <v>9246_JC1_Jones_Creek_Rosebery_A4</v>
      </c>
      <c r="B5210" t="str">
        <f>HYPERLINK("http://www.corstruth.com.au/Tas/PNG2/9246_JC1_Jones_Creek_Rosebery_cs.png","9246_JC1_Jones_Creek_Rosebery_0.25m Bins")</f>
        <v>9246_JC1_Jones_Creek_Rosebery_0.25m Bins</v>
      </c>
      <c r="C5210" t="str">
        <f>HYPERLINK("http://www.corstruth.com.au/Tas/CSV/9246_JC1_Jones_Creek_Rosebery.csv","9246_JC1_Jones_Creek_Rosebery_CSV File 1m Bins")</f>
        <v>9246_JC1_Jones_Creek_Rosebery_CSV File 1m Bins</v>
      </c>
      <c r="D5210">
        <v>9246</v>
      </c>
      <c r="E5210" t="s">
        <v>3422</v>
      </c>
      <c r="F5210" t="str">
        <f>HYPERLINK("http://www.mrt.tas.gov.au/webdoc2/app/default/drilling_detail?id=9246","Geol Survey Link")</f>
        <v>Geol Survey Link</v>
      </c>
      <c r="G5210" t="s">
        <v>3473</v>
      </c>
      <c r="H5210" t="s">
        <v>3501</v>
      </c>
      <c r="I5210">
        <v>-41.871000000000002</v>
      </c>
      <c r="J5210">
        <v>145.53200000000001</v>
      </c>
    </row>
    <row r="5211" spans="1:11" x14ac:dyDescent="0.25">
      <c r="A5211" t="str">
        <f>HYPERLINK("http://www.corstruth.com.au/Tas/5310_Z142000_cs.png","5310_Z142000_A4")</f>
        <v>5310_Z142000_A4</v>
      </c>
      <c r="B5211" t="str">
        <f>HYPERLINK("http://www.corstruth.com.au/Tas/PNG2/5310_Z142000_cs.png","5310_Z142000_0.25m Bins")</f>
        <v>5310_Z142000_0.25m Bins</v>
      </c>
      <c r="C5211" t="str">
        <f>HYPERLINK("http://www.corstruth.com.au/Tas/CSV/5310_Z142000.csv","5310_Z142000_CSV File 1m Bins")</f>
        <v>5310_Z142000_CSV File 1m Bins</v>
      </c>
      <c r="D5211">
        <v>5310</v>
      </c>
      <c r="E5211" t="s">
        <v>3422</v>
      </c>
      <c r="F5211" t="str">
        <f>HYPERLINK("http://www.mrt.tas.gov.au/webdoc2/app/default/drilling_detail?id=5310","Geol Survey Link")</f>
        <v>Geol Survey Link</v>
      </c>
      <c r="G5211" t="s">
        <v>3473</v>
      </c>
      <c r="H5211" t="s">
        <v>3502</v>
      </c>
      <c r="I5211">
        <v>-42.235500000000002</v>
      </c>
      <c r="J5211">
        <v>145.601</v>
      </c>
      <c r="K5211" t="str">
        <f>HYPERLINK("http://www.mrt.tas.gov.au/NVCLDataServices/mosaic.html?datasetid=04364b7e-f7bf-4e08-a0ae-90fcdf079ec","5310_Z142000_Core Image")</f>
        <v>5310_Z142000_Core Image</v>
      </c>
    </row>
    <row r="5212" spans="1:11" x14ac:dyDescent="0.25">
      <c r="A5212" t="str">
        <f>HYPERLINK("http://www.corstruth.com.au/Tas/5311_Z142001_cs.png","5311_Z142001_A4")</f>
        <v>5311_Z142001_A4</v>
      </c>
      <c r="B5212" t="str">
        <f>HYPERLINK("http://www.corstruth.com.au/Tas/PNG2/5311_Z142001_cs.png","5311_Z142001_0.25m Bins")</f>
        <v>5311_Z142001_0.25m Bins</v>
      </c>
      <c r="C5212" t="str">
        <f>HYPERLINK("http://www.corstruth.com.au/Tas/CSV/5311_Z142001.csv","5311_Z142001_CSV File 1m Bins")</f>
        <v>5311_Z142001_CSV File 1m Bins</v>
      </c>
      <c r="D5212">
        <v>5311</v>
      </c>
      <c r="E5212" t="s">
        <v>3422</v>
      </c>
      <c r="F5212" t="str">
        <f>HYPERLINK("http://www.mrt.tas.gov.au/webdoc2/app/default/drilling_detail?id=5311","Geol Survey Link")</f>
        <v>Geol Survey Link</v>
      </c>
      <c r="G5212" t="s">
        <v>3473</v>
      </c>
      <c r="H5212" t="s">
        <v>3502</v>
      </c>
      <c r="I5212">
        <v>-42.235500000000002</v>
      </c>
      <c r="J5212">
        <v>145.601</v>
      </c>
      <c r="K5212" t="str">
        <f>HYPERLINK("http://www.mrt.tas.gov.au/NVCLDataServices/mosaic.html?datasetid=fb449934-a014-4744-bb28-1b42846ea29","5311_Z142001_Core Image")</f>
        <v>5311_Z142001_Core Image</v>
      </c>
    </row>
    <row r="5213" spans="1:11" x14ac:dyDescent="0.25">
      <c r="A5213" t="str">
        <f>HYPERLINK("http://www.corstruth.com.au/Tas/5312_Z142002_cs.png","5312_Z142002_A4")</f>
        <v>5312_Z142002_A4</v>
      </c>
      <c r="B5213" t="str">
        <f>HYPERLINK("http://www.corstruth.com.au/Tas/PNG2/5312_Z142002_cs.png","5312_Z142002_0.25m Bins")</f>
        <v>5312_Z142002_0.25m Bins</v>
      </c>
      <c r="C5213" t="str">
        <f>HYPERLINK("http://www.corstruth.com.au/Tas/CSV/5312_Z142002.csv","5312_Z142002_CSV File 1m Bins")</f>
        <v>5312_Z142002_CSV File 1m Bins</v>
      </c>
      <c r="D5213">
        <v>5312</v>
      </c>
      <c r="E5213" t="s">
        <v>3422</v>
      </c>
      <c r="F5213" t="str">
        <f>HYPERLINK("http://www.mrt.tas.gov.au/webdoc2/app/default/drilling_detail?id=5312","Geol Survey Link")</f>
        <v>Geol Survey Link</v>
      </c>
      <c r="G5213" t="s">
        <v>3473</v>
      </c>
      <c r="H5213" t="s">
        <v>3502</v>
      </c>
      <c r="I5213">
        <v>-42.230600000000003</v>
      </c>
      <c r="J5213">
        <v>145.59899999999999</v>
      </c>
      <c r="K5213" t="str">
        <f>HYPERLINK("http://www.mrt.tas.gov.au/NVCLDataServices/mosaic.html?datasetid=a9fc547e-9e98-4c2a-9d83-36721b25f54","5312_Z142002_Core Image")</f>
        <v>5312_Z142002_Core Image</v>
      </c>
    </row>
    <row r="5214" spans="1:11" x14ac:dyDescent="0.25">
      <c r="A5214" t="str">
        <f>HYPERLINK("http://www.corstruth.com.au/Tas/5313_Z142003_cs.png","5313_Z142003_A4")</f>
        <v>5313_Z142003_A4</v>
      </c>
      <c r="B5214" t="str">
        <f>HYPERLINK("http://www.corstruth.com.au/Tas/PNG2/5313_Z142003_cs.png","5313_Z142003_0.25m Bins")</f>
        <v>5313_Z142003_0.25m Bins</v>
      </c>
      <c r="C5214" t="str">
        <f>HYPERLINK("http://www.corstruth.com.au/Tas/CSV/5313_Z142003.csv","5313_Z142003_CSV File 1m Bins")</f>
        <v>5313_Z142003_CSV File 1m Bins</v>
      </c>
      <c r="D5214">
        <v>5313</v>
      </c>
      <c r="E5214" t="s">
        <v>3422</v>
      </c>
      <c r="F5214" t="str">
        <f>HYPERLINK("http://www.mrt.tas.gov.au/webdoc2/app/default/drilling_detail?id=5313","Geol Survey Link")</f>
        <v>Geol Survey Link</v>
      </c>
      <c r="G5214" t="s">
        <v>3473</v>
      </c>
      <c r="H5214" t="s">
        <v>3502</v>
      </c>
      <c r="I5214">
        <v>-42.163400000000003</v>
      </c>
      <c r="J5214">
        <v>145.59200000000001</v>
      </c>
      <c r="K5214" t="str">
        <f>HYPERLINK("http://www.mrt.tas.gov.au/NVCLDataServices/mosaic.html?datasetid=2e1c6518-9be8-4ec2-9309-0e682e2e14e","5313_Z142003_Core Image")</f>
        <v>5313_Z142003_Core Image</v>
      </c>
    </row>
    <row r="5215" spans="1:11" x14ac:dyDescent="0.25">
      <c r="A5215" t="str">
        <f>HYPERLINK("http://www.corstruth.com.au/Tas/10242_JPR-01_cs.png","10242_JPR-01_A4")</f>
        <v>10242_JPR-01_A4</v>
      </c>
      <c r="B5215" t="str">
        <f>HYPERLINK("http://www.corstruth.com.au/Tas/PNG2/10242_JPR-01_cs.png","10242_JPR-01_0.25m Bins")</f>
        <v>10242_JPR-01_0.25m Bins</v>
      </c>
      <c r="C5215" t="str">
        <f>HYPERLINK("http://www.corstruth.com.au/Tas/CSV/10242_JPR-01.csv","10242_JPR-01_CSV File 1m Bins")</f>
        <v>10242_JPR-01_CSV File 1m Bins</v>
      </c>
      <c r="D5215">
        <v>10242</v>
      </c>
      <c r="E5215" t="s">
        <v>3422</v>
      </c>
      <c r="F5215" t="str">
        <f>HYPERLINK("http://www.mrt.tas.gov.au/webdoc2/app/default/drilling_detail?id=10242","Geol Survey Link")</f>
        <v>Geol Survey Link</v>
      </c>
      <c r="G5215" t="s">
        <v>3473</v>
      </c>
      <c r="H5215" t="s">
        <v>2113</v>
      </c>
      <c r="I5215">
        <v>-41.821899999999999</v>
      </c>
      <c r="J5215">
        <v>145.51300000000001</v>
      </c>
    </row>
    <row r="5216" spans="1:11" x14ac:dyDescent="0.25">
      <c r="A5216" t="str">
        <f>HYPERLINK("http://www.corstruth.com.au/Tas/54520_JP357_Jupiter_cs.png","54520_JP357_Jupiter_A4")</f>
        <v>54520_JP357_Jupiter_A4</v>
      </c>
      <c r="B5216" t="str">
        <f>HYPERLINK("http://www.corstruth.com.au/Tas/PNG2/54520_JP357_Jupiter_cs.png","54520_JP357_Jupiter_0.25m Bins")</f>
        <v>54520_JP357_Jupiter_0.25m Bins</v>
      </c>
      <c r="C5216" t="str">
        <f>HYPERLINK("http://www.corstruth.com.au/Tas/CSV/54520_JP357_Jupiter.csv","54520_JP357_Jupiter_CSV File 1m Bins")</f>
        <v>54520_JP357_Jupiter_CSV File 1m Bins</v>
      </c>
      <c r="D5216">
        <v>54520</v>
      </c>
      <c r="E5216" t="s">
        <v>3422</v>
      </c>
      <c r="F5216" t="str">
        <f>HYPERLINK("http://www.mrt.tas.gov.au/webdoc2/app/default/drilling_detail?id=54520","Geol Survey Link")</f>
        <v>Geol Survey Link</v>
      </c>
      <c r="G5216" t="s">
        <v>3473</v>
      </c>
      <c r="H5216" t="s">
        <v>2113</v>
      </c>
      <c r="I5216">
        <v>-41.8142</v>
      </c>
      <c r="J5216">
        <v>145.51599999999999</v>
      </c>
    </row>
    <row r="5217" spans="1:11" x14ac:dyDescent="0.25">
      <c r="A5217" t="str">
        <f>HYPERLINK("http://www.corstruth.com.au/Tas/54531_JP386_Jupiter_cs.png","54531_JP386_Jupiter_A4")</f>
        <v>54531_JP386_Jupiter_A4</v>
      </c>
      <c r="B5217" t="str">
        <f>HYPERLINK("http://www.corstruth.com.au/Tas/PNG2/54531_JP386_Jupiter_cs.png","54531_JP386_Jupiter_0.25m Bins")</f>
        <v>54531_JP386_Jupiter_0.25m Bins</v>
      </c>
      <c r="C5217" t="str">
        <f>HYPERLINK("http://www.corstruth.com.au/Tas/CSV/54531_JP386_Jupiter.csv","54531_JP386_Jupiter_CSV File 1m Bins")</f>
        <v>54531_JP386_Jupiter_CSV File 1m Bins</v>
      </c>
      <c r="D5217">
        <v>54531</v>
      </c>
      <c r="E5217" t="s">
        <v>3422</v>
      </c>
      <c r="F5217" t="str">
        <f>HYPERLINK("http://www.mrt.tas.gov.au/webdoc2/app/default/drilling_detail?id=54531","Geol Survey Link")</f>
        <v>Geol Survey Link</v>
      </c>
      <c r="G5217" t="s">
        <v>3473</v>
      </c>
      <c r="H5217" t="s">
        <v>2113</v>
      </c>
      <c r="I5217">
        <v>-41.8125</v>
      </c>
      <c r="J5217">
        <v>145.52099999999999</v>
      </c>
    </row>
    <row r="5218" spans="1:11" x14ac:dyDescent="0.25">
      <c r="A5218" t="str">
        <f>HYPERLINK("http://www.corstruth.com.au/Tas/22958_LMD01A_Lake_Margaret_cs.png","22958_LMD01A_Lake_Margaret_A4")</f>
        <v>22958_LMD01A_Lake_Margaret_A4</v>
      </c>
      <c r="B5218" t="str">
        <f>HYPERLINK("http://www.corstruth.com.au/Tas/PNG2/22958_LMD01A_Lake_Margaret_cs.png","22958_LMD01A_Lake_Margaret_0.25m Bins")</f>
        <v>22958_LMD01A_Lake_Margaret_0.25m Bins</v>
      </c>
      <c r="C5218" t="str">
        <f>HYPERLINK("http://www.corstruth.com.au/Tas/CSV/22958_LMD01A_Lake_Margaret.csv","22958_LMD01A_Lake_Margaret_CSV File 1m Bins")</f>
        <v>22958_LMD01A_Lake_Margaret_CSV File 1m Bins</v>
      </c>
      <c r="D5218">
        <v>22958</v>
      </c>
      <c r="E5218" t="s">
        <v>3422</v>
      </c>
      <c r="F5218" t="str">
        <f>HYPERLINK("http://www.mrt.tas.gov.au/webdoc2/app/default/drilling_detail?id=22958","Geol Survey Link")</f>
        <v>Geol Survey Link</v>
      </c>
      <c r="G5218" t="s">
        <v>3473</v>
      </c>
      <c r="H5218" t="s">
        <v>3503</v>
      </c>
      <c r="I5218">
        <v>-42.000700000000002</v>
      </c>
      <c r="J5218">
        <v>145.56299999999999</v>
      </c>
      <c r="K5218" t="str">
        <f>HYPERLINK("http://www.mrt.tas.gov.au/NVCLDataServices/mosaic.html?datasetid=384568d7-03d2-40ff-a382-7be57814d8c","22958_LMD01A_Lake_Margaret_Core Image")</f>
        <v>22958_LMD01A_Lake_Margaret_Core Image</v>
      </c>
    </row>
    <row r="5219" spans="1:11" x14ac:dyDescent="0.25">
      <c r="A5219" t="str">
        <f>HYPERLINK("http://www.corstruth.com.au/Tas/37273_LCD-01_cs.png","37273_LCD-01_A4")</f>
        <v>37273_LCD-01_A4</v>
      </c>
      <c r="B5219" t="str">
        <f>HYPERLINK("http://www.corstruth.com.au/Tas/PNG2/37273_LCD-01_cs.png","37273_LCD-01_0.25m Bins")</f>
        <v>37273_LCD-01_0.25m Bins</v>
      </c>
      <c r="C5219" t="str">
        <f>HYPERLINK("http://www.corstruth.com.au/Tas/CSV/37273_LCD-01.csv","37273_LCD-01_CSV File 1m Bins")</f>
        <v>37273_LCD-01_CSV File 1m Bins</v>
      </c>
      <c r="D5219">
        <v>37273</v>
      </c>
      <c r="E5219" t="s">
        <v>3422</v>
      </c>
      <c r="F5219" t="str">
        <f>HYPERLINK("http://www.mrt.tas.gov.au/webdoc2/app/default/drilling_detail?id=37273","Geol Survey Link")</f>
        <v>Geol Survey Link</v>
      </c>
      <c r="G5219" t="s">
        <v>3473</v>
      </c>
      <c r="H5219" t="s">
        <v>3504</v>
      </c>
      <c r="I5219">
        <v>-42.035400000000003</v>
      </c>
      <c r="J5219">
        <v>145.387</v>
      </c>
      <c r="K5219" t="str">
        <f>HYPERLINK("http://www.mrt.tas.gov.au/NVCLDataServices/mosaic.html?datasetid=c5d0006f-755c-46f0-9c9b-71ae47da4f1","37273_LCD-01_Core Image")</f>
        <v>37273_LCD-01_Core Image</v>
      </c>
    </row>
    <row r="5220" spans="1:11" x14ac:dyDescent="0.25">
      <c r="A5220" t="str">
        <f>HYPERLINK("http://www.corstruth.com.au/Tas/37274_LCD-04_cs.png","37274_LCD-04_A4")</f>
        <v>37274_LCD-04_A4</v>
      </c>
      <c r="B5220" t="str">
        <f>HYPERLINK("http://www.corstruth.com.au/Tas/PNG2/37274_LCD-04_cs.png","37274_LCD-04_0.25m Bins")</f>
        <v>37274_LCD-04_0.25m Bins</v>
      </c>
      <c r="C5220" t="str">
        <f>HYPERLINK("http://www.corstruth.com.au/Tas/CSV/37274_LCD-04.csv","37274_LCD-04_CSV File 1m Bins")</f>
        <v>37274_LCD-04_CSV File 1m Bins</v>
      </c>
      <c r="D5220">
        <v>37274</v>
      </c>
      <c r="E5220" t="s">
        <v>3422</v>
      </c>
      <c r="F5220" t="str">
        <f>HYPERLINK("http://www.mrt.tas.gov.au/webdoc2/app/default/drilling_detail?id=37274","Geol Survey Link")</f>
        <v>Geol Survey Link</v>
      </c>
      <c r="G5220" t="s">
        <v>3473</v>
      </c>
      <c r="H5220" t="s">
        <v>3504</v>
      </c>
      <c r="I5220">
        <v>-42.034500000000001</v>
      </c>
      <c r="J5220">
        <v>145.387</v>
      </c>
      <c r="K5220" t="str">
        <f>HYPERLINK("http://www.mrt.tas.gov.au/NVCLDataServices/mosaic.html?datasetid=2b25acff-a13e-4090-b5f6-76c28dc0527","37274_LCD-04_Core Image")</f>
        <v>37274_LCD-04_Core Image</v>
      </c>
    </row>
    <row r="5221" spans="1:11" x14ac:dyDescent="0.25">
      <c r="A5221" t="str">
        <f>HYPERLINK("http://www.corstruth.com.au/Tas/87125_LOY19-004_cs.png","87125_LOY19-004_A4")</f>
        <v>87125_LOY19-004_A4</v>
      </c>
      <c r="B5221" t="str">
        <f>HYPERLINK("http://www.corstruth.com.au/Tas/PNG2/87125_LOY19-004_cs.png","87125_LOY19-004_0.25m Bins")</f>
        <v>87125_LOY19-004_0.25m Bins</v>
      </c>
      <c r="C5221" t="str">
        <f>HYPERLINK("http://www.corstruth.com.au/Tas/CSV/87125_LOY19-004.csv","87125_LOY19-004_CSV File 1m Bins")</f>
        <v>87125_LOY19-004_CSV File 1m Bins</v>
      </c>
      <c r="D5221">
        <v>87125</v>
      </c>
      <c r="E5221" t="s">
        <v>3422</v>
      </c>
      <c r="F5221" t="str">
        <f>HYPERLINK("http://www.mrt.tas.gov.au/webdoc2/app/default/drilling_detail?id=87125","Geol Survey Link")</f>
        <v>Geol Survey Link</v>
      </c>
      <c r="G5221" t="s">
        <v>3473</v>
      </c>
      <c r="H5221" t="s">
        <v>3505</v>
      </c>
      <c r="I5221">
        <v>-41.308</v>
      </c>
      <c r="J5221">
        <v>145.93799999999999</v>
      </c>
      <c r="K5221" t="str">
        <f>HYPERLINK("http://www.mrt.tas.gov.au/NVCLDataServices/mosaic.html?datasetid=1e93bb05-c60b-4f57-9102-a9ae95acbae","87125_LOY19-004_Core Image")</f>
        <v>87125_LOY19-004_Core Image</v>
      </c>
    </row>
    <row r="5222" spans="1:11" x14ac:dyDescent="0.25">
      <c r="A5222" t="str">
        <f>HYPERLINK("http://www.corstruth.com.au/Tas/18011_LYN004_Lynchford_cs.png","18011_LYN004_Lynchford_A4")</f>
        <v>18011_LYN004_Lynchford_A4</v>
      </c>
      <c r="B5222" t="str">
        <f>HYPERLINK("http://www.corstruth.com.au/Tas/PNG2/18011_LYN004_Lynchford_cs.png","18011_LYN004_Lynchford_0.25m Bins")</f>
        <v>18011_LYN004_Lynchford_0.25m Bins</v>
      </c>
      <c r="C5222" t="str">
        <f>HYPERLINK("http://www.corstruth.com.au/Tas/CSV/18011_LYN004_Lynchford.csv","18011_LYN004_Lynchford_CSV File 1m Bins")</f>
        <v>18011_LYN004_Lynchford_CSV File 1m Bins</v>
      </c>
      <c r="D5222">
        <v>18011</v>
      </c>
      <c r="E5222" t="s">
        <v>3422</v>
      </c>
      <c r="F5222" t="str">
        <f>HYPERLINK("http://www.mrt.tas.gov.au/webdoc2/app/default/drilling_detail?id=18011","Geol Survey Link")</f>
        <v>Geol Survey Link</v>
      </c>
      <c r="G5222" t="s">
        <v>3473</v>
      </c>
      <c r="H5222" t="s">
        <v>3506</v>
      </c>
      <c r="I5222">
        <v>-42.139600000000002</v>
      </c>
      <c r="J5222">
        <v>145.501</v>
      </c>
      <c r="K5222" t="str">
        <f>HYPERLINK("http://www.mrt.tas.gov.au/NVCLDataServices/mosaic.html?datasetid=6d62f5ba-10ef-4e71-bfd9-7246de54287","18011_LYN004_Lynchford_Core Image")</f>
        <v>18011_LYN004_Lynchford_Core Image</v>
      </c>
    </row>
    <row r="5223" spans="1:11" x14ac:dyDescent="0.25">
      <c r="A5223" t="str">
        <f>HYPERLINK("http://www.corstruth.com.au/Tas/18186_LYN001_Lynchford_cs.png","18186_LYN001_Lynchford_A4")</f>
        <v>18186_LYN001_Lynchford_A4</v>
      </c>
      <c r="B5223" t="str">
        <f>HYPERLINK("http://www.corstruth.com.au/Tas/PNG2/18186_LYN001_Lynchford_cs.png","18186_LYN001_Lynchford_0.25m Bins")</f>
        <v>18186_LYN001_Lynchford_0.25m Bins</v>
      </c>
      <c r="C5223" t="str">
        <f>HYPERLINK("http://www.corstruth.com.au/Tas/CSV/18186_LYN001_Lynchford.csv","18186_LYN001_Lynchford_CSV File 1m Bins")</f>
        <v>18186_LYN001_Lynchford_CSV File 1m Bins</v>
      </c>
      <c r="D5223">
        <v>18186</v>
      </c>
      <c r="E5223" t="s">
        <v>3422</v>
      </c>
      <c r="F5223" t="str">
        <f>HYPERLINK("http://www.mrt.tas.gov.au/webdoc2/app/default/drilling_detail?id=18186","Geol Survey Link")</f>
        <v>Geol Survey Link</v>
      </c>
      <c r="G5223" t="s">
        <v>3473</v>
      </c>
      <c r="H5223" t="s">
        <v>3506</v>
      </c>
      <c r="I5223">
        <v>-42.139099999999999</v>
      </c>
      <c r="J5223">
        <v>145.5</v>
      </c>
      <c r="K5223" t="str">
        <f>HYPERLINK("http://www.mrt.tas.gov.au/NVCLDataServices/mosaic.html?datasetid=224b015f-c3af-4b5d-9f9d-704e58dea73","18186_LYN001_Lynchford_Core Image")</f>
        <v>18186_LYN001_Lynchford_Core Image</v>
      </c>
    </row>
    <row r="5224" spans="1:11" x14ac:dyDescent="0.25">
      <c r="A5224" t="str">
        <f>HYPERLINK("http://www.corstruth.com.au/Tas/18187_LYN002_cs.png","18187_LYN002_A4")</f>
        <v>18187_LYN002_A4</v>
      </c>
      <c r="B5224" t="str">
        <f>HYPERLINK("http://www.corstruth.com.au/Tas/PNG2/18187_LYN002_cs.png","18187_LYN002_0.25m Bins")</f>
        <v>18187_LYN002_0.25m Bins</v>
      </c>
      <c r="C5224" t="str">
        <f>HYPERLINK("http://www.corstruth.com.au/Tas/CSV/18187_LYN002.csv","18187_LYN002_CSV File 1m Bins")</f>
        <v>18187_LYN002_CSV File 1m Bins</v>
      </c>
      <c r="D5224">
        <v>18187</v>
      </c>
      <c r="E5224" t="s">
        <v>3422</v>
      </c>
      <c r="F5224" t="str">
        <f>HYPERLINK("http://www.mrt.tas.gov.au/webdoc2/app/default/drilling_detail?id=18187","Geol Survey Link")</f>
        <v>Geol Survey Link</v>
      </c>
      <c r="G5224" t="s">
        <v>3473</v>
      </c>
      <c r="H5224" t="s">
        <v>3506</v>
      </c>
      <c r="I5224">
        <v>-42.139499999999998</v>
      </c>
      <c r="J5224">
        <v>145.5</v>
      </c>
      <c r="K5224" t="str">
        <f>HYPERLINK("http://www.mrt.tas.gov.au/NVCLDataServices/mosaic.html?datasetid=c22361ab-38bf-4190-b69f-b4ef77781bd","18187_LYN002_Core Image")</f>
        <v>18187_LYN002_Core Image</v>
      </c>
    </row>
    <row r="5225" spans="1:11" x14ac:dyDescent="0.25">
      <c r="A5225" t="str">
        <f>HYPERLINK("http://www.corstruth.com.au/Tas/18188_LYN003_Lynchford_cs.png","18188_LYN003_Lynchford_A4")</f>
        <v>18188_LYN003_Lynchford_A4</v>
      </c>
      <c r="B5225" t="str">
        <f>HYPERLINK("http://www.corstruth.com.au/Tas/PNG2/18188_LYN003_Lynchford_cs.png","18188_LYN003_Lynchford_0.25m Bins")</f>
        <v>18188_LYN003_Lynchford_0.25m Bins</v>
      </c>
      <c r="C5225" t="str">
        <f>HYPERLINK("http://www.corstruth.com.au/Tas/CSV/18188_LYN003_Lynchford.csv","18188_LYN003_Lynchford_CSV File 1m Bins")</f>
        <v>18188_LYN003_Lynchford_CSV File 1m Bins</v>
      </c>
      <c r="D5225">
        <v>18188</v>
      </c>
      <c r="E5225" t="s">
        <v>3422</v>
      </c>
      <c r="F5225" t="str">
        <f>HYPERLINK("http://www.mrt.tas.gov.au/webdoc2/app/default/drilling_detail?id=18188","Geol Survey Link")</f>
        <v>Geol Survey Link</v>
      </c>
      <c r="G5225" t="s">
        <v>3473</v>
      </c>
      <c r="H5225" t="s">
        <v>3506</v>
      </c>
      <c r="I5225">
        <v>-42.140099999999997</v>
      </c>
      <c r="J5225">
        <v>145.5</v>
      </c>
      <c r="K5225" t="str">
        <f>HYPERLINK("http://www.mrt.tas.gov.au/NVCLDataServices/mosaic.html?datasetid=7292ab7f-b9c7-45ac-a2c0-8a0855c144b","18188_LYN003_Lynchford_Core Image")</f>
        <v>18188_LYN003_Lynchford_Core Image</v>
      </c>
    </row>
    <row r="5226" spans="1:11" x14ac:dyDescent="0.25">
      <c r="A5226" t="str">
        <f>HYPERLINK("http://www.corstruth.com.au/Tas/18189_LYN007_Lynchford_cs.png","18189_LYN007_Lynchford_A4")</f>
        <v>18189_LYN007_Lynchford_A4</v>
      </c>
      <c r="B5226" t="str">
        <f>HYPERLINK("http://www.corstruth.com.au/Tas/PNG2/18189_LYN007_Lynchford_cs.png","18189_LYN007_Lynchford_0.25m Bins")</f>
        <v>18189_LYN007_Lynchford_0.25m Bins</v>
      </c>
      <c r="C5226" t="str">
        <f>HYPERLINK("http://www.corstruth.com.au/Tas/CSV/18189_LYN007_Lynchford.csv","18189_LYN007_Lynchford_CSV File 1m Bins")</f>
        <v>18189_LYN007_Lynchford_CSV File 1m Bins</v>
      </c>
      <c r="D5226">
        <v>18189</v>
      </c>
      <c r="E5226" t="s">
        <v>3422</v>
      </c>
      <c r="F5226" t="str">
        <f>HYPERLINK("http://www.mrt.tas.gov.au/webdoc2/app/default/drilling_detail?id=18189","Geol Survey Link")</f>
        <v>Geol Survey Link</v>
      </c>
      <c r="G5226" t="s">
        <v>3473</v>
      </c>
      <c r="H5226" t="s">
        <v>3506</v>
      </c>
      <c r="I5226">
        <v>-42.138399999999997</v>
      </c>
      <c r="J5226">
        <v>145.501</v>
      </c>
      <c r="K5226" t="str">
        <f>HYPERLINK("http://www.mrt.tas.gov.au/NVCLDataServices/mosaic.html?datasetid=5f49787e-25f3-45a6-9b53-9749430ccf0","18189_LYN007_Lynchford_Core Image")</f>
        <v>18189_LYN007_Lynchford_Core Image</v>
      </c>
    </row>
    <row r="5227" spans="1:11" x14ac:dyDescent="0.25">
      <c r="A5227" t="str">
        <f>HYPERLINK("http://www.corstruth.com.au/Tas/18191_LYN009_cs.png","18191_LYN009_A4")</f>
        <v>18191_LYN009_A4</v>
      </c>
      <c r="B5227" t="str">
        <f>HYPERLINK("http://www.corstruth.com.au/Tas/PNG2/18191_LYN009_cs.png","18191_LYN009_0.25m Bins")</f>
        <v>18191_LYN009_0.25m Bins</v>
      </c>
      <c r="C5227" t="str">
        <f>HYPERLINK("http://www.corstruth.com.au/Tas/CSV/18191_LYN009.csv","18191_LYN009_CSV File 1m Bins")</f>
        <v>18191_LYN009_CSV File 1m Bins</v>
      </c>
      <c r="D5227">
        <v>18191</v>
      </c>
      <c r="E5227" t="s">
        <v>3422</v>
      </c>
      <c r="F5227" t="str">
        <f>HYPERLINK("http://www.mrt.tas.gov.au/webdoc2/app/default/drilling_detail?id=18191","Geol Survey Link")</f>
        <v>Geol Survey Link</v>
      </c>
      <c r="G5227" t="s">
        <v>3473</v>
      </c>
      <c r="H5227" t="s">
        <v>3506</v>
      </c>
      <c r="I5227">
        <v>-42.139400000000002</v>
      </c>
      <c r="J5227">
        <v>145.501</v>
      </c>
      <c r="K5227" t="str">
        <f>HYPERLINK("http://www.mrt.tas.gov.au/NVCLDataServices/mosaic.html?datasetid=df8aaeef-e425-455d-a4a5-a78610828e0","18191_LYN009_Core Image")</f>
        <v>18191_LYN009_Core Image</v>
      </c>
    </row>
    <row r="5228" spans="1:11" x14ac:dyDescent="0.25">
      <c r="A5228" t="str">
        <f>HYPERLINK("http://www.corstruth.com.au/Tas/15943_MAC28_Hellyer_cs.png","15943_MAC28_Hellyer_A4")</f>
        <v>15943_MAC28_Hellyer_A4</v>
      </c>
      <c r="D5228">
        <v>15943</v>
      </c>
      <c r="E5228" t="s">
        <v>3422</v>
      </c>
      <c r="F5228" t="str">
        <f>HYPERLINK("http://www.mrt.tas.gov.au/webdoc2/app/default/drilling_detail?id=15943","Geol Survey Link")</f>
        <v>Geol Survey Link</v>
      </c>
      <c r="G5228" t="s">
        <v>3473</v>
      </c>
      <c r="H5228" t="s">
        <v>3507</v>
      </c>
      <c r="I5228">
        <v>-41.610599999999998</v>
      </c>
      <c r="J5228">
        <v>145.68199999999999</v>
      </c>
    </row>
    <row r="5229" spans="1:11" x14ac:dyDescent="0.25">
      <c r="A5229" t="str">
        <f>HYPERLINK("http://www.corstruth.com.au/Tas/15944_MAC29_Mackintosh_cs.png","15944_MAC29_Mackintosh_A4")</f>
        <v>15944_MAC29_Mackintosh_A4</v>
      </c>
      <c r="B5229" t="str">
        <f>HYPERLINK("http://www.corstruth.com.au/Tas/PNG2/15944_MAC29_Mackintosh_cs.png","15944_MAC29_Mackintosh_0.25m Bins")</f>
        <v>15944_MAC29_Mackintosh_0.25m Bins</v>
      </c>
      <c r="C5229" t="str">
        <f>HYPERLINK("http://www.corstruth.com.au/Tas/CSV/15944_MAC29_Mackintosh.csv","15944_MAC29_Mackintosh_CSV File 1m Bins")</f>
        <v>15944_MAC29_Mackintosh_CSV File 1m Bins</v>
      </c>
      <c r="D5229">
        <v>15944</v>
      </c>
      <c r="E5229" t="s">
        <v>3422</v>
      </c>
      <c r="F5229" t="str">
        <f>HYPERLINK("http://www.mrt.tas.gov.au/webdoc2/app/default/drilling_detail?id=15944","Geol Survey Link")</f>
        <v>Geol Survey Link</v>
      </c>
      <c r="G5229" t="s">
        <v>3473</v>
      </c>
      <c r="H5229" t="s">
        <v>3507</v>
      </c>
      <c r="I5229">
        <v>-41.61</v>
      </c>
      <c r="J5229">
        <v>145.68700000000001</v>
      </c>
      <c r="K5229" t="str">
        <f>HYPERLINK("http://www.mrt.tas.gov.au/NVCLDataServices/mosaic.html?datasetid=5f6c7f2c-01a3-4157-ab5e-5bcd520b3a2","15944_MAC29_Mackintosh_Core Image")</f>
        <v>15944_MAC29_Mackintosh_Core Image</v>
      </c>
    </row>
    <row r="5230" spans="1:11" x14ac:dyDescent="0.25">
      <c r="A5230" t="str">
        <f>HYPERLINK("http://www.corstruth.com.au/Tas/15945_MAC30_Mackintosh_cs.png","15945_MAC30_Mackintosh_A4")</f>
        <v>15945_MAC30_Mackintosh_A4</v>
      </c>
      <c r="B5230" t="str">
        <f>HYPERLINK("http://www.corstruth.com.au/Tas/PNG2/15945_MAC30_Mackintosh_cs.png","15945_MAC30_Mackintosh_0.25m Bins")</f>
        <v>15945_MAC30_Mackintosh_0.25m Bins</v>
      </c>
      <c r="C5230" t="str">
        <f>HYPERLINK("http://www.corstruth.com.au/Tas/CSV/15945_MAC30_Mackintosh.csv","15945_MAC30_Mackintosh_CSV File 1m Bins")</f>
        <v>15945_MAC30_Mackintosh_CSV File 1m Bins</v>
      </c>
      <c r="D5230">
        <v>15945</v>
      </c>
      <c r="E5230" t="s">
        <v>3422</v>
      </c>
      <c r="F5230" t="str">
        <f>HYPERLINK("http://www.mrt.tas.gov.au/webdoc2/app/default/drilling_detail?id=15945","Geol Survey Link")</f>
        <v>Geol Survey Link</v>
      </c>
      <c r="G5230" t="s">
        <v>3473</v>
      </c>
      <c r="H5230" t="s">
        <v>3507</v>
      </c>
      <c r="I5230">
        <v>-41.610999999999997</v>
      </c>
      <c r="J5230">
        <v>145.68600000000001</v>
      </c>
      <c r="K5230" t="str">
        <f>HYPERLINK("http://www.mrt.tas.gov.au/NVCLDataServices/mosaic.html?datasetid=cdc755f9-0acc-4d7d-9def-32757539791","15945_MAC30_Mackintosh_Core Image")</f>
        <v>15945_MAC30_Mackintosh_Core Image</v>
      </c>
    </row>
    <row r="5231" spans="1:11" x14ac:dyDescent="0.25">
      <c r="A5231" t="str">
        <f>HYPERLINK("http://www.corstruth.com.au/Tas/15946_MAC30A_Mackintosh_cs.png","15946_MAC30A_Mackintosh_A4")</f>
        <v>15946_MAC30A_Mackintosh_A4</v>
      </c>
      <c r="B5231" t="str">
        <f>HYPERLINK("http://www.corstruth.com.au/Tas/PNG2/15946_MAC30A_Mackintosh_cs.png","15946_MAC30A_Mackintosh_0.25m Bins")</f>
        <v>15946_MAC30A_Mackintosh_0.25m Bins</v>
      </c>
      <c r="C5231" t="str">
        <f>HYPERLINK("http://www.corstruth.com.au/Tas/CSV/15946_MAC30A_Mackintosh.csv","15946_MAC30A_Mackintosh_CSV File 1m Bins")</f>
        <v>15946_MAC30A_Mackintosh_CSV File 1m Bins</v>
      </c>
      <c r="D5231">
        <v>15946</v>
      </c>
      <c r="E5231" t="s">
        <v>3422</v>
      </c>
      <c r="F5231" t="str">
        <f>HYPERLINK("http://www.mrt.tas.gov.au/webdoc2/app/default/drilling_detail?id=15946","Geol Survey Link")</f>
        <v>Geol Survey Link</v>
      </c>
      <c r="G5231" t="s">
        <v>3473</v>
      </c>
      <c r="H5231" t="s">
        <v>3507</v>
      </c>
      <c r="I5231">
        <v>-41.610999999999997</v>
      </c>
      <c r="J5231">
        <v>145.68600000000001</v>
      </c>
      <c r="K5231" t="str">
        <f>HYPERLINK("http://www.mrt.tas.gov.au/NVCLDataServices/mosaic.html?datasetid=1462928e-f93a-4cc6-bac3-3a7e0018a7b","15946_MAC30A_Mackintosh_Core Image")</f>
        <v>15946_MAC30A_Mackintosh_Core Image</v>
      </c>
    </row>
    <row r="5232" spans="1:11" x14ac:dyDescent="0.25">
      <c r="A5232" t="str">
        <f>HYPERLINK("http://www.corstruth.com.au/Tas/16239_MAC37_Mackintosh_cs.png","16239_MAC37_Mackintosh_A4")</f>
        <v>16239_MAC37_Mackintosh_A4</v>
      </c>
      <c r="B5232" t="str">
        <f>HYPERLINK("http://www.corstruth.com.au/Tas/PNG2/16239_MAC37_Mackintosh_cs.png","16239_MAC37_Mackintosh_0.25m Bins")</f>
        <v>16239_MAC37_Mackintosh_0.25m Bins</v>
      </c>
      <c r="C5232" t="str">
        <f>HYPERLINK("http://www.corstruth.com.au/Tas/CSV/16239_MAC37_Mackintosh.csv","16239_MAC37_Mackintosh_CSV File 1m Bins")</f>
        <v>16239_MAC37_Mackintosh_CSV File 1m Bins</v>
      </c>
      <c r="D5232">
        <v>16239</v>
      </c>
      <c r="E5232" t="s">
        <v>3422</v>
      </c>
      <c r="F5232" t="str">
        <f>HYPERLINK("http://www.mrt.tas.gov.au/webdoc2/app/default/drilling_detail?id=16239","Geol Survey Link")</f>
        <v>Geol Survey Link</v>
      </c>
      <c r="G5232" t="s">
        <v>3473</v>
      </c>
      <c r="H5232" t="s">
        <v>3507</v>
      </c>
      <c r="I5232">
        <v>-41.622799999999998</v>
      </c>
      <c r="J5232">
        <v>145.68700000000001</v>
      </c>
      <c r="K5232" t="str">
        <f>HYPERLINK("http://www.mrt.tas.gov.au/NVCLDataServices/mosaic.html?datasetid=5636a586-f1de-4b75-8d40-149a8d9ebfd","16239_MAC37_Mackintosh_Core Image")</f>
        <v>16239_MAC37_Mackintosh_Core Image</v>
      </c>
    </row>
    <row r="5233" spans="1:11" x14ac:dyDescent="0.25">
      <c r="A5233" t="str">
        <f>HYPERLINK("http://www.corstruth.com.au/Tas/16273_MAC35_Mackintosh_MtCharter_cs.png","16273_MAC35_Mackintosh_MtCharter_A4")</f>
        <v>16273_MAC35_Mackintosh_MtCharter_A4</v>
      </c>
      <c r="B5233" t="str">
        <f>HYPERLINK("http://www.corstruth.com.au/Tas/PNG2/16273_MAC35_Mackintosh_MtCharter_cs.png","16273_MAC35_Mackintosh_MtCharter_0.25m Bins")</f>
        <v>16273_MAC35_Mackintosh_MtCharter_0.25m Bins</v>
      </c>
      <c r="C5233" t="str">
        <f>HYPERLINK("http://www.corstruth.com.au/Tas/CSV/16273_MAC35_Mackintosh_MtCharter.csv","16273_MAC35_Mackintosh_MtCharter_CSV File 1m Bins")</f>
        <v>16273_MAC35_Mackintosh_MtCharter_CSV File 1m Bins</v>
      </c>
      <c r="D5233">
        <v>16273</v>
      </c>
      <c r="E5233" t="s">
        <v>3422</v>
      </c>
      <c r="F5233" t="str">
        <f>HYPERLINK("http://www.mrt.tas.gov.au/webdoc2/app/default/drilling_detail?id=16273","Geol Survey Link")</f>
        <v>Geol Survey Link</v>
      </c>
      <c r="G5233" t="s">
        <v>3473</v>
      </c>
      <c r="H5233" t="s">
        <v>3507</v>
      </c>
      <c r="I5233">
        <v>-41.6068</v>
      </c>
      <c r="J5233">
        <v>145.67500000000001</v>
      </c>
      <c r="K5233" t="str">
        <f>HYPERLINK("http://www.mrt.tas.gov.au/NVCLDataServices/mosaic.html?datasetid=e03e7339-813f-4ef7-a8d0-1749265b06b","16273_MAC35_Mackintosh_MtCharter_Core Image")</f>
        <v>16273_MAC35_Mackintosh_MtCharter_Core Image</v>
      </c>
    </row>
    <row r="5234" spans="1:11" x14ac:dyDescent="0.25">
      <c r="A5234" t="str">
        <f>HYPERLINK("http://www.corstruth.com.au/Tas/6333_MAC20_Hellyer_cs.png","6333_MAC20_Hellyer_A4")</f>
        <v>6333_MAC20_Hellyer_A4</v>
      </c>
      <c r="D5234">
        <v>6333</v>
      </c>
      <c r="E5234" t="s">
        <v>3422</v>
      </c>
      <c r="F5234" t="str">
        <f>HYPERLINK("http://www.mrt.tas.gov.au/webdoc2/app/default/drilling_detail?id=6333","Geol Survey Link")</f>
        <v>Geol Survey Link</v>
      </c>
      <c r="G5234" t="s">
        <v>3473</v>
      </c>
      <c r="H5234" t="s">
        <v>3507</v>
      </c>
      <c r="I5234">
        <v>-41.519500000000001</v>
      </c>
      <c r="J5234">
        <v>145.779</v>
      </c>
    </row>
    <row r="5235" spans="1:11" x14ac:dyDescent="0.25">
      <c r="A5235" t="str">
        <f>HYPERLINK("http://www.corstruth.com.au/Tas/6334_MAC22_Hellyer_cs.png","6334_MAC22_Hellyer_A4")</f>
        <v>6334_MAC22_Hellyer_A4</v>
      </c>
      <c r="D5235">
        <v>6334</v>
      </c>
      <c r="E5235" t="s">
        <v>3422</v>
      </c>
      <c r="F5235" t="str">
        <f>HYPERLINK("http://www.mrt.tas.gov.au/webdoc2/app/default/drilling_detail?id=6334","Geol Survey Link")</f>
        <v>Geol Survey Link</v>
      </c>
      <c r="G5235" t="s">
        <v>3473</v>
      </c>
      <c r="H5235" t="s">
        <v>3507</v>
      </c>
      <c r="I5235">
        <v>-41.511499999999998</v>
      </c>
      <c r="J5235">
        <v>145.78299999999999</v>
      </c>
    </row>
    <row r="5236" spans="1:11" x14ac:dyDescent="0.25">
      <c r="A5236" t="str">
        <f>HYPERLINK("http://www.corstruth.com.au/Tas/10026_MAC23_cs.png","10026_MAC23_A4")</f>
        <v>10026_MAC23_A4</v>
      </c>
      <c r="B5236" t="str">
        <f>HYPERLINK("http://www.corstruth.com.au/Tas/PNG2/10026_MAC23_cs.png","10026_MAC23_0.25m Bins")</f>
        <v>10026_MAC23_0.25m Bins</v>
      </c>
      <c r="C5236" t="str">
        <f>HYPERLINK("http://www.corstruth.com.au/Tas/CSV/10026_MAC23.csv","10026_MAC23_CSV File 1m Bins")</f>
        <v>10026_MAC23_CSV File 1m Bins</v>
      </c>
      <c r="D5236">
        <v>10026</v>
      </c>
      <c r="E5236" t="s">
        <v>3422</v>
      </c>
      <c r="F5236" t="str">
        <f>HYPERLINK("http://www.mrt.tas.gov.au/webdoc2/app/default/drilling_detail?id=10026","Geol Survey Link")</f>
        <v>Geol Survey Link</v>
      </c>
      <c r="G5236" t="s">
        <v>3473</v>
      </c>
      <c r="H5236" t="s">
        <v>3508</v>
      </c>
      <c r="I5236">
        <v>-41.62</v>
      </c>
      <c r="J5236">
        <v>145.67699999999999</v>
      </c>
      <c r="K5236" t="str">
        <f>HYPERLINK("http://www.mrt.tas.gov.au/NVCLDataServices/mosaic.html?datasetid=72ebec38-9aea-4be4-9e24-02716ace411","10026_MAC23_Core Image")</f>
        <v>10026_MAC23_Core Image</v>
      </c>
    </row>
    <row r="5237" spans="1:11" x14ac:dyDescent="0.25">
      <c r="A5237" t="str">
        <f>HYPERLINK("http://www.corstruth.com.au/Tas/10027_MAC25_cs.png","10027_MAC25_A4")</f>
        <v>10027_MAC25_A4</v>
      </c>
      <c r="B5237" t="str">
        <f>HYPERLINK("http://www.corstruth.com.au/Tas/PNG2/10027_MAC25_cs.png","10027_MAC25_0.25m Bins")</f>
        <v>10027_MAC25_0.25m Bins</v>
      </c>
      <c r="C5237" t="str">
        <f>HYPERLINK("http://www.corstruth.com.au/Tas/CSV/10027_MAC25.csv","10027_MAC25_CSV File 1m Bins")</f>
        <v>10027_MAC25_CSV File 1m Bins</v>
      </c>
      <c r="D5237">
        <v>10027</v>
      </c>
      <c r="E5237" t="s">
        <v>3422</v>
      </c>
      <c r="F5237" t="str">
        <f>HYPERLINK("http://www.mrt.tas.gov.au/webdoc2/app/default/drilling_detail?id=10027","Geol Survey Link")</f>
        <v>Geol Survey Link</v>
      </c>
      <c r="G5237" t="s">
        <v>3473</v>
      </c>
      <c r="H5237" t="s">
        <v>3508</v>
      </c>
      <c r="I5237">
        <v>-41.627299999999998</v>
      </c>
      <c r="J5237">
        <v>145.67099999999999</v>
      </c>
      <c r="K5237" t="str">
        <f>HYPERLINK("http://www.mrt.tas.gov.au/NVCLDataServices/mosaic.html?datasetid=ff48f3e5-d42c-4e7a-b28c-1df8719eb76","10027_MAC25_Core Image")</f>
        <v>10027_MAC25_Core Image</v>
      </c>
    </row>
    <row r="5238" spans="1:11" x14ac:dyDescent="0.25">
      <c r="A5238" t="str">
        <f>HYPERLINK("http://www.corstruth.com.au/Tas/13386_MAC26_cs.png","13386_MAC26_A4")</f>
        <v>13386_MAC26_A4</v>
      </c>
      <c r="B5238" t="str">
        <f>HYPERLINK("http://www.corstruth.com.au/Tas/PNG2/13386_MAC26_cs.png","13386_MAC26_0.25m Bins")</f>
        <v>13386_MAC26_0.25m Bins</v>
      </c>
      <c r="C5238" t="str">
        <f>HYPERLINK("http://www.corstruth.com.au/Tas/CSV/13386_MAC26.csv","13386_MAC26_CSV File 1m Bins")</f>
        <v>13386_MAC26_CSV File 1m Bins</v>
      </c>
      <c r="D5238">
        <v>13386</v>
      </c>
      <c r="E5238" t="s">
        <v>3422</v>
      </c>
      <c r="F5238" t="str">
        <f>HYPERLINK("http://www.mrt.tas.gov.au/webdoc2/app/default/drilling_detail?id=13386","Geol Survey Link")</f>
        <v>Geol Survey Link</v>
      </c>
      <c r="G5238" t="s">
        <v>3473</v>
      </c>
      <c r="H5238" t="s">
        <v>3508</v>
      </c>
      <c r="I5238">
        <v>-41.619700000000002</v>
      </c>
      <c r="J5238">
        <v>145.678</v>
      </c>
      <c r="K5238" t="str">
        <f>HYPERLINK("http://www.mrt.tas.gov.au/NVCLDataServices/mosaic.html?datasetid=a3014097-828d-487d-9200-ed074b2512a","13386_MAC26_Core Image")</f>
        <v>13386_MAC26_Core Image</v>
      </c>
    </row>
    <row r="5239" spans="1:11" x14ac:dyDescent="0.25">
      <c r="A5239" t="str">
        <f>HYPERLINK("http://www.corstruth.com.au/Tas/16235_MAC36_cs.png","16235_MAC36_A4")</f>
        <v>16235_MAC36_A4</v>
      </c>
      <c r="B5239" t="str">
        <f>HYPERLINK("http://www.corstruth.com.au/Tas/PNG2/16235_MAC36_cs.png","16235_MAC36_0.25m Bins")</f>
        <v>16235_MAC36_0.25m Bins</v>
      </c>
      <c r="C5239" t="str">
        <f>HYPERLINK("http://www.corstruth.com.au/Tas/CSV/16235_MAC36.csv","16235_MAC36_CSV File 1m Bins")</f>
        <v>16235_MAC36_CSV File 1m Bins</v>
      </c>
      <c r="D5239">
        <v>16235</v>
      </c>
      <c r="E5239" t="s">
        <v>3422</v>
      </c>
      <c r="F5239" t="str">
        <f>HYPERLINK("http://www.mrt.tas.gov.au/webdoc2/app/default/drilling_detail?id=16235","Geol Survey Link")</f>
        <v>Geol Survey Link</v>
      </c>
      <c r="G5239" t="s">
        <v>3473</v>
      </c>
      <c r="H5239" t="s">
        <v>3508</v>
      </c>
      <c r="I5239">
        <v>-41.623100000000001</v>
      </c>
      <c r="J5239">
        <v>145.68199999999999</v>
      </c>
      <c r="K5239" t="str">
        <f>HYPERLINK("http://www.mrt.tas.gov.au/NVCLDataServices/mosaic.html?datasetid=231716fe-e4eb-46a2-aa55-6b85c823173","16235_MAC36_Core Image")</f>
        <v>16235_MAC36_Core Image</v>
      </c>
    </row>
    <row r="5240" spans="1:11" x14ac:dyDescent="0.25">
      <c r="A5240" t="str">
        <f>HYPERLINK("http://www.corstruth.com.au/Tas/16369_MAC33_Mackintosh_cs.png","16369_MAC33_Mackintosh_A4")</f>
        <v>16369_MAC33_Mackintosh_A4</v>
      </c>
      <c r="B5240" t="str">
        <f>HYPERLINK("http://www.corstruth.com.au/Tas/PNG2/16369_MAC33_Mackintosh_cs.png","16369_MAC33_Mackintosh_0.25m Bins")</f>
        <v>16369_MAC33_Mackintosh_0.25m Bins</v>
      </c>
      <c r="C5240" t="str">
        <f>HYPERLINK("http://www.corstruth.com.au/Tas/CSV/16369_MAC33_Mackintosh.csv","16369_MAC33_Mackintosh_CSV File 1m Bins")</f>
        <v>16369_MAC33_Mackintosh_CSV File 1m Bins</v>
      </c>
      <c r="D5240">
        <v>16369</v>
      </c>
      <c r="E5240" t="s">
        <v>3422</v>
      </c>
      <c r="F5240" t="str">
        <f>HYPERLINK("http://www.mrt.tas.gov.au/webdoc2/app/default/drilling_detail?id=16369","Geol Survey Link")</f>
        <v>Geol Survey Link</v>
      </c>
      <c r="G5240" t="s">
        <v>3473</v>
      </c>
      <c r="H5240" t="s">
        <v>3508</v>
      </c>
      <c r="I5240">
        <v>-41.619</v>
      </c>
      <c r="J5240">
        <v>145.67099999999999</v>
      </c>
      <c r="K5240" t="str">
        <f>HYPERLINK("http://www.mrt.tas.gov.au/NVCLDataServices/mosaic.html?datasetid=17a6b429-2814-49f0-88f6-ed415174623","16369_MAC33_Mackintosh_Core Image")</f>
        <v>16369_MAC33_Mackintosh_Core Image</v>
      </c>
    </row>
    <row r="5241" spans="1:11" x14ac:dyDescent="0.25">
      <c r="A5241" t="str">
        <f>HYPERLINK("http://www.corstruth.com.au/Tas/13533_BH1_Moores_Pimple_cs.png","13533_BH1_Moores_Pimple_A4")</f>
        <v>13533_BH1_Moores_Pimple_A4</v>
      </c>
      <c r="D5241">
        <v>13533</v>
      </c>
      <c r="E5241" t="s">
        <v>3422</v>
      </c>
      <c r="F5241" t="str">
        <f>HYPERLINK("http://www.mrt.tas.gov.au/webdoc2/app/default/drilling_detail?id=13533","Geol Survey Link")</f>
        <v>Geol Survey Link</v>
      </c>
      <c r="G5241" t="s">
        <v>3473</v>
      </c>
      <c r="H5241" t="s">
        <v>3509</v>
      </c>
      <c r="I5241">
        <v>-41.863599999999998</v>
      </c>
      <c r="J5241">
        <v>145.49100000000001</v>
      </c>
    </row>
    <row r="5242" spans="1:11" x14ac:dyDescent="0.25">
      <c r="A5242" t="str">
        <f>HYPERLINK("http://www.corstruth.com.au/Tas/90235_MXUD04_Moxon_cs.png","90235_MXUD04_Moxon_A4")</f>
        <v>90235_MXUD04_Moxon_A4</v>
      </c>
      <c r="B5242" t="str">
        <f>HYPERLINK("http://www.corstruth.com.au/Tas/PNG2/90235_MXUD04_Moxon_cs.png","90235_MXUD04_Moxon_0.25m Bins")</f>
        <v>90235_MXUD04_Moxon_0.25m Bins</v>
      </c>
      <c r="C5242" t="str">
        <f>HYPERLINK("http://www.corstruth.com.au/Tas/CSV/90235_MXUD04_Moxon.csv","90235_MXUD04_Moxon_CSV File 1m Bins")</f>
        <v>90235_MXUD04_Moxon_CSV File 1m Bins</v>
      </c>
      <c r="D5242">
        <v>90235</v>
      </c>
      <c r="E5242" t="s">
        <v>3422</v>
      </c>
      <c r="F5242" t="str">
        <f>HYPERLINK("http://www.mrt.tas.gov.au/webdoc2/app/default/drilling_detail?id=90235","Geol Survey Link")</f>
        <v>Geol Survey Link</v>
      </c>
      <c r="G5242" t="s">
        <v>3473</v>
      </c>
      <c r="H5242" t="s">
        <v>3510</v>
      </c>
      <c r="I5242">
        <v>-41.828699999999998</v>
      </c>
      <c r="J5242">
        <v>145.57300000000001</v>
      </c>
    </row>
    <row r="5243" spans="1:11" x14ac:dyDescent="0.25">
      <c r="A5243" t="str">
        <f>HYPERLINK("http://www.corstruth.com.au/Tas/10925_DCP235_Mt_Black_cs.png","10925_DCP235_Mt_Black_A4")</f>
        <v>10925_DCP235_Mt_Black_A4</v>
      </c>
      <c r="B5243" t="str">
        <f>HYPERLINK("http://www.corstruth.com.au/Tas/PNG2/10925_DCP235_Mt_Black_cs.png","10925_DCP235_Mt_Black_0.25m Bins")</f>
        <v>10925_DCP235_Mt_Black_0.25m Bins</v>
      </c>
      <c r="C5243" t="str">
        <f>HYPERLINK("http://www.corstruth.com.au/Tas/CSV/10925_DCP235_Mt_Black.csv","10925_DCP235_Mt_Black_CSV File 1m Bins")</f>
        <v>10925_DCP235_Mt_Black_CSV File 1m Bins</v>
      </c>
      <c r="D5243">
        <v>10925</v>
      </c>
      <c r="E5243" t="s">
        <v>3422</v>
      </c>
      <c r="F5243" t="str">
        <f>HYPERLINK("http://www.mrt.tas.gov.au/webdoc2/app/default/drilling_detail?id=10925","Geol Survey Link")</f>
        <v>Geol Survey Link</v>
      </c>
      <c r="G5243" t="s">
        <v>3473</v>
      </c>
      <c r="H5243" t="s">
        <v>3511</v>
      </c>
      <c r="I5243">
        <v>-41.871000000000002</v>
      </c>
      <c r="J5243">
        <v>145.50899999999999</v>
      </c>
    </row>
    <row r="5244" spans="1:11" x14ac:dyDescent="0.25">
      <c r="A5244" t="str">
        <f>HYPERLINK("http://www.corstruth.com.au/Tas/6312_HP1_Mt_Block_cs.png","6312_HP1_Mt_Block_A4")</f>
        <v>6312_HP1_Mt_Block_A4</v>
      </c>
      <c r="B5244" t="str">
        <f>HYPERLINK("http://www.corstruth.com.au/Tas/PNG2/6312_HP1_Mt_Block_cs.png","6312_HP1_Mt_Block_0.25m Bins")</f>
        <v>6312_HP1_Mt_Block_0.25m Bins</v>
      </c>
      <c r="C5244" t="str">
        <f>HYPERLINK("http://www.corstruth.com.au/Tas/CSV/6312_HP1_Mt_Block.csv","6312_HP1_Mt_Block_CSV File 1m Bins")</f>
        <v>6312_HP1_Mt_Block_CSV File 1m Bins</v>
      </c>
      <c r="D5244">
        <v>6312</v>
      </c>
      <c r="E5244" t="s">
        <v>3422</v>
      </c>
      <c r="F5244" t="str">
        <f>HYPERLINK("http://www.mrt.tas.gov.au/webdoc2/app/default/drilling_detail?id=6312","Geol Survey Link")</f>
        <v>Geol Survey Link</v>
      </c>
      <c r="G5244" t="s">
        <v>3473</v>
      </c>
      <c r="H5244" t="s">
        <v>3512</v>
      </c>
      <c r="I5244">
        <v>-41.6098</v>
      </c>
      <c r="J5244">
        <v>145.65600000000001</v>
      </c>
      <c r="K5244" t="str">
        <f>HYPERLINK("http://www.mrt.tas.gov.au/NVCLDataServices/mosaic.html?datasetid=2f56fa3e-74b7-40d1-b558-4e3ef45f5f3","6312_HP1_Mt_Block_Core Image")</f>
        <v>6312_HP1_Mt_Block_Core Image</v>
      </c>
    </row>
    <row r="5245" spans="1:11" x14ac:dyDescent="0.25">
      <c r="A5245" t="str">
        <f>HYPERLINK("http://www.corstruth.com.au/Tas/6313_HP2_Mt_Block_cs.png","6313_HP2_Mt_Block_A4")</f>
        <v>6313_HP2_Mt_Block_A4</v>
      </c>
      <c r="B5245" t="str">
        <f>HYPERLINK("http://www.corstruth.com.au/Tas/PNG2/6313_HP2_Mt_Block_cs.png","6313_HP2_Mt_Block_0.25m Bins")</f>
        <v>6313_HP2_Mt_Block_0.25m Bins</v>
      </c>
      <c r="C5245" t="str">
        <f>HYPERLINK("http://www.corstruth.com.au/Tas/CSV/6313_HP2_Mt_Block.csv","6313_HP2_Mt_Block_CSV File 1m Bins")</f>
        <v>6313_HP2_Mt_Block_CSV File 1m Bins</v>
      </c>
      <c r="D5245">
        <v>6313</v>
      </c>
      <c r="E5245" t="s">
        <v>3422</v>
      </c>
      <c r="F5245" t="str">
        <f>HYPERLINK("http://www.mrt.tas.gov.au/webdoc2/app/default/drilling_detail?id=6313","Geol Survey Link")</f>
        <v>Geol Survey Link</v>
      </c>
      <c r="G5245" t="s">
        <v>3473</v>
      </c>
      <c r="H5245" t="s">
        <v>3512</v>
      </c>
      <c r="I5245">
        <v>-41.608899999999998</v>
      </c>
      <c r="J5245">
        <v>145.65799999999999</v>
      </c>
      <c r="K5245" t="str">
        <f>HYPERLINK("http://www.mrt.tas.gov.au/NVCLDataServices/mosaic.html?datasetid=d46ddd2e-2772-4178-a544-de664cbcb9d","6313_HP2_Mt_Block_Core Image")</f>
        <v>6313_HP2_Mt_Block_Core Image</v>
      </c>
    </row>
    <row r="5246" spans="1:11" x14ac:dyDescent="0.25">
      <c r="A5246" t="str">
        <f>HYPERLINK("http://www.corstruth.com.au/Tas/6314_HP3_cs.png","6314_HP3_A4")</f>
        <v>6314_HP3_A4</v>
      </c>
      <c r="B5246" t="str">
        <f>HYPERLINK("http://www.corstruth.com.au/Tas/PNG2/6314_HP3_cs.png","6314_HP3_0.25m Bins")</f>
        <v>6314_HP3_0.25m Bins</v>
      </c>
      <c r="C5246" t="str">
        <f>HYPERLINK("http://www.corstruth.com.au/Tas/CSV/6314_HP3.csv","6314_HP3_CSV File 1m Bins")</f>
        <v>6314_HP3_CSV File 1m Bins</v>
      </c>
      <c r="D5246">
        <v>6314</v>
      </c>
      <c r="E5246" t="s">
        <v>3422</v>
      </c>
      <c r="F5246" t="str">
        <f>HYPERLINK("http://www.mrt.tas.gov.au/webdoc2/app/default/drilling_detail?id=6314","Geol Survey Link")</f>
        <v>Geol Survey Link</v>
      </c>
      <c r="G5246" t="s">
        <v>3473</v>
      </c>
      <c r="H5246" t="s">
        <v>3512</v>
      </c>
      <c r="I5246">
        <v>-41.607500000000002</v>
      </c>
      <c r="J5246">
        <v>145.66</v>
      </c>
      <c r="K5246" t="str">
        <f>HYPERLINK("http://www.mrt.tas.gov.au/NVCLDataServices/mosaic.html?datasetid=f2932848-2359-44a5-802a-25a49e2a204","6314_HP3_Core Image")</f>
        <v>6314_HP3_Core Image</v>
      </c>
    </row>
    <row r="5247" spans="1:11" x14ac:dyDescent="0.25">
      <c r="A5247" t="str">
        <f>HYPERLINK("http://www.corstruth.com.au/Tas/6315_HP4_Mt_Block_cs.png","6315_HP4_Mt_Block_A4")</f>
        <v>6315_HP4_Mt_Block_A4</v>
      </c>
      <c r="B5247" t="str">
        <f>HYPERLINK("http://www.corstruth.com.au/Tas/PNG2/6315_HP4_Mt_Block_cs.png","6315_HP4_Mt_Block_0.25m Bins")</f>
        <v>6315_HP4_Mt_Block_0.25m Bins</v>
      </c>
      <c r="C5247" t="str">
        <f>HYPERLINK("http://www.corstruth.com.au/Tas/CSV/6315_HP4_Mt_Block.csv","6315_HP4_Mt_Block_CSV File 1m Bins")</f>
        <v>6315_HP4_Mt_Block_CSV File 1m Bins</v>
      </c>
      <c r="D5247">
        <v>6315</v>
      </c>
      <c r="E5247" t="s">
        <v>3422</v>
      </c>
      <c r="F5247" t="str">
        <f>HYPERLINK("http://www.mrt.tas.gov.au/webdoc2/app/default/drilling_detail?id=6315","Geol Survey Link")</f>
        <v>Geol Survey Link</v>
      </c>
      <c r="G5247" t="s">
        <v>3473</v>
      </c>
      <c r="H5247" t="s">
        <v>3512</v>
      </c>
      <c r="I5247">
        <v>-41.6111</v>
      </c>
      <c r="J5247">
        <v>145.65799999999999</v>
      </c>
      <c r="K5247" t="str">
        <f>HYPERLINK("http://www.mrt.tas.gov.au/NVCLDataServices/mosaic.html?datasetid=a4c1ed7f-1e87-444a-90ae-3fe5abf9081","6315_HP4_Mt_Block_Core Image")</f>
        <v>6315_HP4_Mt_Block_Core Image</v>
      </c>
    </row>
    <row r="5248" spans="1:11" x14ac:dyDescent="0.25">
      <c r="A5248" t="str">
        <f>HYPERLINK("http://www.corstruth.com.au/Tas/6316_HP4A_Mt_Block_cs.png","6316_HP4A_Mt_Block_A4")</f>
        <v>6316_HP4A_Mt_Block_A4</v>
      </c>
      <c r="B5248" t="str">
        <f>HYPERLINK("http://www.corstruth.com.au/Tas/PNG2/6316_HP4A_Mt_Block_cs.png","6316_HP4A_Mt_Block_0.25m Bins")</f>
        <v>6316_HP4A_Mt_Block_0.25m Bins</v>
      </c>
      <c r="C5248" t="str">
        <f>HYPERLINK("http://www.corstruth.com.au/Tas/CSV/6316_HP4A_Mt_Block.csv","6316_HP4A_Mt_Block_CSV File 1m Bins")</f>
        <v>6316_HP4A_Mt_Block_CSV File 1m Bins</v>
      </c>
      <c r="D5248">
        <v>6316</v>
      </c>
      <c r="E5248" t="s">
        <v>3422</v>
      </c>
      <c r="F5248" t="str">
        <f>HYPERLINK("http://www.mrt.tas.gov.au/webdoc2/app/default/drilling_detail?id=6316","Geol Survey Link")</f>
        <v>Geol Survey Link</v>
      </c>
      <c r="G5248" t="s">
        <v>3473</v>
      </c>
      <c r="H5248" t="s">
        <v>3512</v>
      </c>
      <c r="I5248">
        <v>-41.6111</v>
      </c>
      <c r="J5248">
        <v>145.65799999999999</v>
      </c>
      <c r="K5248" t="str">
        <f>HYPERLINK("http://www.mrt.tas.gov.au/NVCLDataServices/mosaic.html?datasetid=21f1aa45-663b-4e4f-87d6-ea4b9b4a19a","6316_HP4A_Mt_Block_Core Image")</f>
        <v>6316_HP4A_Mt_Block_Core Image</v>
      </c>
    </row>
    <row r="5249" spans="1:11" x14ac:dyDescent="0.25">
      <c r="A5249" t="str">
        <f>HYPERLINK("http://www.corstruth.com.au/Tas/12991_MC3_cs.png","12991_MC3_A4")</f>
        <v>12991_MC3_A4</v>
      </c>
      <c r="B5249" t="str">
        <f>HYPERLINK("http://www.corstruth.com.au/Tas/PNG2/12991_MC3_cs.png","12991_MC3_0.25m Bins")</f>
        <v>12991_MC3_0.25m Bins</v>
      </c>
      <c r="C5249" t="str">
        <f>HYPERLINK("http://www.corstruth.com.au/Tas/CSV/12991_MC3.csv","12991_MC3_CSV File 1m Bins")</f>
        <v>12991_MC3_CSV File 1m Bins</v>
      </c>
      <c r="D5249">
        <v>12991</v>
      </c>
      <c r="E5249" t="s">
        <v>3422</v>
      </c>
      <c r="F5249" t="str">
        <f>HYPERLINK("http://www.mrt.tas.gov.au/webdoc2/app/default/drilling_detail?id=12991","Geol Survey Link")</f>
        <v>Geol Survey Link</v>
      </c>
      <c r="G5249" t="s">
        <v>3473</v>
      </c>
      <c r="H5249" t="s">
        <v>3513</v>
      </c>
      <c r="I5249">
        <v>-41.619199999999999</v>
      </c>
      <c r="J5249">
        <v>145.67599999999999</v>
      </c>
      <c r="K5249" t="str">
        <f>HYPERLINK("http://www.mrt.tas.gov.au/NVCLDataServices/mosaic.html?datasetid=2041e2c6-e04a-43ee-827e-1274fb641ae","12991_MC3_Core Image")</f>
        <v>12991_MC3_Core Image</v>
      </c>
    </row>
    <row r="5250" spans="1:11" x14ac:dyDescent="0.25">
      <c r="A5250" t="str">
        <f>HYPERLINK("http://www.corstruth.com.au/Tas/12992_MC4_cs.png","12992_MC4_A4")</f>
        <v>12992_MC4_A4</v>
      </c>
      <c r="B5250" t="str">
        <f>HYPERLINK("http://www.corstruth.com.au/Tas/PNG2/12992_MC4_cs.png","12992_MC4_0.25m Bins")</f>
        <v>12992_MC4_0.25m Bins</v>
      </c>
      <c r="C5250" t="str">
        <f>HYPERLINK("http://www.corstruth.com.au/Tas/CSV/12992_MC4.csv","12992_MC4_CSV File 1m Bins")</f>
        <v>12992_MC4_CSV File 1m Bins</v>
      </c>
      <c r="D5250">
        <v>12992</v>
      </c>
      <c r="E5250" t="s">
        <v>3422</v>
      </c>
      <c r="F5250" t="str">
        <f>HYPERLINK("http://www.mrt.tas.gov.au/webdoc2/app/default/drilling_detail?id=12992","Geol Survey Link")</f>
        <v>Geol Survey Link</v>
      </c>
      <c r="G5250" t="s">
        <v>3473</v>
      </c>
      <c r="H5250" t="s">
        <v>3513</v>
      </c>
      <c r="I5250">
        <v>-41.614199999999997</v>
      </c>
      <c r="J5250">
        <v>145.67599999999999</v>
      </c>
      <c r="K5250" t="str">
        <f>HYPERLINK("http://www.mrt.tas.gov.au/NVCLDataServices/mosaic.html?datasetid=2aefe79f-ab39-4622-ba4a-75612330b6f","12992_MC4_Core Image")</f>
        <v>12992_MC4_Core Image</v>
      </c>
    </row>
    <row r="5251" spans="1:11" x14ac:dyDescent="0.25">
      <c r="A5251" t="str">
        <f>HYPERLINK("http://www.corstruth.com.au/Tas/13529_MCH1_MtCharter_cs.png","13529_MCH1_MtCharter_A4")</f>
        <v>13529_MCH1_MtCharter_A4</v>
      </c>
      <c r="B5251" t="str">
        <f>HYPERLINK("http://www.corstruth.com.au/Tas/PNG2/13529_MCH1_MtCharter_cs.png","13529_MCH1_MtCharter_0.25m Bins")</f>
        <v>13529_MCH1_MtCharter_0.25m Bins</v>
      </c>
      <c r="C5251" t="str">
        <f>HYPERLINK("http://www.corstruth.com.au/Tas/CSV/13529_MCH1_MtCharter.csv","13529_MCH1_MtCharter_CSV File 1m Bins")</f>
        <v>13529_MCH1_MtCharter_CSV File 1m Bins</v>
      </c>
      <c r="D5251">
        <v>13529</v>
      </c>
      <c r="E5251" t="s">
        <v>3422</v>
      </c>
      <c r="F5251" t="str">
        <f>HYPERLINK("http://www.mrt.tas.gov.au/webdoc2/app/default/drilling_detail?id=13529","Geol Survey Link")</f>
        <v>Geol Survey Link</v>
      </c>
      <c r="G5251" t="s">
        <v>3473</v>
      </c>
      <c r="H5251" t="s">
        <v>3513</v>
      </c>
      <c r="I5251">
        <v>-41.621600000000001</v>
      </c>
      <c r="J5251">
        <v>145.66999999999999</v>
      </c>
      <c r="K5251" t="str">
        <f>HYPERLINK("http://www.mrt.tas.gov.au/NVCLDataServices/mosaic.html?datasetid=052081e2-aebe-4f54-b88c-0a9c1843a2a","13529_MCH1_MtCharter_Core Image")</f>
        <v>13529_MCH1_MtCharter_Core Image</v>
      </c>
    </row>
    <row r="5252" spans="1:11" x14ac:dyDescent="0.25">
      <c r="A5252" t="str">
        <f>HYPERLINK("http://www.corstruth.com.au/Tas/13530_MCH2A_Mt_Charter_cs.png","13530_MCH2A_Mt_Charter_A4")</f>
        <v>13530_MCH2A_Mt_Charter_A4</v>
      </c>
      <c r="B5252" t="str">
        <f>HYPERLINK("http://www.corstruth.com.au/Tas/PNG2/13530_MCH2A_Mt_Charter_cs.png","13530_MCH2A_Mt_Charter_0.25m Bins")</f>
        <v>13530_MCH2A_Mt_Charter_0.25m Bins</v>
      </c>
      <c r="C5252" t="str">
        <f>HYPERLINK("http://www.corstruth.com.au/Tas/CSV/13530_MCH2A_Mt_Charter.csv","13530_MCH2A_Mt_Charter_CSV File 1m Bins")</f>
        <v>13530_MCH2A_Mt_Charter_CSV File 1m Bins</v>
      </c>
      <c r="D5252">
        <v>13530</v>
      </c>
      <c r="E5252" t="s">
        <v>3422</v>
      </c>
      <c r="F5252" t="str">
        <f>HYPERLINK("http://www.mrt.tas.gov.au/webdoc2/app/default/drilling_detail?id=13530","Geol Survey Link")</f>
        <v>Geol Survey Link</v>
      </c>
      <c r="G5252" t="s">
        <v>3473</v>
      </c>
      <c r="H5252" t="s">
        <v>3513</v>
      </c>
      <c r="I5252">
        <v>-41.623399999999997</v>
      </c>
      <c r="J5252">
        <v>145.66900000000001</v>
      </c>
      <c r="K5252" t="str">
        <f>HYPERLINK("http://www.mrt.tas.gov.au/NVCLDataServices/mosaic.html?datasetid=0302bc22-7fb0-4223-8cd0-68002f8174f","13530_MCH2A_Mt_Charter_Core Image")</f>
        <v>13530_MCH2A_Mt_Charter_Core Image</v>
      </c>
    </row>
    <row r="5253" spans="1:11" x14ac:dyDescent="0.25">
      <c r="A5253" t="str">
        <f>HYPERLINK("http://www.corstruth.com.au/Tas/15010_MC5_cs.png","15010_MC5_A4")</f>
        <v>15010_MC5_A4</v>
      </c>
      <c r="B5253" t="str">
        <f>HYPERLINK("http://www.corstruth.com.au/Tas/PNG2/15010_MC5_cs.png","15010_MC5_0.25m Bins")</f>
        <v>15010_MC5_0.25m Bins</v>
      </c>
      <c r="C5253" t="str">
        <f>HYPERLINK("http://www.corstruth.com.au/Tas/CSV/15010_MC5.csv","15010_MC5_CSV File 1m Bins")</f>
        <v>15010_MC5_CSV File 1m Bins</v>
      </c>
      <c r="D5253">
        <v>15010</v>
      </c>
      <c r="E5253" t="s">
        <v>3422</v>
      </c>
      <c r="F5253" t="str">
        <f>HYPERLINK("http://www.mrt.tas.gov.au/webdoc2/app/default/drilling_detail?id=15010","Geol Survey Link")</f>
        <v>Geol Survey Link</v>
      </c>
      <c r="G5253" t="s">
        <v>3473</v>
      </c>
      <c r="H5253" t="s">
        <v>3513</v>
      </c>
      <c r="I5253">
        <v>-41.6218</v>
      </c>
      <c r="J5253">
        <v>145.67599999999999</v>
      </c>
      <c r="K5253" t="str">
        <f>HYPERLINK("http://www.mrt.tas.gov.au/NVCLDataServices/mosaic.html?datasetid=281a614c-2af7-4130-a072-fdeb62e9578","15010_MC5_Core Image")</f>
        <v>15010_MC5_Core Image</v>
      </c>
    </row>
    <row r="5254" spans="1:11" x14ac:dyDescent="0.25">
      <c r="A5254" t="str">
        <f>HYPERLINK("http://www.corstruth.com.au/Tas/15011_MC6_cs.png","15011_MC6_A4")</f>
        <v>15011_MC6_A4</v>
      </c>
      <c r="B5254" t="str">
        <f>HYPERLINK("http://www.corstruth.com.au/Tas/PNG2/15011_MC6_cs.png","15011_MC6_0.25m Bins")</f>
        <v>15011_MC6_0.25m Bins</v>
      </c>
      <c r="C5254" t="str">
        <f>HYPERLINK("http://www.corstruth.com.au/Tas/CSV/15011_MC6.csv","15011_MC6_CSV File 1m Bins")</f>
        <v>15011_MC6_CSV File 1m Bins</v>
      </c>
      <c r="D5254">
        <v>15011</v>
      </c>
      <c r="E5254" t="s">
        <v>3422</v>
      </c>
      <c r="F5254" t="str">
        <f>HYPERLINK("http://www.mrt.tas.gov.au/webdoc2/app/default/drilling_detail?id=15011","Geol Survey Link")</f>
        <v>Geol Survey Link</v>
      </c>
      <c r="G5254" t="s">
        <v>3473</v>
      </c>
      <c r="H5254" t="s">
        <v>3513</v>
      </c>
      <c r="I5254">
        <v>-41.623100000000001</v>
      </c>
      <c r="J5254">
        <v>145.67699999999999</v>
      </c>
      <c r="K5254" t="str">
        <f>HYPERLINK("http://www.mrt.tas.gov.au/NVCLDataServices/mosaic.html?datasetid=6c4a4c9e-1165-48bb-9079-28438c99075","15011_MC6_Core Image")</f>
        <v>15011_MC6_Core Image</v>
      </c>
    </row>
    <row r="5255" spans="1:11" x14ac:dyDescent="0.25">
      <c r="A5255" t="str">
        <f>HYPERLINK("http://www.corstruth.com.au/Tas/15012_MC8_cs.png","15012_MC8_A4")</f>
        <v>15012_MC8_A4</v>
      </c>
      <c r="B5255" t="str">
        <f>HYPERLINK("http://www.corstruth.com.au/Tas/PNG2/15012_MC8_cs.png","15012_MC8_0.25m Bins")</f>
        <v>15012_MC8_0.25m Bins</v>
      </c>
      <c r="C5255" t="str">
        <f>HYPERLINK("http://www.corstruth.com.au/Tas/CSV/15012_MC8.csv","15012_MC8_CSV File 1m Bins")</f>
        <v>15012_MC8_CSV File 1m Bins</v>
      </c>
      <c r="D5255">
        <v>15012</v>
      </c>
      <c r="E5255" t="s">
        <v>3422</v>
      </c>
      <c r="F5255" t="str">
        <f>HYPERLINK("http://www.mrt.tas.gov.au/webdoc2/app/default/drilling_detail?id=15012","Geol Survey Link")</f>
        <v>Geol Survey Link</v>
      </c>
      <c r="G5255" t="s">
        <v>3473</v>
      </c>
      <c r="H5255" t="s">
        <v>3513</v>
      </c>
      <c r="I5255">
        <v>-41.620199999999997</v>
      </c>
      <c r="J5255">
        <v>145.67400000000001</v>
      </c>
      <c r="K5255" t="str">
        <f>HYPERLINK("http://www.mrt.tas.gov.au/NVCLDataServices/mosaic.html?datasetid=60e634c1-d8b9-4f5b-b0ca-925ea3930a1","15012_MC8_Core Image")</f>
        <v>15012_MC8_Core Image</v>
      </c>
    </row>
    <row r="5256" spans="1:11" x14ac:dyDescent="0.25">
      <c r="A5256" t="str">
        <f>HYPERLINK("http://www.corstruth.com.au/Tas/15013_MC9_Mt_Charter_cs.png","15013_MC9_Mt_Charter_A4")</f>
        <v>15013_MC9_Mt_Charter_A4</v>
      </c>
      <c r="B5256" t="str">
        <f>HYPERLINK("http://www.corstruth.com.au/Tas/PNG2/15013_MC9_Mt_Charter_cs.png","15013_MC9_Mt_Charter_0.25m Bins")</f>
        <v>15013_MC9_Mt_Charter_0.25m Bins</v>
      </c>
      <c r="C5256" t="str">
        <f>HYPERLINK("http://www.corstruth.com.au/Tas/CSV/15013_MC9_Mt_Charter.csv","15013_MC9_Mt_Charter_CSV File 1m Bins")</f>
        <v>15013_MC9_Mt_Charter_CSV File 1m Bins</v>
      </c>
      <c r="D5256">
        <v>15013</v>
      </c>
      <c r="E5256" t="s">
        <v>3422</v>
      </c>
      <c r="F5256" t="str">
        <f>HYPERLINK("http://www.mrt.tas.gov.au/webdoc2/app/default/drilling_detail?id=15013","Geol Survey Link")</f>
        <v>Geol Survey Link</v>
      </c>
      <c r="G5256" t="s">
        <v>3473</v>
      </c>
      <c r="H5256" t="s">
        <v>3513</v>
      </c>
      <c r="I5256">
        <v>-41.625799999999998</v>
      </c>
      <c r="J5256">
        <v>145.672</v>
      </c>
      <c r="K5256" t="str">
        <f>HYPERLINK("http://www.mrt.tas.gov.au/NVCLDataServices/mosaic.html?datasetid=51f52883-b2f2-4887-90cc-c9728d129b9","15013_MC9_Mt_Charter_Core Image")</f>
        <v>15013_MC9_Mt_Charter_Core Image</v>
      </c>
    </row>
    <row r="5257" spans="1:11" x14ac:dyDescent="0.25">
      <c r="A5257" t="str">
        <f>HYPERLINK("http://www.corstruth.com.au/Tas/15014_MC10_MtCharter_cs.png","15014_MC10_MtCharter_A4")</f>
        <v>15014_MC10_MtCharter_A4</v>
      </c>
      <c r="D5257">
        <v>15014</v>
      </c>
      <c r="E5257" t="s">
        <v>3422</v>
      </c>
      <c r="F5257" t="str">
        <f>HYPERLINK("http://www.mrt.tas.gov.au/webdoc2/app/default/drilling_detail?id=15014","Geol Survey Link")</f>
        <v>Geol Survey Link</v>
      </c>
      <c r="G5257" t="s">
        <v>3473</v>
      </c>
      <c r="H5257" t="s">
        <v>3513</v>
      </c>
      <c r="I5257">
        <v>-41.624000000000002</v>
      </c>
      <c r="J5257">
        <v>145.673</v>
      </c>
      <c r="K5257" t="str">
        <f>HYPERLINK("http://www.mrt.tas.gov.au/NVCLDataServices/mosaic.html?datasetid=286f6efc-c897-4c81-a78a-4734a7c1c3d","15014_MC10_MtCharter_Core Image")</f>
        <v>15014_MC10_MtCharter_Core Image</v>
      </c>
    </row>
    <row r="5258" spans="1:11" x14ac:dyDescent="0.25">
      <c r="A5258" t="str">
        <f>HYPERLINK("http://www.corstruth.com.au/Tas/16194_MC7_cs.png","16194_MC7_A4")</f>
        <v>16194_MC7_A4</v>
      </c>
      <c r="B5258" t="str">
        <f>HYPERLINK("http://www.corstruth.com.au/Tas/PNG2/16194_MC7_cs.png","16194_MC7_0.25m Bins")</f>
        <v>16194_MC7_0.25m Bins</v>
      </c>
      <c r="C5258" t="str">
        <f>HYPERLINK("http://www.corstruth.com.au/Tas/CSV/16194_MC7.csv","16194_MC7_CSV File 1m Bins")</f>
        <v>16194_MC7_CSV File 1m Bins</v>
      </c>
      <c r="D5258">
        <v>16194</v>
      </c>
      <c r="E5258" t="s">
        <v>3422</v>
      </c>
      <c r="F5258" t="str">
        <f>HYPERLINK("http://www.mrt.tas.gov.au/webdoc2/app/default/drilling_detail?id=16194","Geol Survey Link")</f>
        <v>Geol Survey Link</v>
      </c>
      <c r="G5258" t="s">
        <v>3473</v>
      </c>
      <c r="H5258" t="s">
        <v>3513</v>
      </c>
      <c r="I5258">
        <v>-41.620199999999997</v>
      </c>
      <c r="J5258">
        <v>145.67400000000001</v>
      </c>
      <c r="K5258" t="str">
        <f>HYPERLINK("http://www.mrt.tas.gov.au/NVCLDataServices/mosaic.html?datasetid=cdf0ed60-2b05-4af6-a71d-c6a5b6774f6","16194_MC7_Core Image")</f>
        <v>16194_MC7_Core Image</v>
      </c>
    </row>
    <row r="5259" spans="1:11" x14ac:dyDescent="0.25">
      <c r="A5259" t="str">
        <f>HYPERLINK("http://www.corstruth.com.au/Tas/27777_MCD26_cs.png","27777_MCD26_A4")</f>
        <v>27777_MCD26_A4</v>
      </c>
      <c r="B5259" t="str">
        <f>HYPERLINK("http://www.corstruth.com.au/Tas/PNG2/27777_MCD26_cs.png","27777_MCD26_0.25m Bins")</f>
        <v>27777_MCD26_0.25m Bins</v>
      </c>
      <c r="C5259" t="str">
        <f>HYPERLINK("http://www.corstruth.com.au/Tas/CSV/27777_MCD26.csv","27777_MCD26_CSV File 1m Bins")</f>
        <v>27777_MCD26_CSV File 1m Bins</v>
      </c>
      <c r="D5259">
        <v>27777</v>
      </c>
      <c r="E5259" t="s">
        <v>3422</v>
      </c>
      <c r="F5259" t="str">
        <f>HYPERLINK("http://www.mrt.tas.gov.au/webdoc2/app/default/drilling_detail?id=27777","Geol Survey Link")</f>
        <v>Geol Survey Link</v>
      </c>
      <c r="G5259" t="s">
        <v>3473</v>
      </c>
      <c r="H5259" t="s">
        <v>3513</v>
      </c>
      <c r="I5259">
        <v>-41.619900000000001</v>
      </c>
      <c r="J5259">
        <v>145.678</v>
      </c>
      <c r="K5259" t="str">
        <f>HYPERLINK("http://www.mrt.tas.gov.au/NVCLDataServices/mosaic.html?datasetid=db8fd401-5fab-41a6-b48c-b1bcd36efce","27777_MCD26_Core Image")</f>
        <v>27777_MCD26_Core Image</v>
      </c>
    </row>
    <row r="5260" spans="1:11" x14ac:dyDescent="0.25">
      <c r="A5260" t="str">
        <f>HYPERLINK("http://www.corstruth.com.au/Tas/27812_MCD37_cs.png","27812_MCD37_A4")</f>
        <v>27812_MCD37_A4</v>
      </c>
      <c r="B5260" t="str">
        <f>HYPERLINK("http://www.corstruth.com.au/Tas/PNG2/27812_MCD37_cs.png","27812_MCD37_0.25m Bins")</f>
        <v>27812_MCD37_0.25m Bins</v>
      </c>
      <c r="C5260" t="str">
        <f>HYPERLINK("http://www.corstruth.com.au/Tas/CSV/27812_MCD37.csv","27812_MCD37_CSV File 1m Bins")</f>
        <v>27812_MCD37_CSV File 1m Bins</v>
      </c>
      <c r="D5260">
        <v>27812</v>
      </c>
      <c r="E5260" t="s">
        <v>3422</v>
      </c>
      <c r="F5260" t="str">
        <f>HYPERLINK("http://www.mrt.tas.gov.au/webdoc2/app/default/drilling_detail?id=27812","Geol Survey Link")</f>
        <v>Geol Survey Link</v>
      </c>
      <c r="G5260" t="s">
        <v>3473</v>
      </c>
      <c r="H5260" t="s">
        <v>3513</v>
      </c>
      <c r="I5260">
        <v>-41.618899999999996</v>
      </c>
      <c r="J5260">
        <v>145.67500000000001</v>
      </c>
      <c r="K5260" t="str">
        <f>HYPERLINK("http://www.mrt.tas.gov.au/NVCLDataServices/mosaic.html?datasetid=ca69569d-7c80-4762-ab00-eaeca4bbc72","27812_MCD37_Core Image")</f>
        <v>27812_MCD37_Core Image</v>
      </c>
    </row>
    <row r="5261" spans="1:11" x14ac:dyDescent="0.25">
      <c r="A5261" t="str">
        <f>HYPERLINK("http://www.corstruth.com.au/Tas/41034_MCD33_cs.png","41034_MCD33_A4")</f>
        <v>41034_MCD33_A4</v>
      </c>
      <c r="B5261" t="str">
        <f>HYPERLINK("http://www.corstruth.com.au/Tas/PNG2/41034_MCD33_cs.png","41034_MCD33_0.25m Bins")</f>
        <v>41034_MCD33_0.25m Bins</v>
      </c>
      <c r="C5261" t="str">
        <f>HYPERLINK("http://www.corstruth.com.au/Tas/CSV/41034_MCD33.csv","41034_MCD33_CSV File 1m Bins")</f>
        <v>41034_MCD33_CSV File 1m Bins</v>
      </c>
      <c r="D5261">
        <v>41034</v>
      </c>
      <c r="E5261" t="s">
        <v>3422</v>
      </c>
      <c r="F5261" t="str">
        <f>HYPERLINK("http://www.mrt.tas.gov.au/webdoc2/app/default/drilling_detail?id=41034","Geol Survey Link")</f>
        <v>Geol Survey Link</v>
      </c>
      <c r="G5261" t="s">
        <v>3473</v>
      </c>
      <c r="H5261" t="s">
        <v>3513</v>
      </c>
      <c r="I5261">
        <v>-41.619599999999998</v>
      </c>
      <c r="J5261">
        <v>145.67699999999999</v>
      </c>
      <c r="K5261" t="str">
        <f>HYPERLINK("http://www.mrt.tas.gov.au/NVCLDataServices/mosaic.html?datasetid=eae71a29-4417-42e9-b017-4c8813f2643","41034_MCD33_Core Image")</f>
        <v>41034_MCD33_Core Image</v>
      </c>
    </row>
    <row r="5262" spans="1:11" x14ac:dyDescent="0.25">
      <c r="A5262" t="str">
        <f>HYPERLINK("http://www.corstruth.com.au/Tas/41035_MCD34_cs.png","41035_MCD34_A4")</f>
        <v>41035_MCD34_A4</v>
      </c>
      <c r="B5262" t="str">
        <f>HYPERLINK("http://www.corstruth.com.au/Tas/PNG2/41035_MCD34_cs.png","41035_MCD34_0.25m Bins")</f>
        <v>41035_MCD34_0.25m Bins</v>
      </c>
      <c r="C5262" t="str">
        <f>HYPERLINK("http://www.corstruth.com.au/Tas/CSV/41035_MCD34.csv","41035_MCD34_CSV File 1m Bins")</f>
        <v>41035_MCD34_CSV File 1m Bins</v>
      </c>
      <c r="D5262">
        <v>41035</v>
      </c>
      <c r="E5262" t="s">
        <v>3422</v>
      </c>
      <c r="F5262" t="str">
        <f>HYPERLINK("http://www.mrt.tas.gov.au/webdoc2/app/default/drilling_detail?id=41035","Geol Survey Link")</f>
        <v>Geol Survey Link</v>
      </c>
      <c r="G5262" t="s">
        <v>3473</v>
      </c>
      <c r="H5262" t="s">
        <v>3513</v>
      </c>
      <c r="I5262">
        <v>-41.6203</v>
      </c>
      <c r="J5262">
        <v>145.678</v>
      </c>
      <c r="K5262" t="str">
        <f>HYPERLINK("http://www.mrt.tas.gov.au/NVCLDataServices/mosaic.html?datasetid=09f10dd1-3b70-4062-b563-f810ec0ca74","41035_MCD34_Core Image")</f>
        <v>41035_MCD34_Core Image</v>
      </c>
    </row>
    <row r="5263" spans="1:11" x14ac:dyDescent="0.25">
      <c r="A5263" t="str">
        <f>HYPERLINK("http://www.corstruth.com.au/Tas/41036_MCD35_cs.png","41036_MCD35_A4")</f>
        <v>41036_MCD35_A4</v>
      </c>
      <c r="B5263" t="str">
        <f>HYPERLINK("http://www.corstruth.com.au/Tas/PNG2/41036_MCD35_cs.png","41036_MCD35_0.25m Bins")</f>
        <v>41036_MCD35_0.25m Bins</v>
      </c>
      <c r="C5263" t="str">
        <f>HYPERLINK("http://www.corstruth.com.au/Tas/CSV/41036_MCD35.csv","41036_MCD35_CSV File 1m Bins")</f>
        <v>41036_MCD35_CSV File 1m Bins</v>
      </c>
      <c r="D5263">
        <v>41036</v>
      </c>
      <c r="E5263" t="s">
        <v>3422</v>
      </c>
      <c r="F5263" t="str">
        <f>HYPERLINK("http://www.mrt.tas.gov.au/webdoc2/app/default/drilling_detail?id=41036","Geol Survey Link")</f>
        <v>Geol Survey Link</v>
      </c>
      <c r="G5263" t="s">
        <v>3473</v>
      </c>
      <c r="H5263" t="s">
        <v>3513</v>
      </c>
      <c r="I5263">
        <v>-41.619799999999998</v>
      </c>
      <c r="J5263">
        <v>145.678</v>
      </c>
      <c r="K5263" t="str">
        <f>HYPERLINK("http://www.mrt.tas.gov.au/NVCLDataServices/mosaic.html?datasetid=e64d892d-2b36-4fae-8c18-75f68c14dbb","41036_MCD35_Core Image")</f>
        <v>41036_MCD35_Core Image</v>
      </c>
    </row>
    <row r="5264" spans="1:11" x14ac:dyDescent="0.25">
      <c r="A5264" t="str">
        <f>HYPERLINK("http://www.corstruth.com.au/Tas/4799_MC1_cs.png","4799_MC1_A4")</f>
        <v>4799_MC1_A4</v>
      </c>
      <c r="B5264" t="str">
        <f>HYPERLINK("http://www.corstruth.com.au/Tas/PNG2/4799_MC1_cs.png","4799_MC1_0.25m Bins")</f>
        <v>4799_MC1_0.25m Bins</v>
      </c>
      <c r="C5264" t="str">
        <f>HYPERLINK("http://www.corstruth.com.au/Tas/CSV/4799_MC1.csv","4799_MC1_CSV File 1m Bins")</f>
        <v>4799_MC1_CSV File 1m Bins</v>
      </c>
      <c r="D5264">
        <v>4799</v>
      </c>
      <c r="E5264" t="s">
        <v>3422</v>
      </c>
      <c r="F5264" t="str">
        <f>HYPERLINK("http://www.mrt.tas.gov.au/webdoc2/app/default/drilling_detail?id=4799","Geol Survey Link")</f>
        <v>Geol Survey Link</v>
      </c>
      <c r="G5264" t="s">
        <v>3473</v>
      </c>
      <c r="H5264" t="s">
        <v>3513</v>
      </c>
      <c r="I5264">
        <v>-41.618699999999997</v>
      </c>
      <c r="J5264">
        <v>145.678</v>
      </c>
      <c r="K5264" t="str">
        <f>HYPERLINK("http://www.mrt.tas.gov.au/NVCLDataServices/mosaic.html?datasetid=ebbba533-0549-4281-8bd2-539e1d7e778","4799_MC1_Core Image")</f>
        <v>4799_MC1_Core Image</v>
      </c>
    </row>
    <row r="5265" spans="1:11" x14ac:dyDescent="0.25">
      <c r="A5265" t="str">
        <f>HYPERLINK("http://www.corstruth.com.au/Tas/4800_MC2_cs.png","4800_MC2_A4")</f>
        <v>4800_MC2_A4</v>
      </c>
      <c r="B5265" t="str">
        <f>HYPERLINK("http://www.corstruth.com.au/Tas/PNG2/4800_MC2_cs.png","4800_MC2_0.25m Bins")</f>
        <v>4800_MC2_0.25m Bins</v>
      </c>
      <c r="C5265" t="str">
        <f>HYPERLINK("http://www.corstruth.com.au/Tas/CSV/4800_MC2.csv","4800_MC2_CSV File 1m Bins")</f>
        <v>4800_MC2_CSV File 1m Bins</v>
      </c>
      <c r="D5265">
        <v>4800</v>
      </c>
      <c r="E5265" t="s">
        <v>3422</v>
      </c>
      <c r="F5265" t="str">
        <f>HYPERLINK("http://www.mrt.tas.gov.au/webdoc2/app/default/drilling_detail?id=4800","Geol Survey Link")</f>
        <v>Geol Survey Link</v>
      </c>
      <c r="G5265" t="s">
        <v>3473</v>
      </c>
      <c r="H5265" t="s">
        <v>3513</v>
      </c>
      <c r="I5265">
        <v>-41.6205</v>
      </c>
      <c r="J5265">
        <v>145.67699999999999</v>
      </c>
      <c r="K5265" t="str">
        <f>HYPERLINK("http://www.mrt.tas.gov.au/NVCLDataServices/mosaic.html?datasetid=6bbc0015-f61d-4869-a0dd-9e5500e18f8","4800_MC2_Core Image")</f>
        <v>4800_MC2_Core Image</v>
      </c>
    </row>
    <row r="5266" spans="1:11" x14ac:dyDescent="0.25">
      <c r="A5266" t="str">
        <f>HYPERLINK("http://www.corstruth.com.au/Tas/22453_NCT002_cs.png","22453_NCT002_A4")</f>
        <v>22453_NCT002_A4</v>
      </c>
      <c r="B5266" t="str">
        <f>HYPERLINK("http://www.corstruth.com.au/Tas/PNG2/22453_NCT002_cs.png","22453_NCT002_0.25m Bins")</f>
        <v>22453_NCT002_0.25m Bins</v>
      </c>
      <c r="C5266" t="str">
        <f>HYPERLINK("http://www.corstruth.com.au/Tas/CSV/22453_NCT002.csv","22453_NCT002_CSV File 1m Bins")</f>
        <v>22453_NCT002_CSV File 1m Bins</v>
      </c>
      <c r="D5266">
        <v>22453</v>
      </c>
      <c r="E5266" t="s">
        <v>3422</v>
      </c>
      <c r="F5266" t="str">
        <f>HYPERLINK("http://www.mrt.tas.gov.au/webdoc2/app/default/drilling_detail?id=22453","Geol Survey Link")</f>
        <v>Geol Survey Link</v>
      </c>
      <c r="G5266" t="s">
        <v>3473</v>
      </c>
      <c r="H5266" t="s">
        <v>3514</v>
      </c>
      <c r="I5266">
        <v>-42.242699999999999</v>
      </c>
      <c r="J5266">
        <v>145.60400000000001</v>
      </c>
      <c r="K5266" t="str">
        <f>HYPERLINK("http://www.mrt.tas.gov.au/NVCLDataServices/mosaic.html?datasetid=5d9de9bb-20a8-470b-a4b6-0939895fa30","22453_NCT002_Core Image")</f>
        <v>22453_NCT002_Core Image</v>
      </c>
    </row>
    <row r="5267" spans="1:11" x14ac:dyDescent="0.25">
      <c r="A5267" t="str">
        <f>HYPERLINK("http://www.corstruth.com.au/Tas/17609_MJ002_Mt_Julia_cs.png","17609_MJ002_Mt_Julia_A4")</f>
        <v>17609_MJ002_Mt_Julia_A4</v>
      </c>
      <c r="D5267">
        <v>17609</v>
      </c>
      <c r="E5267" t="s">
        <v>3422</v>
      </c>
      <c r="F5267" t="str">
        <f>HYPERLINK("http://www.mrt.tas.gov.au/webdoc2/app/default/drilling_detail?id=17609","Geol Survey Link")</f>
        <v>Geol Survey Link</v>
      </c>
      <c r="G5267" t="s">
        <v>3473</v>
      </c>
      <c r="H5267" t="s">
        <v>3515</v>
      </c>
      <c r="I5267">
        <v>-41.884099999999997</v>
      </c>
      <c r="J5267">
        <v>145.553</v>
      </c>
    </row>
    <row r="5268" spans="1:11" x14ac:dyDescent="0.25">
      <c r="A5268" t="str">
        <f>HYPERLINK("http://www.corstruth.com.au/Tas/17610_MJ003_Mt_Julia_cs.png","17610_MJ003_Mt_Julia_A4")</f>
        <v>17610_MJ003_Mt_Julia_A4</v>
      </c>
      <c r="D5268">
        <v>17610</v>
      </c>
      <c r="E5268" t="s">
        <v>3422</v>
      </c>
      <c r="F5268" t="str">
        <f>HYPERLINK("http://www.mrt.tas.gov.au/webdoc2/app/default/drilling_detail?id=17610","Geol Survey Link")</f>
        <v>Geol Survey Link</v>
      </c>
      <c r="G5268" t="s">
        <v>3473</v>
      </c>
      <c r="H5268" t="s">
        <v>3515</v>
      </c>
      <c r="I5268">
        <v>-41.883600000000001</v>
      </c>
      <c r="J5268">
        <v>145.554</v>
      </c>
    </row>
    <row r="5269" spans="1:11" x14ac:dyDescent="0.25">
      <c r="A5269" t="str">
        <f>HYPERLINK("http://www.corstruth.com.au/Tas/19763_MJ021_Mt_Julia_cs.png","19763_MJ021_Mt_Julia_A4")</f>
        <v>19763_MJ021_Mt_Julia_A4</v>
      </c>
      <c r="B5269" t="str">
        <f>HYPERLINK("http://www.corstruth.com.au/Tas/PNG2/19763_MJ021_Mt_Julia_cs.png","19763_MJ021_Mt_Julia_0.25m Bins")</f>
        <v>19763_MJ021_Mt_Julia_0.25m Bins</v>
      </c>
      <c r="C5269" t="str">
        <f>HYPERLINK("http://www.corstruth.com.au/Tas/CSV/19763_MJ021_Mt_Julia.csv","19763_MJ021_Mt_Julia_CSV File 1m Bins")</f>
        <v>19763_MJ021_Mt_Julia_CSV File 1m Bins</v>
      </c>
      <c r="D5269">
        <v>19763</v>
      </c>
      <c r="E5269" t="s">
        <v>3422</v>
      </c>
      <c r="F5269" t="str">
        <f>HYPERLINK("http://www.mrt.tas.gov.au/webdoc2/app/default/drilling_detail?id=19763","Geol Survey Link")</f>
        <v>Geol Survey Link</v>
      </c>
      <c r="G5269" t="s">
        <v>3473</v>
      </c>
      <c r="H5269" t="s">
        <v>3515</v>
      </c>
      <c r="I5269">
        <v>-41.885100000000001</v>
      </c>
      <c r="J5269">
        <v>145.55500000000001</v>
      </c>
      <c r="K5269" t="str">
        <f>HYPERLINK("http://www.mrt.tas.gov.au/NVCLDataServices/mosaic.html?datasetid=8dc69319-d821-4155-a995-51fd5192a02","19763_MJ021_Mt_Julia_Core Image")</f>
        <v>19763_MJ021_Mt_Julia_Core Image</v>
      </c>
    </row>
    <row r="5270" spans="1:11" x14ac:dyDescent="0.25">
      <c r="A5270" t="str">
        <f>HYPERLINK("http://www.corstruth.com.au/Tas/5337_MR1_cs.png","5337_MR1_A4")</f>
        <v>5337_MR1_A4</v>
      </c>
      <c r="B5270" t="str">
        <f>HYPERLINK("http://www.corstruth.com.au/Tas/PNG2/5337_MR1_cs.png","5337_MR1_0.25m Bins")</f>
        <v>5337_MR1_0.25m Bins</v>
      </c>
      <c r="C5270" t="str">
        <f>HYPERLINK("http://www.corstruth.com.au/Tas/CSV/5337_MR1.csv","5337_MR1_CSV File 1m Bins")</f>
        <v>5337_MR1_CSV File 1m Bins</v>
      </c>
      <c r="D5270">
        <v>5337</v>
      </c>
      <c r="E5270" t="s">
        <v>3422</v>
      </c>
      <c r="F5270" t="str">
        <f>HYPERLINK("http://www.mrt.tas.gov.au/webdoc2/app/default/drilling_detail?id=5337","Geol Survey Link")</f>
        <v>Geol Survey Link</v>
      </c>
      <c r="G5270" t="s">
        <v>3473</v>
      </c>
      <c r="H5270" t="s">
        <v>3516</v>
      </c>
      <c r="I5270">
        <v>-41.880699999999997</v>
      </c>
      <c r="J5270">
        <v>145.52000000000001</v>
      </c>
      <c r="K5270" t="str">
        <f>HYPERLINK("http://www.mrt.tas.gov.au/NVCLDataServices/mosaic.html?datasetid=b93ce53f-610b-4882-bb2f-a51c07e414a","5337_MR1_Core Image")</f>
        <v>5337_MR1_Core Image</v>
      </c>
    </row>
    <row r="5271" spans="1:11" x14ac:dyDescent="0.25">
      <c r="A5271" t="str">
        <f>HYPERLINK("http://www.corstruth.com.au/Tas/14993_DD88MS1_Mt_Sedgewick_cs.png","14993_DD88MS1_Mt_Sedgewick_A4")</f>
        <v>14993_DD88MS1_Mt_Sedgewick_A4</v>
      </c>
      <c r="B5271" t="str">
        <f>HYPERLINK("http://www.corstruth.com.au/Tas/PNG2/14993_DD88MS1_Mt_Sedgewick_cs.png","14993_DD88MS1_Mt_Sedgewick_0.25m Bins")</f>
        <v>14993_DD88MS1_Mt_Sedgewick_0.25m Bins</v>
      </c>
      <c r="C5271" t="str">
        <f>HYPERLINK("http://www.corstruth.com.au/Tas/CSV/14993_DD88MS1_Mt_Sedgewick.csv","14993_DD88MS1_Mt_Sedgewick_CSV File 1m Bins")</f>
        <v>14993_DD88MS1_Mt_Sedgewick_CSV File 1m Bins</v>
      </c>
      <c r="D5271">
        <v>14993</v>
      </c>
      <c r="E5271" t="s">
        <v>3422</v>
      </c>
      <c r="F5271" t="str">
        <f>HYPERLINK("http://www.mrt.tas.gov.au/webdoc2/app/default/drilling_detail?id=14993","Geol Survey Link")</f>
        <v>Geol Survey Link</v>
      </c>
      <c r="G5271" t="s">
        <v>3473</v>
      </c>
      <c r="H5271" t="s">
        <v>3517</v>
      </c>
      <c r="I5271">
        <v>-41.994500000000002</v>
      </c>
      <c r="J5271">
        <v>145.636</v>
      </c>
      <c r="K5271" t="str">
        <f>HYPERLINK("http://www.mrt.tas.gov.au/NVCLDataServices/mosaic.html?datasetid=448429df-1843-4cd5-9f96-06027095ead","14993_DD88MS1_Mt_Sedgewick_Core Image")</f>
        <v>14993_DD88MS1_Mt_Sedgewick_Core Image</v>
      </c>
    </row>
    <row r="5272" spans="1:11" x14ac:dyDescent="0.25">
      <c r="A5272" t="str">
        <f>HYPERLINK("http://www.corstruth.com.au/Tas/18121_YNC15_Newton_Creek_cs.png","18121_YNC15_Newton_Creek_A4")</f>
        <v>18121_YNC15_Newton_Creek_A4</v>
      </c>
      <c r="B5272" t="str">
        <f>HYPERLINK("http://www.corstruth.com.au/Tas/PNG2/18121_YNC15_Newton_Creek_cs.png","18121_YNC15_Newton_Creek_0.25m Bins")</f>
        <v>18121_YNC15_Newton_Creek_0.25m Bins</v>
      </c>
      <c r="C5272" t="str">
        <f>HYPERLINK("http://www.corstruth.com.au/Tas/CSV/18121_YNC15_Newton_Creek.csv","18121_YNC15_Newton_Creek_CSV File 1m Bins")</f>
        <v>18121_YNC15_Newton_Creek_CSV File 1m Bins</v>
      </c>
      <c r="D5272">
        <v>18121</v>
      </c>
      <c r="E5272" t="s">
        <v>3422</v>
      </c>
      <c r="F5272" t="str">
        <f>HYPERLINK("http://www.mrt.tas.gov.au/webdoc2/app/default/drilling_detail?id=18121","Geol Survey Link")</f>
        <v>Geol Survey Link</v>
      </c>
      <c r="G5272" t="s">
        <v>3473</v>
      </c>
      <c r="H5272" t="s">
        <v>3518</v>
      </c>
      <c r="I5272">
        <v>-41.895400000000002</v>
      </c>
      <c r="J5272">
        <v>145.54499999999999</v>
      </c>
    </row>
    <row r="5273" spans="1:11" x14ac:dyDescent="0.25">
      <c r="A5273" t="str">
        <f>HYPERLINK("http://www.corstruth.com.au/Tas/18122_YNC14_Newton_Creek_cs.png","18122_YNC14_Newton_Creek_A4")</f>
        <v>18122_YNC14_Newton_Creek_A4</v>
      </c>
      <c r="B5273" t="str">
        <f>HYPERLINK("http://www.corstruth.com.au/Tas/PNG2/18122_YNC14_Newton_Creek_cs.png","18122_YNC14_Newton_Creek_0.25m Bins")</f>
        <v>18122_YNC14_Newton_Creek_0.25m Bins</v>
      </c>
      <c r="C5273" t="str">
        <f>HYPERLINK("http://www.corstruth.com.au/Tas/CSV/18122_YNC14_Newton_Creek.csv","18122_YNC14_Newton_Creek_CSV File 1m Bins")</f>
        <v>18122_YNC14_Newton_Creek_CSV File 1m Bins</v>
      </c>
      <c r="D5273">
        <v>18122</v>
      </c>
      <c r="E5273" t="s">
        <v>3422</v>
      </c>
      <c r="F5273" t="str">
        <f>HYPERLINK("http://www.mrt.tas.gov.au/webdoc2/app/default/drilling_detail?id=18122","Geol Survey Link")</f>
        <v>Geol Survey Link</v>
      </c>
      <c r="G5273" t="s">
        <v>3473</v>
      </c>
      <c r="H5273" t="s">
        <v>3518</v>
      </c>
      <c r="I5273">
        <v>-41.895499999999998</v>
      </c>
      <c r="J5273">
        <v>145.547</v>
      </c>
    </row>
    <row r="5274" spans="1:11" x14ac:dyDescent="0.25">
      <c r="A5274" t="str">
        <f>HYPERLINK("http://www.corstruth.com.au/Tas/44274_DD12PL011_Prince_Lyell_cs.png","44274_DD12PL011_Prince_Lyell_A4")</f>
        <v>44274_DD12PL011_Prince_Lyell_A4</v>
      </c>
      <c r="B5274" t="str">
        <f>HYPERLINK("http://www.corstruth.com.au/Tas/PNG2/44274_DD12PL011_Prince_Lyell_cs.png","44274_DD12PL011_Prince_Lyell_0.25m Bins")</f>
        <v>44274_DD12PL011_Prince_Lyell_0.25m Bins</v>
      </c>
      <c r="C5274" t="str">
        <f>HYPERLINK("http://www.corstruth.com.au/Tas/CSV/44274_DD12PL011_Prince_Lyell.csv","44274_DD12PL011_Prince_Lyell_CSV File 1m Bins")</f>
        <v>44274_DD12PL011_Prince_Lyell_CSV File 1m Bins</v>
      </c>
      <c r="D5274">
        <v>44274</v>
      </c>
      <c r="E5274" t="s">
        <v>3422</v>
      </c>
      <c r="F5274" t="str">
        <f>HYPERLINK("http://www.mrt.tas.gov.au/webdoc2/app/default/drilling_detail?id=44274","Geol Survey Link")</f>
        <v>Geol Survey Link</v>
      </c>
      <c r="G5274" t="s">
        <v>3473</v>
      </c>
      <c r="H5274" t="s">
        <v>3519</v>
      </c>
      <c r="I5274">
        <v>-42.063800000000001</v>
      </c>
      <c r="J5274">
        <v>145.58199999999999</v>
      </c>
      <c r="K5274" t="str">
        <f>HYPERLINK("http://www.mrt.tas.gov.au/NVCLDataServices/mosaic.html?datasetid=52c3919f-72ed-4975-9749-66d0d675e64","44274_DD12PL011_Prince_Lyell_Core Image")</f>
        <v>44274_DD12PL011_Prince_Lyell_Core Image</v>
      </c>
    </row>
    <row r="5275" spans="1:11" x14ac:dyDescent="0.25">
      <c r="A5275" t="str">
        <f>HYPERLINK("http://www.corstruth.com.au/Tas/9437_RH5_cs.png","9437_RH5_A4")</f>
        <v>9437_RH5_A4</v>
      </c>
      <c r="B5275" t="str">
        <f>HYPERLINK("http://www.corstruth.com.au/Tas/PNG2/9437_RH5_cs.png","9437_RH5_0.25m Bins")</f>
        <v>9437_RH5_0.25m Bins</v>
      </c>
      <c r="C5275" t="str">
        <f>HYPERLINK("http://www.corstruth.com.au/Tas/CSV/9437_RH5.csv","9437_RH5_CSV File 1m Bins")</f>
        <v>9437_RH5_CSV File 1m Bins</v>
      </c>
      <c r="D5275">
        <v>9437</v>
      </c>
      <c r="E5275" t="s">
        <v>3422</v>
      </c>
      <c r="F5275" t="str">
        <f>HYPERLINK("http://www.mrt.tas.gov.au/webdoc2/app/default/drilling_detail?id=9437","Geol Survey Link")</f>
        <v>Geol Survey Link</v>
      </c>
      <c r="G5275" t="s">
        <v>3473</v>
      </c>
      <c r="H5275" t="s">
        <v>3520</v>
      </c>
      <c r="I5275">
        <v>-41.8553</v>
      </c>
      <c r="J5275">
        <v>145.583</v>
      </c>
    </row>
    <row r="5276" spans="1:11" x14ac:dyDescent="0.25">
      <c r="A5276" t="str">
        <f>HYPERLINK("http://www.corstruth.com.au/Tas/9444_RH16_cs.png","9444_RH16_A4")</f>
        <v>9444_RH16_A4</v>
      </c>
      <c r="B5276" t="str">
        <f>HYPERLINK("http://www.corstruth.com.au/Tas/PNG2/9444_RH16_cs.png","9444_RH16_0.25m Bins")</f>
        <v>9444_RH16_0.25m Bins</v>
      </c>
      <c r="C5276" t="str">
        <f>HYPERLINK("http://www.corstruth.com.au/Tas/CSV/9444_RH16.csv","9444_RH16_CSV File 1m Bins")</f>
        <v>9444_RH16_CSV File 1m Bins</v>
      </c>
      <c r="D5276">
        <v>9444</v>
      </c>
      <c r="E5276" t="s">
        <v>3422</v>
      </c>
      <c r="F5276" t="str">
        <f>HYPERLINK("http://www.mrt.tas.gov.au/webdoc2/app/default/drilling_detail?id=9444","Geol Survey Link")</f>
        <v>Geol Survey Link</v>
      </c>
      <c r="G5276" t="s">
        <v>3473</v>
      </c>
      <c r="H5276" t="s">
        <v>3520</v>
      </c>
      <c r="I5276">
        <v>-41.855600000000003</v>
      </c>
      <c r="J5276">
        <v>145.58199999999999</v>
      </c>
    </row>
    <row r="5277" spans="1:11" x14ac:dyDescent="0.25">
      <c r="A5277" t="str">
        <f>HYPERLINK("http://www.corstruth.com.au/Tas/44235_U5356_Renison_cs.png","44235_U5356_Renison_A4")</f>
        <v>44235_U5356_Renison_A4</v>
      </c>
      <c r="B5277" t="str">
        <f>HYPERLINK("http://www.corstruth.com.au/Tas/PNG2/44235_U5356_Renison_cs.png","44235_U5356_Renison_0.25m Bins")</f>
        <v>44235_U5356_Renison_0.25m Bins</v>
      </c>
      <c r="C5277" t="str">
        <f>HYPERLINK("http://www.corstruth.com.au/Tas/CSV/44235_U5356_Renison.csv","44235_U5356_Renison_CSV File 1m Bins")</f>
        <v>44235_U5356_Renison_CSV File 1m Bins</v>
      </c>
      <c r="D5277">
        <v>44235</v>
      </c>
      <c r="E5277" t="s">
        <v>3422</v>
      </c>
      <c r="F5277" t="str">
        <f>HYPERLINK("http://www.mrt.tas.gov.au/webdoc2/app/default/drilling_detail?id=44235","Geol Survey Link")</f>
        <v>Geol Survey Link</v>
      </c>
      <c r="G5277" t="s">
        <v>3473</v>
      </c>
      <c r="H5277" t="s">
        <v>3521</v>
      </c>
      <c r="I5277">
        <v>-41.792900000000003</v>
      </c>
      <c r="J5277">
        <v>145.43799999999999</v>
      </c>
      <c r="K5277" t="str">
        <f>HYPERLINK("http://www.mrt.tas.gov.au/NVCLDataServices/mosaic.html?datasetid=9b087437-6d51-497c-98bb-66ea9c0451a","44235_U5356_Renison_Core Image")</f>
        <v>44235_U5356_Renison_Core Image</v>
      </c>
    </row>
    <row r="5278" spans="1:11" x14ac:dyDescent="0.25">
      <c r="A5278" t="str">
        <f>HYPERLINK("http://www.corstruth.com.au/Tas/13519_Rosebery_BH2_cs.png","13519_Rosebery_BH2_A4")</f>
        <v>13519_Rosebery_BH2_A4</v>
      </c>
      <c r="B5278" t="str">
        <f>HYPERLINK("http://www.corstruth.com.au/Tas/PNG2/13519_Rosebery_BH2_cs.png","13519_Rosebery_BH2_0.25m Bins")</f>
        <v>13519_Rosebery_BH2_0.25m Bins</v>
      </c>
      <c r="C5278" t="str">
        <f>HYPERLINK("http://www.corstruth.com.au/Tas/CSV/13519_Rosebery_BH2.csv","13519_Rosebery_BH2_CSV File 1m Bins")</f>
        <v>13519_Rosebery_BH2_CSV File 1m Bins</v>
      </c>
      <c r="D5278">
        <v>13519</v>
      </c>
      <c r="E5278" t="s">
        <v>3422</v>
      </c>
      <c r="F5278" t="str">
        <f>HYPERLINK("http://www.mrt.tas.gov.au/webdoc2/app/default/drilling_detail?id=13519","Geol Survey Link")</f>
        <v>Geol Survey Link</v>
      </c>
      <c r="G5278" t="s">
        <v>3473</v>
      </c>
      <c r="H5278" t="s">
        <v>3522</v>
      </c>
      <c r="I5278">
        <v>-41.790999999999997</v>
      </c>
      <c r="J5278">
        <v>145.51400000000001</v>
      </c>
      <c r="K5278" t="str">
        <f>HYPERLINK("http://www.mrt.tas.gov.au/NVCLDataServices/mosaic.html?datasetid=ca48d7d4-1aa9-4e5f-bfa3-f998ea8cf4a","13519_Rosebery_BH2_Core Image")</f>
        <v>13519_Rosebery_BH2_Core Image</v>
      </c>
    </row>
    <row r="5279" spans="1:11" x14ac:dyDescent="0.25">
      <c r="A5279" t="str">
        <f>HYPERLINK("http://www.corstruth.com.au/Tas/44653_120R_Rosebery_cs.png","44653_120R_Rosebery_A4")</f>
        <v>44653_120R_Rosebery_A4</v>
      </c>
      <c r="B5279" t="str">
        <f>HYPERLINK("http://www.corstruth.com.au/Tas/PNG2/44653_120R_Rosebery_cs.png","44653_120R_Rosebery_0.25m Bins")</f>
        <v>44653_120R_Rosebery_0.25m Bins</v>
      </c>
      <c r="C5279" t="str">
        <f>HYPERLINK("http://www.corstruth.com.au/Tas/CSV/44653_120R_Rosebery.csv","44653_120R_Rosebery_CSV File 1m Bins")</f>
        <v>44653_120R_Rosebery_CSV File 1m Bins</v>
      </c>
      <c r="D5279">
        <v>44653</v>
      </c>
      <c r="E5279" t="s">
        <v>3422</v>
      </c>
      <c r="F5279" t="str">
        <f>HYPERLINK("http://www.mrt.tas.gov.au/webdoc2/app/default/drilling_detail?id=44653","Geol Survey Link")</f>
        <v>Geol Survey Link</v>
      </c>
      <c r="G5279" t="s">
        <v>3473</v>
      </c>
      <c r="H5279" t="s">
        <v>3522</v>
      </c>
      <c r="I5279">
        <v>-41.7605</v>
      </c>
      <c r="J5279">
        <v>145.55500000000001</v>
      </c>
      <c r="K5279" t="str">
        <f>HYPERLINK("http://www.mrt.tas.gov.au/NVCLDataServices/mosaic.html?datasetid=36b30b93-29d1-410c-b186-7f3da831dc9","44653_120R_Rosebery_Core Image")</f>
        <v>44653_120R_Rosebery_Core Image</v>
      </c>
    </row>
    <row r="5280" spans="1:11" x14ac:dyDescent="0.25">
      <c r="A5280" t="str">
        <f>HYPERLINK("http://www.corstruth.com.au/Tas/44933_R10272_Rosebery_cs.png","44933_R10272_Rosebery_A4")</f>
        <v>44933_R10272_Rosebery_A4</v>
      </c>
      <c r="B5280" t="str">
        <f>HYPERLINK("http://www.corstruth.com.au/Tas/PNG2/44933_R10272_Rosebery_cs.png","44933_R10272_Rosebery_0.25m Bins")</f>
        <v>44933_R10272_Rosebery_0.25m Bins</v>
      </c>
      <c r="C5280" t="str">
        <f>HYPERLINK("http://www.corstruth.com.au/Tas/CSV/44933_R10272_Rosebery.csv","44933_R10272_Rosebery_CSV File 1m Bins")</f>
        <v>44933_R10272_Rosebery_CSV File 1m Bins</v>
      </c>
      <c r="D5280">
        <v>44933</v>
      </c>
      <c r="E5280" t="s">
        <v>3422</v>
      </c>
      <c r="F5280" t="str">
        <f>HYPERLINK("http://www.mrt.tas.gov.au/webdoc2/app/default/drilling_detail?id=44933","Geol Survey Link")</f>
        <v>Geol Survey Link</v>
      </c>
      <c r="G5280" t="s">
        <v>3473</v>
      </c>
      <c r="H5280" t="s">
        <v>3522</v>
      </c>
      <c r="I5280">
        <v>-41.750900000000001</v>
      </c>
      <c r="J5280">
        <v>145.553</v>
      </c>
      <c r="K5280" t="str">
        <f>HYPERLINK("http://www.mrt.tas.gov.au/NVCLDataServices/mosaic.html?datasetid=d73f7a70-f32d-42b6-bff7-c046b0f9bce","44933_R10272_Rosebery_Core Image")</f>
        <v>44933_R10272_Rosebery_Core Image</v>
      </c>
    </row>
    <row r="5281" spans="1:11" x14ac:dyDescent="0.25">
      <c r="A5281" t="str">
        <f>HYPERLINK("http://www.corstruth.com.au/Tas/44934_R10414_Rosebery_cs.png","44934_R10414_Rosebery_A4")</f>
        <v>44934_R10414_Rosebery_A4</v>
      </c>
      <c r="B5281" t="str">
        <f>HYPERLINK("http://www.corstruth.com.au/Tas/PNG2/44934_R10414_Rosebery_cs.png","44934_R10414_Rosebery_0.25m Bins")</f>
        <v>44934_R10414_Rosebery_0.25m Bins</v>
      </c>
      <c r="C5281" t="str">
        <f>HYPERLINK("http://www.corstruth.com.au/Tas/CSV/44934_R10414_Rosebery.csv","44934_R10414_Rosebery_CSV File 1m Bins")</f>
        <v>44934_R10414_Rosebery_CSV File 1m Bins</v>
      </c>
      <c r="D5281">
        <v>44934</v>
      </c>
      <c r="E5281" t="s">
        <v>3422</v>
      </c>
      <c r="F5281" t="str">
        <f>HYPERLINK("http://www.mrt.tas.gov.au/webdoc2/app/default/drilling_detail?id=44934","Geol Survey Link")</f>
        <v>Geol Survey Link</v>
      </c>
      <c r="G5281" t="s">
        <v>3473</v>
      </c>
      <c r="H5281" t="s">
        <v>3522</v>
      </c>
      <c r="I5281">
        <v>-41.749899999999997</v>
      </c>
      <c r="J5281">
        <v>145.55500000000001</v>
      </c>
      <c r="K5281" t="str">
        <f>HYPERLINK("http://www.mrt.tas.gov.au/NVCLDataServices/mosaic.html?datasetid=d03601e8-3fd2-4a6c-b7d9-2f58c194fd5","44934_R10414_Rosebery_Core Image")</f>
        <v>44934_R10414_Rosebery_Core Image</v>
      </c>
    </row>
    <row r="5282" spans="1:11" x14ac:dyDescent="0.25">
      <c r="A5282" t="str">
        <f>HYPERLINK("http://www.corstruth.com.au/Tas/50220_411R-D1_cs.png","50220_411R-D1_A4")</f>
        <v>50220_411R-D1_A4</v>
      </c>
      <c r="B5282" t="str">
        <f>HYPERLINK("http://www.corstruth.com.au/Tas/PNG2/50220_411R-D1_cs.png","50220_411R-D1_0.25m Bins")</f>
        <v>50220_411R-D1_0.25m Bins</v>
      </c>
      <c r="C5282" t="str">
        <f>HYPERLINK("http://www.corstruth.com.au/Tas/CSV/50220_411R-D1.csv","50220_411R-D1_CSV File 1m Bins")</f>
        <v>50220_411R-D1_CSV File 1m Bins</v>
      </c>
      <c r="D5282">
        <v>50220</v>
      </c>
      <c r="E5282" t="s">
        <v>3422</v>
      </c>
      <c r="F5282" t="str">
        <f>HYPERLINK("http://www.mrt.tas.gov.au/webdoc2/app/default/drilling_detail?id=50220","Geol Survey Link")</f>
        <v>Geol Survey Link</v>
      </c>
      <c r="G5282" t="s">
        <v>3473</v>
      </c>
      <c r="H5282" t="s">
        <v>3522</v>
      </c>
      <c r="I5282">
        <v>-41.737200000000001</v>
      </c>
      <c r="J5282">
        <v>145.554</v>
      </c>
      <c r="K5282" t="str">
        <f>HYPERLINK("http://www.mrt.tas.gov.au/NVCLDataServices/mosaic.html?datasetid=a55fa81a-ba73-4789-9bd7-e27a1c8801a","50220_411R-D1_Core Image")</f>
        <v>50220_411R-D1_Core Image</v>
      </c>
    </row>
    <row r="5283" spans="1:11" x14ac:dyDescent="0.25">
      <c r="A5283" t="str">
        <f>HYPERLINK("http://www.corstruth.com.au/Tas/50221_397R_cs.png","50221_397R_A4")</f>
        <v>50221_397R_A4</v>
      </c>
      <c r="B5283" t="str">
        <f>HYPERLINK("http://www.corstruth.com.au/Tas/PNG2/50221_397R_cs.png","50221_397R_0.25m Bins")</f>
        <v>50221_397R_0.25m Bins</v>
      </c>
      <c r="C5283" t="str">
        <f>HYPERLINK("http://www.corstruth.com.au/Tas/CSV/50221_397R.csv","50221_397R_CSV File 1m Bins")</f>
        <v>50221_397R_CSV File 1m Bins</v>
      </c>
      <c r="D5283">
        <v>50221</v>
      </c>
      <c r="E5283" t="s">
        <v>3422</v>
      </c>
      <c r="F5283" t="str">
        <f>HYPERLINK("http://www.mrt.tas.gov.au/webdoc2/app/default/drilling_detail?id=50221","Geol Survey Link")</f>
        <v>Geol Survey Link</v>
      </c>
      <c r="G5283" t="s">
        <v>3473</v>
      </c>
      <c r="H5283" t="s">
        <v>3522</v>
      </c>
      <c r="I5283">
        <v>-41.7425</v>
      </c>
      <c r="J5283">
        <v>145.55600000000001</v>
      </c>
      <c r="K5283" t="str">
        <f>HYPERLINK("http://www.mrt.tas.gov.au/NVCLDataServices/mosaic.html?datasetid=f0c2c8d0-2ccd-42ce-a67f-697bcde211d","50221_397R_Core Image")</f>
        <v>50221_397R_Core Image</v>
      </c>
    </row>
    <row r="5284" spans="1:11" x14ac:dyDescent="0.25">
      <c r="A5284" t="str">
        <f>HYPERLINK("http://www.corstruth.com.au/Tas/50222_R10032_cs.png","50222_R10032_A4")</f>
        <v>50222_R10032_A4</v>
      </c>
      <c r="B5284" t="str">
        <f>HYPERLINK("http://www.corstruth.com.au/Tas/PNG2/50222_R10032_cs.png","50222_R10032_0.25m Bins")</f>
        <v>50222_R10032_0.25m Bins</v>
      </c>
      <c r="C5284" t="str">
        <f>HYPERLINK("http://www.corstruth.com.au/Tas/CSV/50222_R10032.csv","50222_R10032_CSV File 1m Bins")</f>
        <v>50222_R10032_CSV File 1m Bins</v>
      </c>
      <c r="D5284">
        <v>50222</v>
      </c>
      <c r="E5284" t="s">
        <v>3422</v>
      </c>
      <c r="F5284" t="str">
        <f>HYPERLINK("http://www.mrt.tas.gov.au/webdoc2/app/default/drilling_detail?id=50222","Geol Survey Link")</f>
        <v>Geol Survey Link</v>
      </c>
      <c r="G5284" t="s">
        <v>3473</v>
      </c>
      <c r="H5284" t="s">
        <v>3522</v>
      </c>
      <c r="I5284">
        <v>-41.756999999999998</v>
      </c>
      <c r="J5284">
        <v>145.548</v>
      </c>
      <c r="K5284" t="str">
        <f>HYPERLINK("http://www.mrt.tas.gov.au/NVCLDataServices/mosaic.html?datasetid=e19a4910-e039-4e75-971a-681587b44a0","50222_R10032_Core Image")</f>
        <v>50222_R10032_Core Image</v>
      </c>
    </row>
    <row r="5285" spans="1:11" x14ac:dyDescent="0.25">
      <c r="A5285" t="str">
        <f>HYPERLINK("http://www.corstruth.com.au/Tas/50223_R10063_cs.png","50223_R10063_A4")</f>
        <v>50223_R10063_A4</v>
      </c>
      <c r="B5285" t="str">
        <f>HYPERLINK("http://www.corstruth.com.au/Tas/PNG2/50223_R10063_cs.png","50223_R10063_0.25m Bins")</f>
        <v>50223_R10063_0.25m Bins</v>
      </c>
      <c r="C5285" t="str">
        <f>HYPERLINK("http://www.corstruth.com.au/Tas/CSV/50223_R10063.csv","50223_R10063_CSV File 1m Bins")</f>
        <v>50223_R10063_CSV File 1m Bins</v>
      </c>
      <c r="D5285">
        <v>50223</v>
      </c>
      <c r="E5285" t="s">
        <v>3422</v>
      </c>
      <c r="F5285" t="str">
        <f>HYPERLINK("http://www.mrt.tas.gov.au/webdoc2/app/default/drilling_detail?id=50223","Geol Survey Link")</f>
        <v>Geol Survey Link</v>
      </c>
      <c r="G5285" t="s">
        <v>3473</v>
      </c>
      <c r="H5285" t="s">
        <v>3522</v>
      </c>
      <c r="I5285">
        <v>-41.755800000000001</v>
      </c>
      <c r="J5285">
        <v>145.554</v>
      </c>
      <c r="K5285" t="str">
        <f>HYPERLINK("http://www.mrt.tas.gov.au/NVCLDataServices/mosaic.html?datasetid=1b8732fc-265a-4af1-92ff-ed0c851f6f9","50223_R10063_Core Image")</f>
        <v>50223_R10063_Core Image</v>
      </c>
    </row>
    <row r="5286" spans="1:11" x14ac:dyDescent="0.25">
      <c r="A5286" t="str">
        <f>HYPERLINK("http://www.corstruth.com.au/Tas/50298_R10035_cs.png","50298_R10035_A4")</f>
        <v>50298_R10035_A4</v>
      </c>
      <c r="B5286" t="str">
        <f>HYPERLINK("http://www.corstruth.com.au/Tas/PNG2/50298_R10035_cs.png","50298_R10035_0.25m Bins")</f>
        <v>50298_R10035_0.25m Bins</v>
      </c>
      <c r="C5286" t="str">
        <f>HYPERLINK("http://www.corstruth.com.au/Tas/CSV/50298_R10035.csv","50298_R10035_CSV File 1m Bins")</f>
        <v>50298_R10035_CSV File 1m Bins</v>
      </c>
      <c r="D5286">
        <v>50298</v>
      </c>
      <c r="E5286" t="s">
        <v>3422</v>
      </c>
      <c r="F5286" t="str">
        <f>HYPERLINK("http://www.mrt.tas.gov.au/webdoc2/app/default/drilling_detail?id=50298","Geol Survey Link")</f>
        <v>Geol Survey Link</v>
      </c>
      <c r="G5286" t="s">
        <v>3473</v>
      </c>
      <c r="H5286" t="s">
        <v>3522</v>
      </c>
      <c r="I5286">
        <v>-41.752299999999998</v>
      </c>
      <c r="J5286">
        <v>145.55000000000001</v>
      </c>
      <c r="K5286" t="str">
        <f>HYPERLINK("http://www.mrt.tas.gov.au/NVCLDataServices/mosaic.html?datasetid=cbefc048-52d5-45e8-8557-d85148202ce","50298_R10035_Core Image")</f>
        <v>50298_R10035_Core Image</v>
      </c>
    </row>
    <row r="5287" spans="1:11" x14ac:dyDescent="0.25">
      <c r="A5287" t="str">
        <f>HYPERLINK("http://www.corstruth.com.au/Tas/50299_337R_cs.png","50299_337R_A4")</f>
        <v>50299_337R_A4</v>
      </c>
      <c r="B5287" t="str">
        <f>HYPERLINK("http://www.corstruth.com.au/Tas/PNG2/50299_337R_cs.png","50299_337R_0.25m Bins")</f>
        <v>50299_337R_0.25m Bins</v>
      </c>
      <c r="C5287" t="str">
        <f>HYPERLINK("http://www.corstruth.com.au/Tas/CSV/50299_337R.csv","50299_337R_CSV File 1m Bins")</f>
        <v>50299_337R_CSV File 1m Bins</v>
      </c>
      <c r="D5287">
        <v>50299</v>
      </c>
      <c r="E5287" t="s">
        <v>3422</v>
      </c>
      <c r="F5287" t="str">
        <f>HYPERLINK("http://www.mrt.tas.gov.au/webdoc2/app/default/drilling_detail?id=50299","Geol Survey Link")</f>
        <v>Geol Survey Link</v>
      </c>
      <c r="G5287" t="s">
        <v>3473</v>
      </c>
      <c r="H5287" t="s">
        <v>3522</v>
      </c>
      <c r="I5287">
        <v>-41.747900000000001</v>
      </c>
      <c r="J5287">
        <v>145.55600000000001</v>
      </c>
      <c r="K5287" t="str">
        <f>HYPERLINK("http://www.mrt.tas.gov.au/NVCLDataServices/mosaic.html?datasetid=4aea2109-2b00-470b-abde-30b699015f9","50299_337R_Core Image")</f>
        <v>50299_337R_Core Image</v>
      </c>
    </row>
    <row r="5288" spans="1:11" x14ac:dyDescent="0.25">
      <c r="A5288" t="str">
        <f>HYPERLINK("http://www.corstruth.com.au/Tas/93609_SAYD1_Sayers_cs.png","93609_SAYD1_Sayers_A4")</f>
        <v>93609_SAYD1_Sayers_A4</v>
      </c>
      <c r="B5288" t="str">
        <f>HYPERLINK("http://www.corstruth.com.au/Tas/PNG2/93609_SAYD1_Sayers_cs.png","93609_SAYD1_Sayers_0.25m Bins")</f>
        <v>93609_SAYD1_Sayers_0.25m Bins</v>
      </c>
      <c r="C5288" t="str">
        <f>HYPERLINK("http://www.corstruth.com.au/Tas/CSV/93609_SAYD1_Sayers.csv","93609_SAYD1_Sayers_CSV File 1m Bins")</f>
        <v>93609_SAYD1_Sayers_CSV File 1m Bins</v>
      </c>
      <c r="D5288">
        <v>93609</v>
      </c>
      <c r="E5288" t="s">
        <v>3422</v>
      </c>
      <c r="F5288" t="str">
        <f>HYPERLINK("http://www.mrt.tas.gov.au/webdoc2/app/default/drilling_detail?id=93609","Geol Survey Link")</f>
        <v>Geol Survey Link</v>
      </c>
      <c r="G5288" t="s">
        <v>3473</v>
      </c>
      <c r="H5288" t="s">
        <v>3438</v>
      </c>
      <c r="I5288">
        <v>-41.487499999999997</v>
      </c>
      <c r="J5288">
        <v>146.12200000000001</v>
      </c>
    </row>
    <row r="5289" spans="1:11" x14ac:dyDescent="0.25">
      <c r="A5289" t="str">
        <f>HYPERLINK("http://www.corstruth.com.au/Tas/45133_YT01_Selina_cs.png","45133_YT01_Selina_A4")</f>
        <v>45133_YT01_Selina_A4</v>
      </c>
      <c r="B5289" t="str">
        <f>HYPERLINK("http://www.corstruth.com.au/Tas/PNG2/45133_YT01_Selina_cs.png","45133_YT01_Selina_0.25m Bins")</f>
        <v>45133_YT01_Selina_0.25m Bins</v>
      </c>
      <c r="C5289" t="str">
        <f>HYPERLINK("http://www.corstruth.com.au/Tas/CSV/45133_YT01_Selina.csv","45133_YT01_Selina_CSV File 1m Bins")</f>
        <v>45133_YT01_Selina_CSV File 1m Bins</v>
      </c>
      <c r="D5289">
        <v>45133</v>
      </c>
      <c r="E5289" t="s">
        <v>3422</v>
      </c>
      <c r="F5289" t="str">
        <f>HYPERLINK("http://www.mrt.tas.gov.au/webdoc2/app/default/drilling_detail?id=45133","Geol Survey Link")</f>
        <v>Geol Survey Link</v>
      </c>
      <c r="G5289" t="s">
        <v>3473</v>
      </c>
      <c r="H5289" t="s">
        <v>3523</v>
      </c>
      <c r="I5289">
        <v>-41.889000000000003</v>
      </c>
      <c r="J5289">
        <v>145.63499999999999</v>
      </c>
      <c r="K5289" t="str">
        <f>HYPERLINK("http://www.mrt.tas.gov.au/NVCLDataServices/mosaic.html?datasetid=27719e13-1719-4dfe-9561-ea1dbd988b6","45133_YT01_Selina_Core Image")</f>
        <v>45133_YT01_Selina_Core Image</v>
      </c>
    </row>
    <row r="5290" spans="1:11" x14ac:dyDescent="0.25">
      <c r="A5290" t="str">
        <f>HYPERLINK("http://www.corstruth.com.au/Tas/45134_YT02_Selina_cs.png","45134_YT02_Selina_A4")</f>
        <v>45134_YT02_Selina_A4</v>
      </c>
      <c r="B5290" t="str">
        <f>HYPERLINK("http://www.corstruth.com.au/Tas/PNG2/45134_YT02_Selina_cs.png","45134_YT02_Selina_0.25m Bins")</f>
        <v>45134_YT02_Selina_0.25m Bins</v>
      </c>
      <c r="C5290" t="str">
        <f>HYPERLINK("http://www.corstruth.com.au/Tas/CSV/45134_YT02_Selina.csv","45134_YT02_Selina_CSV File 1m Bins")</f>
        <v>45134_YT02_Selina_CSV File 1m Bins</v>
      </c>
      <c r="D5290">
        <v>45134</v>
      </c>
      <c r="E5290" t="s">
        <v>3422</v>
      </c>
      <c r="F5290" t="str">
        <f>HYPERLINK("http://www.mrt.tas.gov.au/webdoc2/app/default/drilling_detail?id=45134","Geol Survey Link")</f>
        <v>Geol Survey Link</v>
      </c>
      <c r="G5290" t="s">
        <v>3473</v>
      </c>
      <c r="H5290" t="s">
        <v>3523</v>
      </c>
      <c r="I5290">
        <v>-42.030099999999997</v>
      </c>
      <c r="J5290">
        <v>145.64599999999999</v>
      </c>
      <c r="K5290" t="str">
        <f>HYPERLINK("http://www.mrt.tas.gov.au/NVCLDataServices/mosaic.html?datasetid=a5c2b3b3-f489-45bd-9777-6bc898a981b","45134_YT02_Selina_Core Image")</f>
        <v>45134_YT02_Selina_Core Image</v>
      </c>
    </row>
    <row r="5291" spans="1:11" x14ac:dyDescent="0.25">
      <c r="A5291" t="str">
        <f>HYPERLINK("http://www.corstruth.com.au/Tas/87527_SCD002_cs.png","87527_SCD002_A4")</f>
        <v>87527_SCD002_A4</v>
      </c>
      <c r="B5291" t="str">
        <f>HYPERLINK("http://www.corstruth.com.au/Tas/PNG2/87527_SCD002_cs.png","87527_SCD002_0.25m Bins")</f>
        <v>87527_SCD002_0.25m Bins</v>
      </c>
      <c r="C5291" t="str">
        <f>HYPERLINK("http://www.corstruth.com.au/Tas/CSV/87527_SCD002.csv","87527_SCD002_CSV File 1m Bins")</f>
        <v>87527_SCD002_CSV File 1m Bins</v>
      </c>
      <c r="D5291">
        <v>87527</v>
      </c>
      <c r="E5291" t="s">
        <v>3422</v>
      </c>
      <c r="F5291" t="str">
        <f>HYPERLINK("http://www.mrt.tas.gov.au/webdoc2/app/default/drilling_detail?id=87527","Geol Survey Link")</f>
        <v>Geol Survey Link</v>
      </c>
      <c r="G5291" t="s">
        <v>3473</v>
      </c>
      <c r="H5291" t="s">
        <v>3524</v>
      </c>
      <c r="I5291">
        <v>-41.8874</v>
      </c>
      <c r="J5291">
        <v>145.44499999999999</v>
      </c>
    </row>
    <row r="5292" spans="1:11" x14ac:dyDescent="0.25">
      <c r="A5292" t="str">
        <f>HYPERLINK("http://www.corstruth.com.au/Tas/35822_SDD001_cs.png","35822_SDD001_A4")</f>
        <v>35822_SDD001_A4</v>
      </c>
      <c r="B5292" t="str">
        <f>HYPERLINK("http://www.corstruth.com.au/Tas/PNG2/35822_SDD001_cs.png","35822_SDD001_0.25m Bins")</f>
        <v>35822_SDD001_0.25m Bins</v>
      </c>
      <c r="C5292" t="str">
        <f>HYPERLINK("http://www.corstruth.com.au/Tas/CSV/35822_SDD001.csv","35822_SDD001_CSV File 1m Bins")</f>
        <v>35822_SDD001_CSV File 1m Bins</v>
      </c>
      <c r="D5292">
        <v>35822</v>
      </c>
      <c r="E5292" t="s">
        <v>3422</v>
      </c>
      <c r="F5292" t="str">
        <f>HYPERLINK("http://www.mrt.tas.gov.au/webdoc2/app/default/drilling_detail?id=35822","Geol Survey Link")</f>
        <v>Geol Survey Link</v>
      </c>
      <c r="G5292" t="s">
        <v>3473</v>
      </c>
      <c r="H5292" t="s">
        <v>3525</v>
      </c>
      <c r="I5292">
        <v>-42.276400000000002</v>
      </c>
      <c r="J5292">
        <v>145.57900000000001</v>
      </c>
      <c r="K5292" t="str">
        <f>HYPERLINK("http://www.mrt.tas.gov.au/NVCLDataServices/mosaic.html?datasetid=c9fd3779-ea77-492d-86bc-e9cbf2dc800","35822_SDD001_Core Image")</f>
        <v>35822_SDD001_Core Image</v>
      </c>
    </row>
    <row r="5293" spans="1:11" x14ac:dyDescent="0.25">
      <c r="A5293" t="str">
        <f>HYPERLINK("http://www.corstruth.com.au/Tas/35839_SDD002_cs.png","35839_SDD002_A4")</f>
        <v>35839_SDD002_A4</v>
      </c>
      <c r="B5293" t="str">
        <f>HYPERLINK("http://www.corstruth.com.au/Tas/PNG2/35839_SDD002_cs.png","35839_SDD002_0.25m Bins")</f>
        <v>35839_SDD002_0.25m Bins</v>
      </c>
      <c r="C5293" t="str">
        <f>HYPERLINK("http://www.corstruth.com.au/Tas/CSV/35839_SDD002.csv","35839_SDD002_CSV File 1m Bins")</f>
        <v>35839_SDD002_CSV File 1m Bins</v>
      </c>
      <c r="D5293">
        <v>35839</v>
      </c>
      <c r="E5293" t="s">
        <v>3422</v>
      </c>
      <c r="F5293" t="str">
        <f>HYPERLINK("http://www.mrt.tas.gov.au/webdoc2/app/default/drilling_detail?id=35839","Geol Survey Link")</f>
        <v>Geol Survey Link</v>
      </c>
      <c r="G5293" t="s">
        <v>3473</v>
      </c>
      <c r="H5293" t="s">
        <v>3525</v>
      </c>
      <c r="I5293">
        <v>-42.278500000000001</v>
      </c>
      <c r="J5293">
        <v>145.57900000000001</v>
      </c>
      <c r="K5293" t="str">
        <f>HYPERLINK("http://www.mrt.tas.gov.au/NVCLDataServices/mosaic.html?datasetid=bcdb0496-c118-497e-a0f9-7caf8328222","35839_SDD002_Core Image")</f>
        <v>35839_SDD002_Core Image</v>
      </c>
    </row>
    <row r="5294" spans="1:11" x14ac:dyDescent="0.25">
      <c r="A5294" t="str">
        <f>HYPERLINK("http://www.corstruth.com.au/Tas/35840_SDD003_cs.png","35840_SDD003_A4")</f>
        <v>35840_SDD003_A4</v>
      </c>
      <c r="B5294" t="str">
        <f>HYPERLINK("http://www.corstruth.com.au/Tas/PNG2/35840_SDD003_cs.png","35840_SDD003_0.25m Bins")</f>
        <v>35840_SDD003_0.25m Bins</v>
      </c>
      <c r="C5294" t="str">
        <f>HYPERLINK("http://www.corstruth.com.au/Tas/CSV/35840_SDD003.csv","35840_SDD003_CSV File 1m Bins")</f>
        <v>35840_SDD003_CSV File 1m Bins</v>
      </c>
      <c r="D5294">
        <v>35840</v>
      </c>
      <c r="E5294" t="s">
        <v>3422</v>
      </c>
      <c r="F5294" t="str">
        <f>HYPERLINK("http://www.mrt.tas.gov.au/webdoc2/app/default/drilling_detail?id=35840","Geol Survey Link")</f>
        <v>Geol Survey Link</v>
      </c>
      <c r="G5294" t="s">
        <v>3473</v>
      </c>
      <c r="H5294" t="s">
        <v>3525</v>
      </c>
      <c r="I5294">
        <v>-42.278500000000001</v>
      </c>
      <c r="J5294">
        <v>145.57900000000001</v>
      </c>
      <c r="K5294" t="str">
        <f>HYPERLINK("http://www.mrt.tas.gov.au/NVCLDataServices/mosaic.html?datasetid=733edd2a-6dc3-4577-af23-84546557494","35840_SDD003_Core Image")</f>
        <v>35840_SDD003_Core Image</v>
      </c>
    </row>
    <row r="5295" spans="1:11" x14ac:dyDescent="0.25">
      <c r="A5295" t="str">
        <f>HYPERLINK("http://www.corstruth.com.au/Tas/36997_SDD004_cs.png","36997_SDD004_A4")</f>
        <v>36997_SDD004_A4</v>
      </c>
      <c r="B5295" t="str">
        <f>HYPERLINK("http://www.corstruth.com.au/Tas/PNG2/36997_SDD004_cs.png","36997_SDD004_0.25m Bins")</f>
        <v>36997_SDD004_0.25m Bins</v>
      </c>
      <c r="C5295" t="str">
        <f>HYPERLINK("http://www.corstruth.com.au/Tas/CSV/36997_SDD004.csv","36997_SDD004_CSV File 1m Bins")</f>
        <v>36997_SDD004_CSV File 1m Bins</v>
      </c>
      <c r="D5295">
        <v>36997</v>
      </c>
      <c r="E5295" t="s">
        <v>3422</v>
      </c>
      <c r="F5295" t="str">
        <f>HYPERLINK("http://www.mrt.tas.gov.au/webdoc2/app/default/drilling_detail?id=36997","Geol Survey Link")</f>
        <v>Geol Survey Link</v>
      </c>
      <c r="G5295" t="s">
        <v>3473</v>
      </c>
      <c r="H5295" t="s">
        <v>3525</v>
      </c>
      <c r="I5295">
        <v>-42.277200000000001</v>
      </c>
      <c r="J5295">
        <v>145.58199999999999</v>
      </c>
      <c r="K5295" t="str">
        <f>HYPERLINK("http://www.mrt.tas.gov.au/NVCLDataServices/mosaic.html?datasetid=72af1dd2-716c-4cde-9cef-63b9be396aa","36997_SDD004_Core Image")</f>
        <v>36997_SDD004_Core Image</v>
      </c>
    </row>
    <row r="5296" spans="1:11" x14ac:dyDescent="0.25">
      <c r="A5296" t="str">
        <f>HYPERLINK("http://www.corstruth.com.au/Tas/36998_SDD005_cs.png","36998_SDD005_A4")</f>
        <v>36998_SDD005_A4</v>
      </c>
      <c r="B5296" t="str">
        <f>HYPERLINK("http://www.corstruth.com.au/Tas/PNG2/36998_SDD005_cs.png","36998_SDD005_0.25m Bins")</f>
        <v>36998_SDD005_0.25m Bins</v>
      </c>
      <c r="C5296" t="str">
        <f>HYPERLINK("http://www.corstruth.com.au/Tas/CSV/36998_SDD005.csv","36998_SDD005_CSV File 1m Bins")</f>
        <v>36998_SDD005_CSV File 1m Bins</v>
      </c>
      <c r="D5296">
        <v>36998</v>
      </c>
      <c r="E5296" t="s">
        <v>3422</v>
      </c>
      <c r="F5296" t="str">
        <f>HYPERLINK("http://www.mrt.tas.gov.au/webdoc2/app/default/drilling_detail?id=36998","Geol Survey Link")</f>
        <v>Geol Survey Link</v>
      </c>
      <c r="G5296" t="s">
        <v>3473</v>
      </c>
      <c r="H5296" t="s">
        <v>3525</v>
      </c>
      <c r="I5296">
        <v>-42.277200000000001</v>
      </c>
      <c r="J5296">
        <v>145.58199999999999</v>
      </c>
      <c r="K5296" t="str">
        <f>HYPERLINK("http://www.mrt.tas.gov.au/NVCLDataServices/mosaic.html?datasetid=8ff030c9-b0a3-475d-b429-46e02951510","36998_SDD005_Core Image")</f>
        <v>36998_SDD005_Core Image</v>
      </c>
    </row>
    <row r="5297" spans="1:11" x14ac:dyDescent="0.25">
      <c r="A5297" t="str">
        <f>HYPERLINK("http://www.corstruth.com.au/Tas/84169_SDD006_cs.png","84169_SDD006_A4")</f>
        <v>84169_SDD006_A4</v>
      </c>
      <c r="B5297" t="str">
        <f>HYPERLINK("http://www.corstruth.com.au/Tas/PNG2/84169_SDD006_cs.png","84169_SDD006_0.25m Bins")</f>
        <v>84169_SDD006_0.25m Bins</v>
      </c>
      <c r="C5297" t="str">
        <f>HYPERLINK("http://www.corstruth.com.au/Tas/CSV/84169_SDD006.csv","84169_SDD006_CSV File 1m Bins")</f>
        <v>84169_SDD006_CSV File 1m Bins</v>
      </c>
      <c r="D5297">
        <v>84169</v>
      </c>
      <c r="E5297" t="s">
        <v>3422</v>
      </c>
      <c r="F5297" t="str">
        <f>HYPERLINK("http://www.mrt.tas.gov.au/webdoc2/app/default/drilling_detail?id=84169","Geol Survey Link")</f>
        <v>Geol Survey Link</v>
      </c>
      <c r="G5297" t="s">
        <v>3473</v>
      </c>
      <c r="H5297" t="s">
        <v>3525</v>
      </c>
      <c r="I5297">
        <v>-42.275199999999998</v>
      </c>
      <c r="J5297">
        <v>145.584</v>
      </c>
    </row>
    <row r="5298" spans="1:11" x14ac:dyDescent="0.25">
      <c r="A5298" t="str">
        <f>HYPERLINK("http://www.corstruth.com.au/Tas/19742_SHD21_South_Henty_cs.png","19742_SHD21_South_Henty_A4")</f>
        <v>19742_SHD21_South_Henty_A4</v>
      </c>
      <c r="B5298" t="str">
        <f>HYPERLINK("http://www.corstruth.com.au/Tas/PNG2/19742_SHD21_South_Henty_cs.png","19742_SHD21_South_Henty_0.25m Bins")</f>
        <v>19742_SHD21_South_Henty_0.25m Bins</v>
      </c>
      <c r="C5298" t="str">
        <f>HYPERLINK("http://www.corstruth.com.au/Tas/CSV/19742_SHD21_South_Henty.csv","19742_SHD21_South_Henty_CSV File 1m Bins")</f>
        <v>19742_SHD21_South_Henty_CSV File 1m Bins</v>
      </c>
      <c r="D5298">
        <v>19742</v>
      </c>
      <c r="E5298" t="s">
        <v>3422</v>
      </c>
      <c r="F5298" t="str">
        <f>HYPERLINK("http://www.mrt.tas.gov.au/webdoc2/app/default/drilling_detail?id=19742","Geol Survey Link")</f>
        <v>Geol Survey Link</v>
      </c>
      <c r="G5298" t="s">
        <v>3473</v>
      </c>
      <c r="H5298" t="s">
        <v>3526</v>
      </c>
      <c r="I5298">
        <v>-41.911299999999997</v>
      </c>
      <c r="J5298">
        <v>145.565</v>
      </c>
      <c r="K5298" t="str">
        <f>HYPERLINK("http://www.mrt.tas.gov.au/NVCLDataServices/mosaic.html?datasetid=75a49464-cad8-4d69-b471-76ff4057c3a","19742_SHD21_South_Henty_Core Image")</f>
        <v>19742_SHD21_South_Henty_Core Image</v>
      </c>
    </row>
    <row r="5299" spans="1:11" x14ac:dyDescent="0.25">
      <c r="A5299" t="str">
        <f>HYPERLINK("http://www.corstruth.com.au/Tas/22628_SHD26_South_Henty_cs.png","22628_SHD26_South_Henty_A4")</f>
        <v>22628_SHD26_South_Henty_A4</v>
      </c>
      <c r="B5299" t="str">
        <f>HYPERLINK("http://www.corstruth.com.au/Tas/PNG2/22628_SHD26_South_Henty_cs.png","22628_SHD26_South_Henty_0.25m Bins")</f>
        <v>22628_SHD26_South_Henty_0.25m Bins</v>
      </c>
      <c r="C5299" t="str">
        <f>HYPERLINK("http://www.corstruth.com.au/Tas/CSV/22628_SHD26_South_Henty.csv","22628_SHD26_South_Henty_CSV File 1m Bins")</f>
        <v>22628_SHD26_South_Henty_CSV File 1m Bins</v>
      </c>
      <c r="D5299">
        <v>22628</v>
      </c>
      <c r="E5299" t="s">
        <v>3422</v>
      </c>
      <c r="F5299" t="str">
        <f>HYPERLINK("http://www.mrt.tas.gov.au/webdoc2/app/default/drilling_detail?id=22628","Geol Survey Link")</f>
        <v>Geol Survey Link</v>
      </c>
      <c r="G5299" t="s">
        <v>3473</v>
      </c>
      <c r="H5299" t="s">
        <v>3526</v>
      </c>
      <c r="I5299">
        <v>-41.9133</v>
      </c>
      <c r="J5299">
        <v>145.56100000000001</v>
      </c>
      <c r="K5299" t="str">
        <f>HYPERLINK("http://www.mrt.tas.gov.au/NVCLDataServices/mosaic.html?datasetid=eb8e5a12-e9ad-4ce2-9e55-491a9383ccc","22628_SHD26_South_Henty_Core Image")</f>
        <v>22628_SHD26_South_Henty_Core Image</v>
      </c>
    </row>
    <row r="5300" spans="1:11" x14ac:dyDescent="0.25">
      <c r="A5300" t="str">
        <f>HYPERLINK("http://www.corstruth.com.au/Tas/22877_Davie_DDH1_Sulphide_Creek_cs.png","22877_Davie_DDH1_Sulphide_Creek_A4")</f>
        <v>22877_Davie_DDH1_Sulphide_Creek_A4</v>
      </c>
      <c r="B5300" t="str">
        <f>HYPERLINK("http://www.corstruth.com.au/Tas/PNG2/22877_Davie_DDH1_Sulphide_Creek_cs.png","22877_Davie_DDH1_Sulphide_Creek_0.25m Bins")</f>
        <v>22877_Davie_DDH1_Sulphide_Creek_0.25m Bins</v>
      </c>
      <c r="C5300" t="str">
        <f>HYPERLINK("http://www.corstruth.com.au/Tas/CSV/22877_Davie_DDH1_Sulphide_Creek.csv","22877_Davie_DDH1_Sulphide_Creek_CSV File 1m Bins")</f>
        <v>22877_Davie_DDH1_Sulphide_Creek_CSV File 1m Bins</v>
      </c>
      <c r="D5300">
        <v>22877</v>
      </c>
      <c r="E5300" t="s">
        <v>3422</v>
      </c>
      <c r="F5300" t="str">
        <f>HYPERLINK("http://www.mrt.tas.gov.au/webdoc2/app/default/drilling_detail?id=22877","Geol Survey Link")</f>
        <v>Geol Survey Link</v>
      </c>
      <c r="G5300" t="s">
        <v>3473</v>
      </c>
      <c r="H5300" t="s">
        <v>3527</v>
      </c>
      <c r="I5300">
        <v>-42.113999999999997</v>
      </c>
      <c r="J5300">
        <v>145.499</v>
      </c>
      <c r="K5300" t="str">
        <f>HYPERLINK("http://www.mrt.tas.gov.au/NVCLDataServices/mosaic.html?datasetid=a4ffc9bf-44f8-402f-9edb-a753b03e3cb","22877_Davie_DDH1_Sulphide_Creek_Core Image")</f>
        <v>22877_Davie_DDH1_Sulphide_Creek_Core Image</v>
      </c>
    </row>
    <row r="5301" spans="1:11" x14ac:dyDescent="0.25">
      <c r="A5301" t="str">
        <f>HYPERLINK("http://www.corstruth.com.au/Tas/22878_SCDDH2_SulphideCk_cs.png","22878_SCDDH2_SulphideCk_A4")</f>
        <v>22878_SCDDH2_SulphideCk_A4</v>
      </c>
      <c r="B5301" t="str">
        <f>HYPERLINK("http://www.corstruth.com.au/Tas/PNG2/22878_SCDDH2_SulphideCk_cs.png","22878_SCDDH2_SulphideCk_0.25m Bins")</f>
        <v>22878_SCDDH2_SulphideCk_0.25m Bins</v>
      </c>
      <c r="C5301" t="str">
        <f>HYPERLINK("http://www.corstruth.com.au/Tas/CSV/22878_SCDDH2_SulphideCk.csv","22878_SCDDH2_SulphideCk_CSV File 1m Bins")</f>
        <v>22878_SCDDH2_SulphideCk_CSV File 1m Bins</v>
      </c>
      <c r="D5301">
        <v>22878</v>
      </c>
      <c r="E5301" t="s">
        <v>3422</v>
      </c>
      <c r="F5301" t="str">
        <f>HYPERLINK("http://www.mrt.tas.gov.au/webdoc2/app/default/drilling_detail?id=22878","Geol Survey Link")</f>
        <v>Geol Survey Link</v>
      </c>
      <c r="G5301" t="s">
        <v>3473</v>
      </c>
      <c r="H5301" t="s">
        <v>3527</v>
      </c>
      <c r="I5301">
        <v>-42.113599999999998</v>
      </c>
      <c r="J5301">
        <v>145.499</v>
      </c>
      <c r="K5301" t="str">
        <f>HYPERLINK("http://www.mrt.tas.gov.au/NVCLDataServices/mosaic.html?datasetid=9019468f-db4a-4c25-af54-dbee86df065","22878_SCDDH2_SulphideCk_Core Image")</f>
        <v>22878_SCDDH2_SulphideCk_Core Image</v>
      </c>
    </row>
    <row r="5302" spans="1:11" x14ac:dyDescent="0.25">
      <c r="A5302" t="str">
        <f>HYPERLINK("http://www.corstruth.com.au/Tas/32067_TTH001_Thomas_Tunnel_cs.png","32067_TTH001_Thomas_Tunnel_A4")</f>
        <v>32067_TTH001_Thomas_Tunnel_A4</v>
      </c>
      <c r="B5302" t="str">
        <f>HYPERLINK("http://www.corstruth.com.au/Tas/PNG2/32067_TTH001_Thomas_Tunnel_cs.png","32067_TTH001_Thomas_Tunnel_0.25m Bins")</f>
        <v>32067_TTH001_Thomas_Tunnel_0.25m Bins</v>
      </c>
      <c r="C5302" t="str">
        <f>HYPERLINK("http://www.corstruth.com.au/Tas/CSV/32067_TTH001_Thomas_Tunnel.csv","32067_TTH001_Thomas_Tunnel_CSV File 1m Bins")</f>
        <v>32067_TTH001_Thomas_Tunnel_CSV File 1m Bins</v>
      </c>
      <c r="D5302">
        <v>32067</v>
      </c>
      <c r="E5302" t="s">
        <v>3422</v>
      </c>
      <c r="F5302" t="str">
        <f>HYPERLINK("http://www.mrt.tas.gov.au/webdoc2/app/default/drilling_detail?id=32067","Geol Survey Link")</f>
        <v>Geol Survey Link</v>
      </c>
      <c r="G5302" t="s">
        <v>3473</v>
      </c>
      <c r="H5302" t="s">
        <v>3528</v>
      </c>
      <c r="I5302">
        <v>-41.682000000000002</v>
      </c>
      <c r="J5302">
        <v>145.52799999999999</v>
      </c>
      <c r="K5302" t="str">
        <f>HYPERLINK("http://www.mrt.tas.gov.au/NVCLDataServices/mosaic.html?datasetid=0ca2e9ab-5e80-447a-9f46-fb5496eb77c","32067_TTH001_Thomas_Tunnel_Core Image")</f>
        <v>32067_TTH001_Thomas_Tunnel_Core Image</v>
      </c>
    </row>
    <row r="5303" spans="1:11" x14ac:dyDescent="0.25">
      <c r="A5303" t="str">
        <f>HYPERLINK("http://www.corstruth.com.au/Tas/32068_TTH002_Thomas_Tunnel_cs.png","32068_TTH002_Thomas_Tunnel_A4")</f>
        <v>32068_TTH002_Thomas_Tunnel_A4</v>
      </c>
      <c r="B5303" t="str">
        <f>HYPERLINK("http://www.corstruth.com.au/Tas/PNG2/32068_TTH002_Thomas_Tunnel_cs.png","32068_TTH002_Thomas_Tunnel_0.25m Bins")</f>
        <v>32068_TTH002_Thomas_Tunnel_0.25m Bins</v>
      </c>
      <c r="C5303" t="str">
        <f>HYPERLINK("http://www.corstruth.com.au/Tas/CSV/32068_TTH002_Thomas_Tunnel.csv","32068_TTH002_Thomas_Tunnel_CSV File 1m Bins")</f>
        <v>32068_TTH002_Thomas_Tunnel_CSV File 1m Bins</v>
      </c>
      <c r="D5303">
        <v>32068</v>
      </c>
      <c r="E5303" t="s">
        <v>3422</v>
      </c>
      <c r="F5303" t="str">
        <f>HYPERLINK("http://www.mrt.tas.gov.au/webdoc2/app/default/drilling_detail?id=32068","Geol Survey Link")</f>
        <v>Geol Survey Link</v>
      </c>
      <c r="G5303" t="s">
        <v>3473</v>
      </c>
      <c r="H5303" t="s">
        <v>3528</v>
      </c>
      <c r="I5303">
        <v>-41.682000000000002</v>
      </c>
      <c r="J5303">
        <v>145.52799999999999</v>
      </c>
      <c r="K5303" t="str">
        <f>HYPERLINK("http://www.mrt.tas.gov.au/NVCLDataServices/mosaic.html?datasetid=b5cbf571-8305-4716-bc9f-64c85073564","32068_TTH002_Thomas_Tunnel_Core Image")</f>
        <v>32068_TTH002_Thomas_Tunnel_Core Image</v>
      </c>
    </row>
    <row r="5304" spans="1:11" x14ac:dyDescent="0.25">
      <c r="A5304" t="str">
        <f>HYPERLINK("http://www.corstruth.com.au/Tas/32070_TTH004_Thomas_Tunnel_cs.png","32070_TTH004_Thomas_Tunnel_A4")</f>
        <v>32070_TTH004_Thomas_Tunnel_A4</v>
      </c>
      <c r="B5304" t="str">
        <f>HYPERLINK("http://www.corstruth.com.au/Tas/PNG2/32070_TTH004_Thomas_Tunnel_cs.png","32070_TTH004_Thomas_Tunnel_0.25m Bins")</f>
        <v>32070_TTH004_Thomas_Tunnel_0.25m Bins</v>
      </c>
      <c r="C5304" t="str">
        <f>HYPERLINK("http://www.corstruth.com.au/Tas/CSV/32070_TTH004_Thomas_Tunnel.csv","32070_TTH004_Thomas_Tunnel_CSV File 1m Bins")</f>
        <v>32070_TTH004_Thomas_Tunnel_CSV File 1m Bins</v>
      </c>
      <c r="D5304">
        <v>32070</v>
      </c>
      <c r="E5304" t="s">
        <v>3422</v>
      </c>
      <c r="F5304" t="str">
        <f>HYPERLINK("http://www.mrt.tas.gov.au/webdoc2/app/default/drilling_detail?id=32070","Geol Survey Link")</f>
        <v>Geol Survey Link</v>
      </c>
      <c r="G5304" t="s">
        <v>3473</v>
      </c>
      <c r="H5304" t="s">
        <v>3528</v>
      </c>
      <c r="I5304">
        <v>-41.682000000000002</v>
      </c>
      <c r="J5304">
        <v>145.52799999999999</v>
      </c>
      <c r="K5304" t="str">
        <f>HYPERLINK("http://www.mrt.tas.gov.au/NVCLDataServices/mosaic.html?datasetid=1673fc62-2be8-41c1-9f0f-9519f303fa5","32070_TTH004_Thomas_Tunnel_Core Image")</f>
        <v>32070_TTH004_Thomas_Tunnel_Core Image</v>
      </c>
    </row>
    <row r="5305" spans="1:11" x14ac:dyDescent="0.25">
      <c r="A5305" t="str">
        <f>HYPERLINK("http://www.corstruth.com.au/Tas/32071_TTH005_Thomas_Tunnel_cs.png","32071_TTH005_Thomas_Tunnel_A4")</f>
        <v>32071_TTH005_Thomas_Tunnel_A4</v>
      </c>
      <c r="B5305" t="str">
        <f>HYPERLINK("http://www.corstruth.com.au/Tas/PNG2/32071_TTH005_Thomas_Tunnel_cs.png","32071_TTH005_Thomas_Tunnel_0.25m Bins")</f>
        <v>32071_TTH005_Thomas_Tunnel_0.25m Bins</v>
      </c>
      <c r="C5305" t="str">
        <f>HYPERLINK("http://www.corstruth.com.au/Tas/CSV/32071_TTH005_Thomas_Tunnel.csv","32071_TTH005_Thomas_Tunnel_CSV File 1m Bins")</f>
        <v>32071_TTH005_Thomas_Tunnel_CSV File 1m Bins</v>
      </c>
      <c r="D5305">
        <v>32071</v>
      </c>
      <c r="E5305" t="s">
        <v>3422</v>
      </c>
      <c r="F5305" t="str">
        <f>HYPERLINK("http://www.mrt.tas.gov.au/webdoc2/app/default/drilling_detail?id=32071","Geol Survey Link")</f>
        <v>Geol Survey Link</v>
      </c>
      <c r="G5305" t="s">
        <v>3473</v>
      </c>
      <c r="H5305" t="s">
        <v>3528</v>
      </c>
      <c r="I5305">
        <v>-41.682000000000002</v>
      </c>
      <c r="J5305">
        <v>145.52799999999999</v>
      </c>
      <c r="K5305" t="str">
        <f>HYPERLINK("http://www.mrt.tas.gov.au/NVCLDataServices/mosaic.html?datasetid=38114d85-e31b-41cd-b22c-f351528966a","32071_TTH005_Thomas_Tunnel_Core Image")</f>
        <v>32071_TTH005_Thomas_Tunnel_Core Image</v>
      </c>
    </row>
    <row r="5306" spans="1:11" x14ac:dyDescent="0.25">
      <c r="A5306" t="str">
        <f>HYPERLINK("http://www.corstruth.com.au/Tas/32072_TTH006_Thomas_Tunnel_cs.png","32072_TTH006_Thomas_Tunnel_A4")</f>
        <v>32072_TTH006_Thomas_Tunnel_A4</v>
      </c>
      <c r="B5306" t="str">
        <f>HYPERLINK("http://www.corstruth.com.au/Tas/PNG2/32072_TTH006_Thomas_Tunnel_cs.png","32072_TTH006_Thomas_Tunnel_0.25m Bins")</f>
        <v>32072_TTH006_Thomas_Tunnel_0.25m Bins</v>
      </c>
      <c r="C5306" t="str">
        <f>HYPERLINK("http://www.corstruth.com.au/Tas/CSV/32072_TTH006_Thomas_Tunnel.csv","32072_TTH006_Thomas_Tunnel_CSV File 1m Bins")</f>
        <v>32072_TTH006_Thomas_Tunnel_CSV File 1m Bins</v>
      </c>
      <c r="D5306">
        <v>32072</v>
      </c>
      <c r="E5306" t="s">
        <v>3422</v>
      </c>
      <c r="F5306" t="str">
        <f>HYPERLINK("http://www.mrt.tas.gov.au/webdoc2/app/default/drilling_detail?id=32072","Geol Survey Link")</f>
        <v>Geol Survey Link</v>
      </c>
      <c r="G5306" t="s">
        <v>3473</v>
      </c>
      <c r="H5306" t="s">
        <v>3528</v>
      </c>
      <c r="I5306">
        <v>-41.681899999999999</v>
      </c>
      <c r="J5306">
        <v>145.52799999999999</v>
      </c>
      <c r="K5306" t="str">
        <f>HYPERLINK("http://www.mrt.tas.gov.au/NVCLDataServices/mosaic.html?datasetid=c1cd7105-40ba-49f4-a331-bf48a7b8679","32072_TTH006_Thomas_Tunnel_Core Image")</f>
        <v>32072_TTH006_Thomas_Tunnel_Core Image</v>
      </c>
    </row>
    <row r="5307" spans="1:11" x14ac:dyDescent="0.25">
      <c r="A5307" t="str">
        <f>HYPERLINK("http://www.corstruth.com.au/Tas/32089_TTH023_Thomas_Tunnel_cs.png","32089_TTH023_Thomas_Tunnel_A4")</f>
        <v>32089_TTH023_Thomas_Tunnel_A4</v>
      </c>
      <c r="B5307" t="str">
        <f>HYPERLINK("http://www.corstruth.com.au/Tas/PNG2/32089_TTH023_Thomas_Tunnel_cs.png","32089_TTH023_Thomas_Tunnel_0.25m Bins")</f>
        <v>32089_TTH023_Thomas_Tunnel_0.25m Bins</v>
      </c>
      <c r="C5307" t="str">
        <f>HYPERLINK("http://www.corstruth.com.au/Tas/CSV/32089_TTH023_Thomas_Tunnel.csv","32089_TTH023_Thomas_Tunnel_CSV File 1m Bins")</f>
        <v>32089_TTH023_Thomas_Tunnel_CSV File 1m Bins</v>
      </c>
      <c r="D5307">
        <v>32089</v>
      </c>
      <c r="E5307" t="s">
        <v>3422</v>
      </c>
      <c r="F5307" t="str">
        <f>HYPERLINK("http://www.mrt.tas.gov.au/webdoc2/app/default/drilling_detail?id=32089","Geol Survey Link")</f>
        <v>Geol Survey Link</v>
      </c>
      <c r="G5307" t="s">
        <v>3473</v>
      </c>
      <c r="H5307" t="s">
        <v>3528</v>
      </c>
      <c r="I5307">
        <v>-41.681199999999997</v>
      </c>
      <c r="J5307">
        <v>145.53</v>
      </c>
    </row>
    <row r="5308" spans="1:11" x14ac:dyDescent="0.25">
      <c r="A5308" t="str">
        <f>HYPERLINK("http://www.corstruth.com.au/Tas/32090_TTH024_Thomas_Tunnel_cs.png","32090_TTH024_Thomas_Tunnel_A4")</f>
        <v>32090_TTH024_Thomas_Tunnel_A4</v>
      </c>
      <c r="B5308" t="str">
        <f>HYPERLINK("http://www.corstruth.com.au/Tas/PNG2/32090_TTH024_Thomas_Tunnel_cs.png","32090_TTH024_Thomas_Tunnel_0.25m Bins")</f>
        <v>32090_TTH024_Thomas_Tunnel_0.25m Bins</v>
      </c>
      <c r="C5308" t="str">
        <f>HYPERLINK("http://www.corstruth.com.au/Tas/CSV/32090_TTH024_Thomas_Tunnel.csv","32090_TTH024_Thomas_Tunnel_CSV File 1m Bins")</f>
        <v>32090_TTH024_Thomas_Tunnel_CSV File 1m Bins</v>
      </c>
      <c r="D5308">
        <v>32090</v>
      </c>
      <c r="E5308" t="s">
        <v>3422</v>
      </c>
      <c r="F5308" t="str">
        <f>HYPERLINK("http://www.mrt.tas.gov.au/webdoc2/app/default/drilling_detail?id=32090","Geol Survey Link")</f>
        <v>Geol Survey Link</v>
      </c>
      <c r="G5308" t="s">
        <v>3473</v>
      </c>
      <c r="H5308" t="s">
        <v>3528</v>
      </c>
      <c r="I5308">
        <v>-41.680799999999998</v>
      </c>
      <c r="J5308">
        <v>145.53</v>
      </c>
    </row>
    <row r="5309" spans="1:11" x14ac:dyDescent="0.25">
      <c r="A5309" t="str">
        <f>HYPERLINK("http://www.corstruth.com.au/Tas/32092_TTH026_Thomas_Tunnel_cs.png","32092_TTH026_Thomas_Tunnel_A4")</f>
        <v>32092_TTH026_Thomas_Tunnel_A4</v>
      </c>
      <c r="B5309" t="str">
        <f>HYPERLINK("http://www.corstruth.com.au/Tas/PNG2/32092_TTH026_Thomas_Tunnel_cs.png","32092_TTH026_Thomas_Tunnel_0.25m Bins")</f>
        <v>32092_TTH026_Thomas_Tunnel_0.25m Bins</v>
      </c>
      <c r="C5309" t="str">
        <f>HYPERLINK("http://www.corstruth.com.au/Tas/CSV/32092_TTH026_Thomas_Tunnel.csv","32092_TTH026_Thomas_Tunnel_CSV File 1m Bins")</f>
        <v>32092_TTH026_Thomas_Tunnel_CSV File 1m Bins</v>
      </c>
      <c r="D5309">
        <v>32092</v>
      </c>
      <c r="E5309" t="s">
        <v>3422</v>
      </c>
      <c r="F5309" t="str">
        <f>HYPERLINK("http://www.mrt.tas.gov.au/webdoc2/app/default/drilling_detail?id=32092","Geol Survey Link")</f>
        <v>Geol Survey Link</v>
      </c>
      <c r="G5309" t="s">
        <v>3473</v>
      </c>
      <c r="H5309" t="s">
        <v>3528</v>
      </c>
      <c r="I5309">
        <v>-41.682000000000002</v>
      </c>
      <c r="J5309">
        <v>145.52799999999999</v>
      </c>
    </row>
    <row r="5310" spans="1:11" x14ac:dyDescent="0.25">
      <c r="A5310" t="str">
        <f>HYPERLINK("http://www.corstruth.com.au/Tas/19069_TYN015_Tyndall_Basin_Lake_cs.png","19069_TYN015_Tyndall_Basin_Lake_A4")</f>
        <v>19069_TYN015_Tyndall_Basin_Lake_A4</v>
      </c>
      <c r="B5310" t="str">
        <f>HYPERLINK("http://www.corstruth.com.au/Tas/PNG2/19069_TYN015_Tyndall_Basin_Lake_cs.png","19069_TYN015_Tyndall_Basin_Lake_0.25m Bins")</f>
        <v>19069_TYN015_Tyndall_Basin_Lake_0.25m Bins</v>
      </c>
      <c r="C5310" t="str">
        <f>HYPERLINK("http://www.corstruth.com.au/Tas/CSV/19069_TYN015_Tyndall_Basin_Lake.csv","19069_TYN015_Tyndall_Basin_Lake_CSV File 1m Bins")</f>
        <v>19069_TYN015_Tyndall_Basin_Lake_CSV File 1m Bins</v>
      </c>
      <c r="D5310">
        <v>19069</v>
      </c>
      <c r="E5310" t="s">
        <v>3422</v>
      </c>
      <c r="F5310" t="str">
        <f>HYPERLINK("http://www.mrt.tas.gov.au/webdoc2/app/default/drilling_detail?id=19069","Geol Survey Link")</f>
        <v>Geol Survey Link</v>
      </c>
      <c r="G5310" t="s">
        <v>3473</v>
      </c>
      <c r="H5310" t="s">
        <v>3529</v>
      </c>
      <c r="I5310">
        <v>-41.9651</v>
      </c>
      <c r="J5310">
        <v>145.56299999999999</v>
      </c>
      <c r="K5310" t="str">
        <f>HYPERLINK("http://www.mrt.tas.gov.au/NVCLDataServices/mosaic.html?datasetid=fef65c0b-bfe8-4e02-88f5-67d85c11424","19069_TYN015_Tyndall_Basin_Lake_Core Image")</f>
        <v>19069_TYN015_Tyndall_Basin_Lake_Core Image</v>
      </c>
    </row>
    <row r="5311" spans="1:11" x14ac:dyDescent="0.25">
      <c r="A5311" t="str">
        <f>HYPERLINK("http://www.corstruth.com.au/Tas/36144_TC7_Tyndall_Creek_cs.png","36144_TC7_Tyndall_Creek_A4")</f>
        <v>36144_TC7_Tyndall_Creek_A4</v>
      </c>
      <c r="B5311" t="str">
        <f>HYPERLINK("http://www.corstruth.com.au/Tas/PNG2/36144_TC7_Tyndall_Creek_cs.png","36144_TC7_Tyndall_Creek_0.25m Bins")</f>
        <v>36144_TC7_Tyndall_Creek_0.25m Bins</v>
      </c>
      <c r="C5311" t="str">
        <f>HYPERLINK("http://www.corstruth.com.au/Tas/CSV/36144_TC7_Tyndall_Creek.csv","36144_TC7_Tyndall_Creek_CSV File 1m Bins")</f>
        <v>36144_TC7_Tyndall_Creek_CSV File 1m Bins</v>
      </c>
      <c r="D5311">
        <v>36144</v>
      </c>
      <c r="E5311" t="s">
        <v>3422</v>
      </c>
      <c r="F5311" t="str">
        <f>HYPERLINK("http://www.mrt.tas.gov.au/webdoc2/app/default/drilling_detail?id=36144","Geol Survey Link")</f>
        <v>Geol Survey Link</v>
      </c>
      <c r="G5311" t="s">
        <v>3473</v>
      </c>
      <c r="H5311" t="s">
        <v>3530</v>
      </c>
      <c r="I5311">
        <v>-41.9268</v>
      </c>
      <c r="J5311">
        <v>145.56700000000001</v>
      </c>
    </row>
    <row r="5312" spans="1:11" x14ac:dyDescent="0.25">
      <c r="A5312" t="str">
        <f>HYPERLINK("http://www.corstruth.com.au/Tas/15756_EBT89WH10_Wart_Hill_cs.png","15756_EBT89WH10_Wart_Hill_A4")</f>
        <v>15756_EBT89WH10_Wart_Hill_A4</v>
      </c>
      <c r="B5312" t="str">
        <f>HYPERLINK("http://www.corstruth.com.au/Tas/PNG2/15756_EBT89WH10_Wart_Hill_cs.png","15756_EBT89WH10_Wart_Hill_0.25m Bins")</f>
        <v>15756_EBT89WH10_Wart_Hill_0.25m Bins</v>
      </c>
      <c r="C5312" t="str">
        <f>HYPERLINK("http://www.corstruth.com.au/Tas/CSV/15756_EBT89WH10_Wart_Hill.csv","15756_EBT89WH10_Wart_Hill_CSV File 1m Bins")</f>
        <v>15756_EBT89WH10_Wart_Hill_CSV File 1m Bins</v>
      </c>
      <c r="D5312">
        <v>15756</v>
      </c>
      <c r="E5312" t="s">
        <v>3422</v>
      </c>
      <c r="F5312" t="str">
        <f>HYPERLINK("http://www.mrt.tas.gov.au/webdoc2/app/default/drilling_detail?id=15756","Geol Survey Link")</f>
        <v>Geol Survey Link</v>
      </c>
      <c r="G5312" t="s">
        <v>3473</v>
      </c>
      <c r="H5312" t="s">
        <v>3531</v>
      </c>
      <c r="I5312">
        <v>-42.878300000000003</v>
      </c>
      <c r="J5312">
        <v>145.523</v>
      </c>
    </row>
    <row r="5313" spans="1:11" x14ac:dyDescent="0.25">
      <c r="A5313" t="str">
        <f>HYPERLINK("http://www.corstruth.com.au/Tas/19195_ANNE001_White_Spur_cs.png","19195_ANNE001_White_Spur_A4")</f>
        <v>19195_ANNE001_White_Spur_A4</v>
      </c>
      <c r="B5313" t="str">
        <f>HYPERLINK("http://www.corstruth.com.au/Tas/PNG2/19195_ANNE001_White_Spur_cs.png","19195_ANNE001_White_Spur_0.25m Bins")</f>
        <v>19195_ANNE001_White_Spur_0.25m Bins</v>
      </c>
      <c r="C5313" t="str">
        <f>HYPERLINK("http://www.corstruth.com.au/Tas/CSV/19195_ANNE001_White_Spur.csv","19195_ANNE001_White_Spur_CSV File 1m Bins")</f>
        <v>19195_ANNE001_White_Spur_CSV File 1m Bins</v>
      </c>
      <c r="D5313">
        <v>19195</v>
      </c>
      <c r="E5313" t="s">
        <v>3422</v>
      </c>
      <c r="F5313" t="str">
        <f>HYPERLINK("http://www.mrt.tas.gov.au/webdoc2/app/default/drilling_detail?id=19195","Geol Survey Link")</f>
        <v>Geol Survey Link</v>
      </c>
      <c r="G5313" t="s">
        <v>3473</v>
      </c>
      <c r="H5313" t="s">
        <v>3532</v>
      </c>
      <c r="I5313">
        <v>-41.918100000000003</v>
      </c>
      <c r="J5313">
        <v>145.523</v>
      </c>
    </row>
    <row r="5314" spans="1:11" x14ac:dyDescent="0.25">
      <c r="A5314" t="str">
        <f>HYPERLINK("http://www.corstruth.com.au/Tas/19518_WSP-10_cs.png","19518_WSP-10_A4")</f>
        <v>19518_WSP-10_A4</v>
      </c>
      <c r="B5314" t="str">
        <f>HYPERLINK("http://www.corstruth.com.au/Tas/PNG2/19518_WSP-10_cs.png","19518_WSP-10_0.25m Bins")</f>
        <v>19518_WSP-10_0.25m Bins</v>
      </c>
      <c r="C5314" t="str">
        <f>HYPERLINK("http://www.corstruth.com.au/Tas/CSV/19518_WSP-10.csv","19518_WSP-10_CSV File 1m Bins")</f>
        <v>19518_WSP-10_CSV File 1m Bins</v>
      </c>
      <c r="D5314">
        <v>19518</v>
      </c>
      <c r="E5314" t="s">
        <v>3422</v>
      </c>
      <c r="F5314" t="str">
        <f>HYPERLINK("http://www.mrt.tas.gov.au/webdoc2/app/default/drilling_detail?id=19518","Geol Survey Link")</f>
        <v>Geol Survey Link</v>
      </c>
      <c r="G5314" t="s">
        <v>3473</v>
      </c>
      <c r="H5314" t="s">
        <v>3532</v>
      </c>
      <c r="I5314">
        <v>-41.893700000000003</v>
      </c>
      <c r="J5314">
        <v>145.517</v>
      </c>
      <c r="K5314" t="str">
        <f>HYPERLINK("http://www.mrt.tas.gov.au/NVCLDataServices/mosaic.html?datasetid=82b0c01c-65bd-4f80-8b49-7007c21d511","19518_WSP-10_Core Image")</f>
        <v>19518_WSP-10_Core Image</v>
      </c>
    </row>
    <row r="5315" spans="1:11" x14ac:dyDescent="0.25">
      <c r="A5315" t="str">
        <f>HYPERLINK("http://www.corstruth.com.au/Tas/19519_WSP-10A_cs.png","19519_WSP-10A_A4")</f>
        <v>19519_WSP-10A_A4</v>
      </c>
      <c r="B5315" t="str">
        <f>HYPERLINK("http://www.corstruth.com.au/Tas/PNG2/19519_WSP-10A_cs.png","19519_WSP-10A_0.25m Bins")</f>
        <v>19519_WSP-10A_0.25m Bins</v>
      </c>
      <c r="C5315" t="str">
        <f>HYPERLINK("http://www.corstruth.com.au/Tas/CSV/19519_WSP-10A.csv","19519_WSP-10A_CSV File 1m Bins")</f>
        <v>19519_WSP-10A_CSV File 1m Bins</v>
      </c>
      <c r="D5315">
        <v>19519</v>
      </c>
      <c r="E5315" t="s">
        <v>3422</v>
      </c>
      <c r="F5315" t="str">
        <f>HYPERLINK("http://www.mrt.tas.gov.au/webdoc2/app/default/drilling_detail?id=19519","Geol Survey Link")</f>
        <v>Geol Survey Link</v>
      </c>
      <c r="G5315" t="s">
        <v>3473</v>
      </c>
      <c r="H5315" t="s">
        <v>3532</v>
      </c>
      <c r="I5315">
        <v>-41.893700000000003</v>
      </c>
      <c r="J5315">
        <v>145.517</v>
      </c>
      <c r="K5315" t="str">
        <f>HYPERLINK("http://www.mrt.tas.gov.au/NVCLDataServices/mosaic.html?datasetid=71bccedc-e607-4cad-96e5-05a53e0940c","19519_WSP-10A_Core Image")</f>
        <v>19519_WSP-10A_Core Image</v>
      </c>
    </row>
    <row r="5316" spans="1:11" x14ac:dyDescent="0.25">
      <c r="A5316" t="str">
        <f>HYPERLINK("http://www.corstruth.com.au/Tas/19542_WSP-5_cs.png","19542_WSP-5_A4")</f>
        <v>19542_WSP-5_A4</v>
      </c>
      <c r="B5316" t="str">
        <f>HYPERLINK("http://www.corstruth.com.au/Tas/PNG2/19542_WSP-5_cs.png","19542_WSP-5_0.25m Bins")</f>
        <v>19542_WSP-5_0.25m Bins</v>
      </c>
      <c r="C5316" t="str">
        <f>HYPERLINK("http://www.corstruth.com.au/Tas/CSV/19542_WSP-5.csv","19542_WSP-5_CSV File 1m Bins")</f>
        <v>19542_WSP-5_CSV File 1m Bins</v>
      </c>
      <c r="D5316">
        <v>19542</v>
      </c>
      <c r="E5316" t="s">
        <v>3422</v>
      </c>
      <c r="F5316" t="str">
        <f>HYPERLINK("http://www.mrt.tas.gov.au/webdoc2/app/default/drilling_detail?id=19542","Geol Survey Link")</f>
        <v>Geol Survey Link</v>
      </c>
      <c r="G5316" t="s">
        <v>3473</v>
      </c>
      <c r="H5316" t="s">
        <v>3532</v>
      </c>
      <c r="I5316">
        <v>-41.892699999999998</v>
      </c>
      <c r="J5316">
        <v>145.517</v>
      </c>
      <c r="K5316" t="str">
        <f>HYPERLINK("http://www.mrt.tas.gov.au/NVCLDataServices/mosaic.html?datasetid=f4709325-0fa1-447a-a717-ed584c4681e","19542_WSP-5_Core Image")</f>
        <v>19542_WSP-5_Core Image</v>
      </c>
    </row>
    <row r="5317" spans="1:11" x14ac:dyDescent="0.25">
      <c r="A5317" t="str">
        <f>HYPERLINK("http://www.corstruth.com.au/Tas/19545_WSP-8_cs.png","19545_WSP-8_A4")</f>
        <v>19545_WSP-8_A4</v>
      </c>
      <c r="B5317" t="str">
        <f>HYPERLINK("http://www.corstruth.com.au/Tas/PNG2/19545_WSP-8_cs.png","19545_WSP-8_0.25m Bins")</f>
        <v>19545_WSP-8_0.25m Bins</v>
      </c>
      <c r="C5317" t="str">
        <f>HYPERLINK("http://www.corstruth.com.au/Tas/CSV/19545_WSP-8.csv","19545_WSP-8_CSV File 1m Bins")</f>
        <v>19545_WSP-8_CSV File 1m Bins</v>
      </c>
      <c r="D5317">
        <v>19545</v>
      </c>
      <c r="E5317" t="s">
        <v>3422</v>
      </c>
      <c r="F5317" t="str">
        <f>HYPERLINK("http://www.mrt.tas.gov.au/webdoc2/app/default/drilling_detail?id=19545","Geol Survey Link")</f>
        <v>Geol Survey Link</v>
      </c>
      <c r="G5317" t="s">
        <v>3473</v>
      </c>
      <c r="H5317" t="s">
        <v>3532</v>
      </c>
      <c r="I5317">
        <v>-41.893500000000003</v>
      </c>
      <c r="J5317">
        <v>145.51499999999999</v>
      </c>
      <c r="K5317" t="str">
        <f>HYPERLINK("http://www.mrt.tas.gov.au/NVCLDataServices/mosaic.html?datasetid=ad30e8ae-93e7-4286-ad8a-1f4166c87f1","19545_WSP-8_Core Image")</f>
        <v>19545_WSP-8_Core Image</v>
      </c>
    </row>
    <row r="5318" spans="1:11" x14ac:dyDescent="0.25">
      <c r="A5318" t="str">
        <f>HYPERLINK("http://www.corstruth.com.au/Tas/24998_WSP-14_cs.png","24998_WSP-14_A4")</f>
        <v>24998_WSP-14_A4</v>
      </c>
      <c r="B5318" t="str">
        <f>HYPERLINK("http://www.corstruth.com.au/Tas/PNG2/24998_WSP-14_cs.png","24998_WSP-14_0.25m Bins")</f>
        <v>24998_WSP-14_0.25m Bins</v>
      </c>
      <c r="C5318" t="str">
        <f>HYPERLINK("http://www.corstruth.com.au/Tas/CSV/24998_WSP-14.csv","24998_WSP-14_CSV File 1m Bins")</f>
        <v>24998_WSP-14_CSV File 1m Bins</v>
      </c>
      <c r="D5318">
        <v>24998</v>
      </c>
      <c r="E5318" t="s">
        <v>3422</v>
      </c>
      <c r="F5318" t="str">
        <f>HYPERLINK("http://www.mrt.tas.gov.au/webdoc2/app/default/drilling_detail?id=24998","Geol Survey Link")</f>
        <v>Geol Survey Link</v>
      </c>
      <c r="G5318" t="s">
        <v>3473</v>
      </c>
      <c r="H5318" t="s">
        <v>3532</v>
      </c>
      <c r="I5318">
        <v>-41.912700000000001</v>
      </c>
      <c r="J5318">
        <v>145.52099999999999</v>
      </c>
      <c r="K5318" t="str">
        <f>HYPERLINK("http://www.mrt.tas.gov.au/NVCLDataServices/mosaic.html?datasetid=1d067946-3717-4f20-9808-eb3b230db0e","24998_WSP-14_Core Image")</f>
        <v>24998_WSP-14_Core Image</v>
      </c>
    </row>
    <row r="5319" spans="1:11" x14ac:dyDescent="0.25">
      <c r="A5319" t="str">
        <f>HYPERLINK("http://www.corstruth.com.au/Tas/24999_WSP15_cs.png","24999_WSP15_A4")</f>
        <v>24999_WSP15_A4</v>
      </c>
      <c r="B5319" t="str">
        <f>HYPERLINK("http://www.corstruth.com.au/Tas/PNG2/24999_WSP15_cs.png","24999_WSP15_0.25m Bins")</f>
        <v>24999_WSP15_0.25m Bins</v>
      </c>
      <c r="C5319" t="str">
        <f>HYPERLINK("http://www.corstruth.com.au/Tas/CSV/24999_WSP15.csv","24999_WSP15_CSV File 1m Bins")</f>
        <v>24999_WSP15_CSV File 1m Bins</v>
      </c>
      <c r="D5319">
        <v>24999</v>
      </c>
      <c r="E5319" t="s">
        <v>3422</v>
      </c>
      <c r="F5319" t="str">
        <f>HYPERLINK("http://www.mrt.tas.gov.au/webdoc2/app/default/drilling_detail?id=24999","Geol Survey Link")</f>
        <v>Geol Survey Link</v>
      </c>
      <c r="G5319" t="s">
        <v>3473</v>
      </c>
      <c r="H5319" t="s">
        <v>3532</v>
      </c>
      <c r="I5319">
        <v>-41.871400000000001</v>
      </c>
      <c r="J5319">
        <v>145.512</v>
      </c>
      <c r="K5319" t="str">
        <f>HYPERLINK("http://www.mrt.tas.gov.au/NVCLDataServices/mosaic.html?datasetid=efdcd84c-2336-4354-b250-fcb7f3ce9b6","24999_WSP15_Core Image")</f>
        <v>24999_WSP15_Core Image</v>
      </c>
    </row>
    <row r="5320" spans="1:11" x14ac:dyDescent="0.25">
      <c r="A5320" t="str">
        <f>HYPERLINK("http://www.corstruth.com.au/Tas/36739_WSP-16_cs.png","36739_WSP-16_A4")</f>
        <v>36739_WSP-16_A4</v>
      </c>
      <c r="B5320" t="str">
        <f>HYPERLINK("http://www.corstruth.com.au/Tas/PNG2/36739_WSP-16_cs.png","36739_WSP-16_0.25m Bins")</f>
        <v>36739_WSP-16_0.25m Bins</v>
      </c>
      <c r="C5320" t="str">
        <f>HYPERLINK("http://www.corstruth.com.au/Tas/CSV/36739_WSP-16.csv","36739_WSP-16_CSV File 1m Bins")</f>
        <v>36739_WSP-16_CSV File 1m Bins</v>
      </c>
      <c r="D5320">
        <v>36739</v>
      </c>
      <c r="E5320" t="s">
        <v>3422</v>
      </c>
      <c r="F5320" t="str">
        <f>HYPERLINK("http://www.mrt.tas.gov.au/webdoc2/app/default/drilling_detail?id=36739","Geol Survey Link")</f>
        <v>Geol Survey Link</v>
      </c>
      <c r="G5320" t="s">
        <v>3473</v>
      </c>
      <c r="H5320" t="s">
        <v>3532</v>
      </c>
      <c r="I5320">
        <v>-41.880600000000001</v>
      </c>
      <c r="J5320">
        <v>145.50700000000001</v>
      </c>
      <c r="K5320" t="str">
        <f>HYPERLINK("http://www.mrt.tas.gov.au/NVCLDataServices/mosaic.html?datasetid=a3107f07-407f-41aa-9ccb-31c777b3d8d","36739_WSP-16_Core Image")</f>
        <v>36739_WSP-16_Core Image</v>
      </c>
    </row>
    <row r="5321" spans="1:11" x14ac:dyDescent="0.25">
      <c r="A5321" t="str">
        <f>HYPERLINK("http://www.corstruth.com.au/Tas/31212_HEC-3151_cs.png","31212_HEC-3151_A4")</f>
        <v>31212_HEC-3151_A4</v>
      </c>
      <c r="B5321" t="str">
        <f>HYPERLINK("http://www.corstruth.com.au/Tas/PNG2/31212_HEC-3151_cs.png","31212_HEC-3151_0.25m Bins")</f>
        <v>31212_HEC-3151_0.25m Bins</v>
      </c>
      <c r="C5321" t="str">
        <f>HYPERLINK("http://www.corstruth.com.au/Tas/CSV/31212_HEC-3151.csv","31212_HEC-3151_CSV File 1m Bins")</f>
        <v>31212_HEC-3151_CSV File 1m Bins</v>
      </c>
      <c r="D5321">
        <v>31212</v>
      </c>
      <c r="E5321" t="s">
        <v>3422</v>
      </c>
      <c r="F5321" t="str">
        <f>HYPERLINK("http://www.mrt.tas.gov.au/webdoc2/app/default/drilling_detail?id=31212","Geol Survey Link")</f>
        <v>Geol Survey Link</v>
      </c>
      <c r="G5321" t="s">
        <v>3473</v>
      </c>
      <c r="H5321" t="s">
        <v>3533</v>
      </c>
      <c r="I5321">
        <v>-41.895400000000002</v>
      </c>
      <c r="J5321">
        <v>145.529</v>
      </c>
      <c r="K5321" t="str">
        <f>HYPERLINK("http://www.mrt.tas.gov.au/NVCLDataServices/mosaic.html?datasetid=8cf6f40c-755a-479d-a872-67e4ef0e300","31212_HEC-3151_Core Image")</f>
        <v>31212_HEC-3151_Core Image</v>
      </c>
    </row>
    <row r="5322" spans="1:11" x14ac:dyDescent="0.25">
      <c r="A5322" t="str">
        <f>HYPERLINK("http://www.corstruth.com.au/Tas/42958_HEC-3163_cs.png","42958_HEC-3163_A4")</f>
        <v>42958_HEC-3163_A4</v>
      </c>
      <c r="B5322" t="str">
        <f>HYPERLINK("http://www.corstruth.com.au/Tas/PNG2/42958_HEC-3163_cs.png","42958_HEC-3163_0.25m Bins")</f>
        <v>42958_HEC-3163_0.25m Bins</v>
      </c>
      <c r="C5322" t="str">
        <f>HYPERLINK("http://www.corstruth.com.au/Tas/CSV/42958_HEC-3163.csv","42958_HEC-3163_CSV File 1m Bins")</f>
        <v>42958_HEC-3163_CSV File 1m Bins</v>
      </c>
      <c r="D5322">
        <v>42958</v>
      </c>
      <c r="E5322" t="s">
        <v>3422</v>
      </c>
      <c r="F5322" t="str">
        <f>HYPERLINK("http://www.mrt.tas.gov.au/webdoc2/app/default/drilling_detail?id=42958","Geol Survey Link")</f>
        <v>Geol Survey Link</v>
      </c>
      <c r="G5322" t="s">
        <v>3473</v>
      </c>
      <c r="H5322" t="s">
        <v>3534</v>
      </c>
      <c r="I5322">
        <v>-41.894199999999998</v>
      </c>
      <c r="J5322">
        <v>145.53100000000001</v>
      </c>
      <c r="K5322" t="str">
        <f>HYPERLINK("http://www.mrt.tas.gov.au/NVCLDataServices/mosaic.html?datasetid=1bd4e63b-1945-4eb2-9207-c75ccfb1d85","42958_HEC-3163_Core Image")</f>
        <v>42958_HEC-3163_Core Image</v>
      </c>
    </row>
    <row r="5323" spans="1:11" x14ac:dyDescent="0.25">
      <c r="A5323" t="str">
        <f>HYPERLINK("http://www.corstruth.com.au/Tas/17668_YWS1_cs.png","17668_YWS1_A4")</f>
        <v>17668_YWS1_A4</v>
      </c>
      <c r="B5323" t="str">
        <f>HYPERLINK("http://www.corstruth.com.au/Tas/PNG2/17668_YWS1_cs.png","17668_YWS1_0.25m Bins")</f>
        <v>17668_YWS1_0.25m Bins</v>
      </c>
      <c r="C5323" t="str">
        <f>HYPERLINK("http://www.corstruth.com.au/Tas/CSV/17668_YWS1.csv","17668_YWS1_CSV File 1m Bins")</f>
        <v>17668_YWS1_CSV File 1m Bins</v>
      </c>
      <c r="D5323">
        <v>17668</v>
      </c>
      <c r="E5323" t="s">
        <v>3422</v>
      </c>
      <c r="F5323" t="str">
        <f>HYPERLINK("http://www.mrt.tas.gov.au/webdoc2/app/default/drilling_detail?id=17668","Geol Survey Link")</f>
        <v>Geol Survey Link</v>
      </c>
      <c r="G5323" t="s">
        <v>3473</v>
      </c>
      <c r="H5323" t="s">
        <v>3535</v>
      </c>
      <c r="I5323">
        <v>-41.900199999999998</v>
      </c>
      <c r="J5323">
        <v>145.52099999999999</v>
      </c>
      <c r="K5323" t="str">
        <f>HYPERLINK("http://www.mrt.tas.gov.au/NVCLDataServices/mosaic.html?datasetid=0daaad9b-1e38-44a0-a153-d26033111a7","17668_YWS1_Core Image")</f>
        <v>17668_YWS1_Core Image</v>
      </c>
    </row>
    <row r="5324" spans="1:11" x14ac:dyDescent="0.25">
      <c r="A5324" t="str">
        <f>HYPERLINK("http://www.corstruth.com.au/Tas/6340_BH_No_1_Dans_Rivulet_cs.png","6340_BH_No_1_Dans_Rivulet_A4")</f>
        <v>6340_BH_No_1_Dans_Rivulet_A4</v>
      </c>
      <c r="D5324">
        <v>6340</v>
      </c>
      <c r="E5324" t="s">
        <v>3422</v>
      </c>
      <c r="F5324" t="str">
        <f>HYPERLINK("http://www.mrt.tas.gov.au/webdoc2/app/default/drilling_detail?id=6340","Geol Survey Link")</f>
        <v>Geol Survey Link</v>
      </c>
      <c r="G5324" t="s">
        <v>3536</v>
      </c>
      <c r="I5324">
        <v>-41.431699999999999</v>
      </c>
      <c r="J5324">
        <v>147.86500000000001</v>
      </c>
      <c r="K5324" t="str">
        <f>HYPERLINK("http://www.mrt.tas.gov.au/NVCLDataServices/mosaic.html?datasetid=fb93fadf-61a6-433a-9e17-deaa02fc231","6340_BH_No_1_Dans_Rivulet_Core Image")</f>
        <v>6340_BH_No_1_Dans_Rivulet_Core Image</v>
      </c>
    </row>
    <row r="5325" spans="1:11" x14ac:dyDescent="0.25">
      <c r="A5325" t="str">
        <f>HYPERLINK("http://www.corstruth.com.au/Tas/2285_ALB1_Alberton_cs.png","2285_ALB1_Alberton_A4")</f>
        <v>2285_ALB1_Alberton_A4</v>
      </c>
      <c r="D5325">
        <v>2285</v>
      </c>
      <c r="E5325" t="s">
        <v>3422</v>
      </c>
      <c r="F5325" t="str">
        <f>HYPERLINK("http://www.mrt.tas.gov.au/webdoc2/app/default/drilling_detail?id=2285","Geol Survey Link")</f>
        <v>Geol Survey Link</v>
      </c>
      <c r="G5325" t="s">
        <v>3536</v>
      </c>
      <c r="H5325" t="s">
        <v>3537</v>
      </c>
      <c r="I5325">
        <v>-41.3</v>
      </c>
      <c r="J5325">
        <v>147.791</v>
      </c>
      <c r="K5325" t="str">
        <f>HYPERLINK("http://www.mrt.tas.gov.au/NVCLDataServices/mosaic.html?datasetid=9e7ceb65-8b9d-4542-8af0-7527b92b412","2285_ALB1_Alberton_Core Image")</f>
        <v>2285_ALB1_Alberton_Core Image</v>
      </c>
    </row>
    <row r="5326" spans="1:11" x14ac:dyDescent="0.25">
      <c r="A5326" t="str">
        <f>HYPERLINK("http://www.corstruth.com.au/Tas/2286_ALB2_Alberton_cs.png","2286_ALB2_Alberton_A4")</f>
        <v>2286_ALB2_Alberton_A4</v>
      </c>
      <c r="D5326">
        <v>2286</v>
      </c>
      <c r="E5326" t="s">
        <v>3422</v>
      </c>
      <c r="F5326" t="str">
        <f>HYPERLINK("http://www.mrt.tas.gov.au/webdoc2/app/default/drilling_detail?id=2286","Geol Survey Link")</f>
        <v>Geol Survey Link</v>
      </c>
      <c r="G5326" t="s">
        <v>3536</v>
      </c>
      <c r="H5326" t="s">
        <v>3537</v>
      </c>
      <c r="I5326">
        <v>-41.300699999999999</v>
      </c>
      <c r="J5326">
        <v>147.78800000000001</v>
      </c>
      <c r="K5326" t="str">
        <f>HYPERLINK("http://www.mrt.tas.gov.au/NVCLDataServices/mosaic.html?datasetid=81dcde48-ea5e-4046-8754-d592247c687","2286_ALB2_Alberton_Core Image")</f>
        <v>2286_ALB2_Alberton_Core Image</v>
      </c>
    </row>
    <row r="5327" spans="1:11" x14ac:dyDescent="0.25">
      <c r="A5327" t="str">
        <f>HYPERLINK("http://www.corstruth.com.au/Tas/2287_ALB3_Alberton_cs.png","2287_ALB3_Alberton_A4")</f>
        <v>2287_ALB3_Alberton_A4</v>
      </c>
      <c r="D5327">
        <v>2287</v>
      </c>
      <c r="E5327" t="s">
        <v>3422</v>
      </c>
      <c r="F5327" t="str">
        <f>HYPERLINK("http://www.mrt.tas.gov.au/webdoc2/app/default/drilling_detail?id=2287","Geol Survey Link")</f>
        <v>Geol Survey Link</v>
      </c>
      <c r="G5327" t="s">
        <v>3536</v>
      </c>
      <c r="H5327" t="s">
        <v>3537</v>
      </c>
      <c r="I5327">
        <v>-41.298999999999999</v>
      </c>
      <c r="J5327">
        <v>147.79400000000001</v>
      </c>
      <c r="K5327" t="str">
        <f>HYPERLINK("http://www.mrt.tas.gov.au/NVCLDataServices/mosaic.html?datasetid=ad2493af-f9c6-477e-a6f7-6933bf2a367","2287_ALB3_Alberton_Core Image")</f>
        <v>2287_ALB3_Alberton_Core Image</v>
      </c>
    </row>
    <row r="5328" spans="1:11" x14ac:dyDescent="0.25">
      <c r="A5328" t="str">
        <f>HYPERLINK("http://www.corstruth.com.au/Tas/2288_ALB4_Alberton_cs.png","2288_ALB4_Alberton_A4")</f>
        <v>2288_ALB4_Alberton_A4</v>
      </c>
      <c r="D5328">
        <v>2288</v>
      </c>
      <c r="E5328" t="s">
        <v>3422</v>
      </c>
      <c r="F5328" t="str">
        <f>HYPERLINK("http://www.mrt.tas.gov.au/webdoc2/app/default/drilling_detail?id=2288","Geol Survey Link")</f>
        <v>Geol Survey Link</v>
      </c>
      <c r="G5328" t="s">
        <v>3536</v>
      </c>
      <c r="H5328" t="s">
        <v>3537</v>
      </c>
      <c r="I5328">
        <v>-41.298400000000001</v>
      </c>
      <c r="J5328">
        <v>147.79599999999999</v>
      </c>
      <c r="K5328" t="str">
        <f>HYPERLINK("http://www.mrt.tas.gov.au/NVCLDataServices/mosaic.html?datasetid=d589141e-8897-4979-a0e9-ba8488516e5","2288_ALB4_Alberton_Core Image")</f>
        <v>2288_ALB4_Alberton_Core Image</v>
      </c>
    </row>
    <row r="5329" spans="1:11" x14ac:dyDescent="0.25">
      <c r="A5329" t="str">
        <f>HYPERLINK("http://www.corstruth.com.au/Tas/26997_ALB4a_Alberton_cs.png","26997_ALB4a_Alberton_A4")</f>
        <v>26997_ALB4a_Alberton_A4</v>
      </c>
      <c r="D5329">
        <v>26997</v>
      </c>
      <c r="E5329" t="s">
        <v>3422</v>
      </c>
      <c r="F5329" t="str">
        <f>HYPERLINK("http://www.mrt.tas.gov.au/webdoc2/app/default/drilling_detail?id=26997","Geol Survey Link")</f>
        <v>Geol Survey Link</v>
      </c>
      <c r="G5329" t="s">
        <v>3536</v>
      </c>
      <c r="H5329" t="s">
        <v>3537</v>
      </c>
      <c r="I5329">
        <v>-41.298400000000001</v>
      </c>
      <c r="J5329">
        <v>147.79599999999999</v>
      </c>
      <c r="K5329" t="str">
        <f>HYPERLINK("http://www.mrt.tas.gov.au/NVCLDataServices/mosaic.html?datasetid=e6fc0367-6cd4-4930-b481-fef689b77c1","26997_ALB4a_Alberton_Core Image")</f>
        <v>26997_ALB4a_Alberton_Core Image</v>
      </c>
    </row>
    <row r="5330" spans="1:11" x14ac:dyDescent="0.25">
      <c r="A5330" t="str">
        <f>HYPERLINK("http://www.corstruth.com.au/Tas/3700_A3i_Beaconsfield_cs.png","3700_A3i_Beaconsfield_A4")</f>
        <v>3700_A3i_Beaconsfield_A4</v>
      </c>
      <c r="D5330">
        <v>3700</v>
      </c>
      <c r="E5330" t="s">
        <v>3422</v>
      </c>
      <c r="F5330" t="str">
        <f>HYPERLINK("http://www.mrt.tas.gov.au/webdoc2/app/default/drilling_detail?id=3700","Geol Survey Link")</f>
        <v>Geol Survey Link</v>
      </c>
      <c r="G5330" t="s">
        <v>3536</v>
      </c>
      <c r="H5330" t="s">
        <v>3538</v>
      </c>
      <c r="I5330">
        <v>-41.2014</v>
      </c>
      <c r="J5330">
        <v>146.821</v>
      </c>
    </row>
    <row r="5331" spans="1:11" x14ac:dyDescent="0.25">
      <c r="A5331" t="str">
        <f>HYPERLINK("http://www.corstruth.com.au/Tas/3701_A3ii_Beaconsfield_cs.png","3701_A3ii_Beaconsfield_A4")</f>
        <v>3701_A3ii_Beaconsfield_A4</v>
      </c>
      <c r="D5331">
        <v>3701</v>
      </c>
      <c r="E5331" t="s">
        <v>3422</v>
      </c>
      <c r="F5331" t="str">
        <f>HYPERLINK("http://www.mrt.tas.gov.au/webdoc2/app/default/drilling_detail?id=3701","Geol Survey Link")</f>
        <v>Geol Survey Link</v>
      </c>
      <c r="G5331" t="s">
        <v>3536</v>
      </c>
      <c r="H5331" t="s">
        <v>3538</v>
      </c>
      <c r="I5331">
        <v>-41.2014</v>
      </c>
      <c r="J5331">
        <v>146.821</v>
      </c>
    </row>
    <row r="5332" spans="1:11" x14ac:dyDescent="0.25">
      <c r="A5332" t="str">
        <f>HYPERLINK("http://www.corstruth.com.au/Tas/3702_A3iii_Beaconsfield_cs.png","3702_A3iii_Beaconsfield_A4")</f>
        <v>3702_A3iii_Beaconsfield_A4</v>
      </c>
      <c r="D5332">
        <v>3702</v>
      </c>
      <c r="E5332" t="s">
        <v>3422</v>
      </c>
      <c r="F5332" t="str">
        <f>HYPERLINK("http://www.mrt.tas.gov.au/webdoc2/app/default/drilling_detail?id=3702","Geol Survey Link")</f>
        <v>Geol Survey Link</v>
      </c>
      <c r="G5332" t="s">
        <v>3536</v>
      </c>
      <c r="H5332" t="s">
        <v>3538</v>
      </c>
      <c r="I5332">
        <v>-41.2014</v>
      </c>
      <c r="J5332">
        <v>146.821</v>
      </c>
    </row>
    <row r="5333" spans="1:11" x14ac:dyDescent="0.25">
      <c r="A5333" t="str">
        <f>HYPERLINK("http://www.corstruth.com.au/Tas/2252_B4_Beaconsfield_cs.png","2252_B4_Beaconsfield_A4")</f>
        <v>2252_B4_Beaconsfield_A4</v>
      </c>
      <c r="B5333" t="str">
        <f>HYPERLINK("http://www.corstruth.com.au/Tas/PNG2/2252_B4_Beaconsfield_cs.png","2252_B4_Beaconsfield_0.25m Bins")</f>
        <v>2252_B4_Beaconsfield_0.25m Bins</v>
      </c>
      <c r="C5333" t="str">
        <f>HYPERLINK("http://www.corstruth.com.au/Tas/CSV/2252_B4_Beaconsfield.csv","2252_B4_Beaconsfield_CSV File 1m Bins")</f>
        <v>2252_B4_Beaconsfield_CSV File 1m Bins</v>
      </c>
      <c r="D5333">
        <v>2252</v>
      </c>
      <c r="E5333" t="s">
        <v>3422</v>
      </c>
      <c r="F5333" t="str">
        <f>HYPERLINK("http://www.mrt.tas.gov.au/webdoc2/app/default/drilling_detail?id=2252","Geol Survey Link")</f>
        <v>Geol Survey Link</v>
      </c>
      <c r="G5333" t="s">
        <v>3536</v>
      </c>
      <c r="H5333" t="s">
        <v>3539</v>
      </c>
      <c r="I5333">
        <v>-41.2014</v>
      </c>
      <c r="J5333">
        <v>146.81800000000001</v>
      </c>
      <c r="K5333" t="str">
        <f>HYPERLINK("http://www.mrt.tas.gov.au/NVCLDataServices/mosaic.html?datasetid=33b7f894-75b6-404f-880c-c09ef30bda9","2252_B4_Beaconsfield_Core Image")</f>
        <v>2252_B4_Beaconsfield_Core Image</v>
      </c>
    </row>
    <row r="5334" spans="1:11" x14ac:dyDescent="0.25">
      <c r="A5334" t="str">
        <f>HYPERLINK("http://www.corstruth.com.au/Tas/6297_A6_Beaconsfield_cs.png","6297_A6_Beaconsfield_A4")</f>
        <v>6297_A6_Beaconsfield_A4</v>
      </c>
      <c r="D5334">
        <v>6297</v>
      </c>
      <c r="E5334" t="s">
        <v>3422</v>
      </c>
      <c r="F5334" t="str">
        <f>HYPERLINK("http://www.mrt.tas.gov.au/webdoc2/app/default/drilling_detail?id=6297","Geol Survey Link")</f>
        <v>Geol Survey Link</v>
      </c>
      <c r="G5334" t="s">
        <v>3536</v>
      </c>
      <c r="H5334" t="s">
        <v>3539</v>
      </c>
      <c r="I5334">
        <v>-41.2029</v>
      </c>
      <c r="J5334">
        <v>146.81700000000001</v>
      </c>
    </row>
    <row r="5335" spans="1:11" x14ac:dyDescent="0.25">
      <c r="A5335" t="str">
        <f>HYPERLINK("http://www.corstruth.com.au/Tas/16109_BROOKS1_Golden_Ridge_Scamander_cs.png","16109_BROOKS1_Golden_Ridge_Scamander_A4")</f>
        <v>16109_BROOKS1_Golden_Ridge_Scamander_A4</v>
      </c>
      <c r="D5335">
        <v>16109</v>
      </c>
      <c r="E5335" t="s">
        <v>3422</v>
      </c>
      <c r="F5335" t="str">
        <f>HYPERLINK("http://www.mrt.tas.gov.au/webdoc2/app/default/drilling_detail?id=16109","Geol Survey Link")</f>
        <v>Geol Survey Link</v>
      </c>
      <c r="G5335" t="s">
        <v>3536</v>
      </c>
      <c r="H5335" t="s">
        <v>3540</v>
      </c>
      <c r="I5335">
        <v>-41.4178</v>
      </c>
      <c r="J5335">
        <v>148.001</v>
      </c>
      <c r="K5335" t="str">
        <f>HYPERLINK("http://www.mrt.tas.gov.au/NVCLDataServices/mosaic.html?datasetid=0a4693d0-0a44-4c2d-a150-08eb7fd808a","16109_BROOKS1_Golden_Ridge_Scamander_Core Image")</f>
        <v>16109_BROOKS1_Golden_Ridge_Scamander_Core Image</v>
      </c>
    </row>
    <row r="5336" spans="1:11" x14ac:dyDescent="0.25">
      <c r="A5336" t="str">
        <f>HYPERLINK("http://www.corstruth.com.au/Tas/6341_BH_No_2_Dans_Rivulet_cs.png","6341_BH_No_2_Dans_Rivulet_A4")</f>
        <v>6341_BH_No_2_Dans_Rivulet_A4</v>
      </c>
      <c r="D5336">
        <v>6341</v>
      </c>
      <c r="E5336" t="s">
        <v>3422</v>
      </c>
      <c r="F5336" t="str">
        <f>HYPERLINK("http://www.mrt.tas.gov.au/webdoc2/app/default/drilling_detail?id=6341","Geol Survey Link")</f>
        <v>Geol Survey Link</v>
      </c>
      <c r="G5336" t="s">
        <v>3536</v>
      </c>
      <c r="H5336" t="s">
        <v>3541</v>
      </c>
      <c r="I5336">
        <v>-41.430700000000002</v>
      </c>
      <c r="J5336">
        <v>147.869</v>
      </c>
      <c r="K5336" t="str">
        <f>HYPERLINK("http://www.mrt.tas.gov.au/NVCLDataServices/mosaic.html?datasetid=2cf4c584-e1f6-4c18-91d1-7ead3cdad4d","6341_BH_No_2_Dans_Rivulet_Core Image")</f>
        <v>6341_BH_No_2_Dans_Rivulet_Core Image</v>
      </c>
    </row>
    <row r="5337" spans="1:11" x14ac:dyDescent="0.25">
      <c r="A5337" t="str">
        <f>HYPERLINK("http://www.corstruth.com.au/Tas/93590_DRG003_Denison_River_cs.png","93590_DRG003_Denison_River_A4")</f>
        <v>93590_DRG003_Denison_River_A4</v>
      </c>
      <c r="B5337" t="str">
        <f>HYPERLINK("http://www.corstruth.com.au/Tas/PNG2/93590_DRG003_Denison_River_cs.png","93590_DRG003_Denison_River_0.25m Bins")</f>
        <v>93590_DRG003_Denison_River_0.25m Bins</v>
      </c>
      <c r="C5337" t="str">
        <f>HYPERLINK("http://www.corstruth.com.au/Tas/CSV/93590_DRG003_Denison_River.csv","93590_DRG003_Denison_River_CSV File 1m Bins")</f>
        <v>93590_DRG003_Denison_River_CSV File 1m Bins</v>
      </c>
      <c r="D5337">
        <v>93590</v>
      </c>
      <c r="E5337" t="s">
        <v>3422</v>
      </c>
      <c r="F5337" t="str">
        <f>HYPERLINK("http://www.mrt.tas.gov.au/webdoc2/app/default/drilling_detail?id=93590","Geol Survey Link")</f>
        <v>Geol Survey Link</v>
      </c>
      <c r="G5337" t="s">
        <v>3536</v>
      </c>
      <c r="H5337" t="s">
        <v>3542</v>
      </c>
      <c r="I5337">
        <v>-41.138100000000001</v>
      </c>
      <c r="J5337">
        <v>147.316</v>
      </c>
    </row>
    <row r="5338" spans="1:11" x14ac:dyDescent="0.25">
      <c r="A5338" t="str">
        <f>HYPERLINK("http://www.corstruth.com.au/Tas/20627_E005_Lisle_cs.png","20627_E005_Lisle_A4")</f>
        <v>20627_E005_Lisle_A4</v>
      </c>
      <c r="D5338">
        <v>20627</v>
      </c>
      <c r="E5338" t="s">
        <v>3422</v>
      </c>
      <c r="F5338" t="str">
        <f>HYPERLINK("http://www.mrt.tas.gov.au/webdoc2/app/default/drilling_detail?id=20627","Geol Survey Link")</f>
        <v>Geol Survey Link</v>
      </c>
      <c r="G5338" t="s">
        <v>3536</v>
      </c>
      <c r="H5338" t="s">
        <v>3543</v>
      </c>
      <c r="I5338">
        <v>-41.1813</v>
      </c>
      <c r="J5338">
        <v>147.309</v>
      </c>
      <c r="K5338" t="str">
        <f>HYPERLINK("http://www.mrt.tas.gov.au/NVCLDataServices/mosaic.html?datasetid=259ec0af-9704-44b2-a947-ed10ececf62","20627_E005_Lisle_Core Image")</f>
        <v>20627_E005_Lisle_Core Image</v>
      </c>
    </row>
    <row r="5339" spans="1:11" x14ac:dyDescent="0.25">
      <c r="A5339" t="str">
        <f>HYPERLINK("http://www.corstruth.com.au/Tas/5347_FAL-1_cs.png","5347_FAL-1_A4")</f>
        <v>5347_FAL-1_A4</v>
      </c>
      <c r="B5339" t="str">
        <f>HYPERLINK("http://www.corstruth.com.au/Tas/PNG2/5347_FAL-1_cs.png","5347_FAL-1_0.25m Bins")</f>
        <v>5347_FAL-1_0.25m Bins</v>
      </c>
      <c r="C5339" t="str">
        <f>HYPERLINK("http://www.corstruth.com.au/Tas/CSV/5347_FAL-1.csv","5347_FAL-1_CSV File 1m Bins")</f>
        <v>5347_FAL-1_CSV File 1m Bins</v>
      </c>
      <c r="D5339">
        <v>5347</v>
      </c>
      <c r="E5339" t="s">
        <v>3422</v>
      </c>
      <c r="F5339" t="str">
        <f>HYPERLINK("http://www.mrt.tas.gov.au/webdoc2/app/default/drilling_detail?id=5347","Geol Survey Link")</f>
        <v>Geol Survey Link</v>
      </c>
      <c r="G5339" t="s">
        <v>3536</v>
      </c>
      <c r="H5339" t="s">
        <v>3544</v>
      </c>
      <c r="I5339">
        <v>-41.532699999999998</v>
      </c>
      <c r="J5339">
        <v>148.23699999999999</v>
      </c>
      <c r="K5339" t="str">
        <f>HYPERLINK("http://www.mrt.tas.gov.au/NVCLDataServices/mosaic.html?datasetid=a27a0f10-ea7a-4cff-9411-6fa6fc4fb8d","5347_FAL-1_Core Image")</f>
        <v>5347_FAL-1_Core Image</v>
      </c>
    </row>
    <row r="5340" spans="1:11" x14ac:dyDescent="0.25">
      <c r="A5340" t="str">
        <f>HYPERLINK("http://www.corstruth.com.au/Tas/18781_GRD002_Golden_Ridge_Scamander_cs.png","18781_GRD002_Golden_Ridge_Scamander_A4")</f>
        <v>18781_GRD002_Golden_Ridge_Scamander_A4</v>
      </c>
      <c r="D5340">
        <v>18781</v>
      </c>
      <c r="E5340" t="s">
        <v>3422</v>
      </c>
      <c r="F5340" t="str">
        <f>HYPERLINK("http://www.mrt.tas.gov.au/webdoc2/app/default/drilling_detail?id=18781","Geol Survey Link")</f>
        <v>Geol Survey Link</v>
      </c>
      <c r="G5340" t="s">
        <v>3536</v>
      </c>
      <c r="H5340" t="s">
        <v>811</v>
      </c>
      <c r="I5340">
        <v>-41.407299999999999</v>
      </c>
      <c r="J5340">
        <v>148.02699999999999</v>
      </c>
      <c r="K5340" t="str">
        <f>HYPERLINK("http://www.mrt.tas.gov.au/NVCLDataServices/mosaic.html?datasetid=e91f1ac0-7897-4850-b94e-f8047f6c97c","18781_GRD002_Golden_Ridge_Scamander_Core Image")</f>
        <v>18781_GRD002_Golden_Ridge_Scamander_Core Image</v>
      </c>
    </row>
    <row r="5341" spans="1:11" x14ac:dyDescent="0.25">
      <c r="A5341" t="str">
        <f>HYPERLINK("http://www.corstruth.com.au/Tas/19689_GRD7_Golden_Ridge_Scamander_cs.png","19689_GRD7_Golden_Ridge_Scamander_A4")</f>
        <v>19689_GRD7_Golden_Ridge_Scamander_A4</v>
      </c>
      <c r="D5341">
        <v>19689</v>
      </c>
      <c r="E5341" t="s">
        <v>3422</v>
      </c>
      <c r="F5341" t="str">
        <f>HYPERLINK("http://www.mrt.tas.gov.au/webdoc2/app/default/drilling_detail?id=19689","Geol Survey Link")</f>
        <v>Geol Survey Link</v>
      </c>
      <c r="G5341" t="s">
        <v>3536</v>
      </c>
      <c r="H5341" t="s">
        <v>811</v>
      </c>
      <c r="I5341">
        <v>-41.4086</v>
      </c>
      <c r="J5341">
        <v>148.02799999999999</v>
      </c>
      <c r="K5341" t="str">
        <f>HYPERLINK("http://www.mrt.tas.gov.au/NVCLDataServices/mosaic.html?datasetid=3d2bdc9d-1134-4568-89e6-fccc6023623","19689_GRD7_Golden_Ridge_Scamander_Core Image")</f>
        <v>19689_GRD7_Golden_Ridge_Scamander_Core Image</v>
      </c>
    </row>
    <row r="5342" spans="1:11" x14ac:dyDescent="0.25">
      <c r="A5342" t="str">
        <f>HYPERLINK("http://www.corstruth.com.au/Tas/19690_GRD8_Golden_Ridge_Scamander_cs.png","19690_GRD8_Golden_Ridge_Scamander_A4")</f>
        <v>19690_GRD8_Golden_Ridge_Scamander_A4</v>
      </c>
      <c r="D5342">
        <v>19690</v>
      </c>
      <c r="E5342" t="s">
        <v>3422</v>
      </c>
      <c r="F5342" t="str">
        <f>HYPERLINK("http://www.mrt.tas.gov.au/webdoc2/app/default/drilling_detail?id=19690","Geol Survey Link")</f>
        <v>Geol Survey Link</v>
      </c>
      <c r="G5342" t="s">
        <v>3536</v>
      </c>
      <c r="H5342" t="s">
        <v>811</v>
      </c>
      <c r="I5342">
        <v>-41.4086</v>
      </c>
      <c r="J5342">
        <v>148.02799999999999</v>
      </c>
      <c r="K5342" t="str">
        <f>HYPERLINK("http://www.mrt.tas.gov.au/NVCLDataServices/mosaic.html?datasetid=36de9c19-ea1b-4198-9d66-7a0ab176d14","19690_GRD8_Golden_Ridge_Scamander_Core Image")</f>
        <v>19690_GRD8_Golden_Ridge_Scamander_Core Image</v>
      </c>
    </row>
    <row r="5343" spans="1:11" x14ac:dyDescent="0.25">
      <c r="A5343" t="str">
        <f>HYPERLINK("http://www.corstruth.com.au/Tas/19691_GRD9_Golden_Ridge_Scamander_cs.png","19691_GRD9_Golden_Ridge_Scamander_A4")</f>
        <v>19691_GRD9_Golden_Ridge_Scamander_A4</v>
      </c>
      <c r="D5343">
        <v>19691</v>
      </c>
      <c r="E5343" t="s">
        <v>3422</v>
      </c>
      <c r="F5343" t="str">
        <f>HYPERLINK("http://www.mrt.tas.gov.au/webdoc2/app/default/drilling_detail?id=19691","Geol Survey Link")</f>
        <v>Geol Survey Link</v>
      </c>
      <c r="G5343" t="s">
        <v>3536</v>
      </c>
      <c r="H5343" t="s">
        <v>811</v>
      </c>
      <c r="I5343">
        <v>-41.407200000000003</v>
      </c>
      <c r="J5343">
        <v>148.02600000000001</v>
      </c>
      <c r="K5343" t="str">
        <f>HYPERLINK("http://www.mrt.tas.gov.au/NVCLDataServices/mosaic.html?datasetid=7a113b05-f2d9-4b36-99f0-663cbf28d1c","19691_GRD9_Golden_Ridge_Scamander_Core Image")</f>
        <v>19691_GRD9_Golden_Ridge_Scamander_Core Image</v>
      </c>
    </row>
    <row r="5344" spans="1:11" x14ac:dyDescent="0.25">
      <c r="A5344" t="str">
        <f>HYPERLINK("http://www.corstruth.com.au/Tas/19692_GRD10_Golden_Ridge_Scamander_cs.png","19692_GRD10_Golden_Ridge_Scamander_A4")</f>
        <v>19692_GRD10_Golden_Ridge_Scamander_A4</v>
      </c>
      <c r="D5344">
        <v>19692</v>
      </c>
      <c r="E5344" t="s">
        <v>3422</v>
      </c>
      <c r="F5344" t="str">
        <f>HYPERLINK("http://www.mrt.tas.gov.au/webdoc2/app/default/drilling_detail?id=19692","Geol Survey Link")</f>
        <v>Geol Survey Link</v>
      </c>
      <c r="G5344" t="s">
        <v>3536</v>
      </c>
      <c r="H5344" t="s">
        <v>811</v>
      </c>
      <c r="I5344">
        <v>-41.4086</v>
      </c>
      <c r="J5344">
        <v>148.02799999999999</v>
      </c>
      <c r="K5344" t="str">
        <f>HYPERLINK("http://www.mrt.tas.gov.au/NVCLDataServices/mosaic.html?datasetid=cf8aece2-266c-45de-a815-2b4a0c4cbd7","19692_GRD10_Golden_Ridge_Scamander_Core Image")</f>
        <v>19692_GRD10_Golden_Ridge_Scamander_Core Image</v>
      </c>
    </row>
    <row r="5345" spans="1:11" x14ac:dyDescent="0.25">
      <c r="A5345" t="str">
        <f>HYPERLINK("http://www.corstruth.com.au/Tas/93336_GFDD001_Grand_Flanneur_cs.png","93336_GFDD001_Grand_Flanneur_A4")</f>
        <v>93336_GFDD001_Grand_Flanneur_A4</v>
      </c>
      <c r="B5345" t="str">
        <f>HYPERLINK("http://www.corstruth.com.au/Tas/PNG2/93336_GFDD001_Grand_Flanneur_cs.png","93336_GFDD001_Grand_Flanneur_0.25m Bins")</f>
        <v>93336_GFDD001_Grand_Flanneur_0.25m Bins</v>
      </c>
      <c r="C5345" t="str">
        <f>HYPERLINK("http://www.corstruth.com.au/Tas/CSV/93336_GFDD001_Grand_Flanneur.csv","93336_GFDD001_Grand_Flanneur_CSV File 1m Bins")</f>
        <v>93336_GFDD001_Grand_Flanneur_CSV File 1m Bins</v>
      </c>
      <c r="D5345">
        <v>93336</v>
      </c>
      <c r="E5345" t="s">
        <v>3422</v>
      </c>
      <c r="F5345" t="str">
        <f>HYPERLINK("http://www.mrt.tas.gov.au/webdoc2/app/default/drilling_detail?id=93336","Geol Survey Link")</f>
        <v>Geol Survey Link</v>
      </c>
      <c r="G5345" t="s">
        <v>3536</v>
      </c>
      <c r="H5345" t="s">
        <v>3545</v>
      </c>
      <c r="I5345">
        <v>-40.871099999999998</v>
      </c>
      <c r="J5345">
        <v>148.06</v>
      </c>
    </row>
    <row r="5346" spans="1:11" x14ac:dyDescent="0.25">
      <c r="A5346" t="str">
        <f>HYPERLINK("http://www.corstruth.com.au/Tas/93337_GFDD002_Grand_Flanneur_cs.png","93337_GFDD002_Grand_Flanneur_A4")</f>
        <v>93337_GFDD002_Grand_Flanneur_A4</v>
      </c>
      <c r="B5346" t="str">
        <f>HYPERLINK("http://www.corstruth.com.au/Tas/PNG2/93337_GFDD002_Grand_Flanneur_cs.png","93337_GFDD002_Grand_Flanneur_0.25m Bins")</f>
        <v>93337_GFDD002_Grand_Flanneur_0.25m Bins</v>
      </c>
      <c r="C5346" t="str">
        <f>HYPERLINK("http://www.corstruth.com.au/Tas/CSV/93337_GFDD002_Grand_Flanneur.csv","93337_GFDD002_Grand_Flanneur_CSV File 1m Bins")</f>
        <v>93337_GFDD002_Grand_Flanneur_CSV File 1m Bins</v>
      </c>
      <c r="D5346">
        <v>93337</v>
      </c>
      <c r="E5346" t="s">
        <v>3422</v>
      </c>
      <c r="F5346" t="str">
        <f>HYPERLINK("http://www.mrt.tas.gov.au/webdoc2/app/default/drilling_detail?id=93337","Geol Survey Link")</f>
        <v>Geol Survey Link</v>
      </c>
      <c r="G5346" t="s">
        <v>3536</v>
      </c>
      <c r="H5346" t="s">
        <v>3545</v>
      </c>
      <c r="I5346">
        <v>-40.871200000000002</v>
      </c>
      <c r="J5346">
        <v>148.06</v>
      </c>
    </row>
    <row r="5347" spans="1:11" x14ac:dyDescent="0.25">
      <c r="A5347" t="str">
        <f>HYPERLINK("http://www.corstruth.com.au/Tas/93338_GFDD003_Grand_Flanneur_old_cs.png","93338_GFDD003_Grand_Flanneur_old_A4")</f>
        <v>93338_GFDD003_Grand_Flanneur_old_A4</v>
      </c>
      <c r="B5347" t="str">
        <f>HYPERLINK("http://www.corstruth.com.au/Tas/PNG2/93338_GFDD003_Grand_Flanneur_old_cs.png","93338_GFDD003_Grand_Flanneur_old_0.25m Bins")</f>
        <v>93338_GFDD003_Grand_Flanneur_old_0.25m Bins</v>
      </c>
      <c r="C5347" t="str">
        <f>HYPERLINK("http://www.corstruth.com.au/Tas/CSV/93338_GFDD003_Grand_Flanneur_old.csv","93338_GFDD003_Grand_Flanneur_old_CSV File 1m Bins")</f>
        <v>93338_GFDD003_Grand_Flanneur_old_CSV File 1m Bins</v>
      </c>
      <c r="D5347">
        <v>93338</v>
      </c>
      <c r="E5347" t="s">
        <v>3422</v>
      </c>
      <c r="F5347" t="str">
        <f>HYPERLINK("http://www.mrt.tas.gov.au/webdoc2/app/default/drilling_detail?id=93338","Geol Survey Link")</f>
        <v>Geol Survey Link</v>
      </c>
      <c r="G5347" t="s">
        <v>3536</v>
      </c>
      <c r="H5347" t="s">
        <v>3545</v>
      </c>
      <c r="I5347">
        <v>-40.871099999999998</v>
      </c>
      <c r="J5347">
        <v>148.06</v>
      </c>
    </row>
    <row r="5348" spans="1:11" x14ac:dyDescent="0.25">
      <c r="A5348" t="str">
        <f>HYPERLINK("http://www.corstruth.com.au/Tas/93339_GFDD004_Grand_Flanneur_cs.png","93339_GFDD004_Grand_Flanneur_A4")</f>
        <v>93339_GFDD004_Grand_Flanneur_A4</v>
      </c>
      <c r="B5348" t="str">
        <f>HYPERLINK("http://www.corstruth.com.au/Tas/PNG2/93339_GFDD004_Grand_Flanneur_cs.png","93339_GFDD004_Grand_Flanneur_0.25m Bins")</f>
        <v>93339_GFDD004_Grand_Flanneur_0.25m Bins</v>
      </c>
      <c r="C5348" t="str">
        <f>HYPERLINK("http://www.corstruth.com.au/Tas/CSV/93339_GFDD004_Grand_Flanneur.csv","93339_GFDD004_Grand_Flanneur_CSV File 1m Bins")</f>
        <v>93339_GFDD004_Grand_Flanneur_CSV File 1m Bins</v>
      </c>
      <c r="D5348">
        <v>93339</v>
      </c>
      <c r="E5348" t="s">
        <v>3422</v>
      </c>
      <c r="F5348" t="str">
        <f>HYPERLINK("http://www.mrt.tas.gov.au/webdoc2/app/default/drilling_detail?id=93339","Geol Survey Link")</f>
        <v>Geol Survey Link</v>
      </c>
      <c r="G5348" t="s">
        <v>3536</v>
      </c>
      <c r="H5348" t="s">
        <v>3545</v>
      </c>
      <c r="I5348">
        <v>-40.871099999999998</v>
      </c>
      <c r="J5348">
        <v>148.06</v>
      </c>
    </row>
    <row r="5349" spans="1:11" x14ac:dyDescent="0.25">
      <c r="A5349" t="str">
        <f>HYPERLINK("http://www.corstruth.com.au/Tas/93340_GFDD005_Grand_Flanneur_cs.png","93340_GFDD005_Grand_Flanneur_A4")</f>
        <v>93340_GFDD005_Grand_Flanneur_A4</v>
      </c>
      <c r="B5349" t="str">
        <f>HYPERLINK("http://www.corstruth.com.au/Tas/PNG2/93340_GFDD005_Grand_Flanneur_cs.png","93340_GFDD005_Grand_Flanneur_0.25m Bins")</f>
        <v>93340_GFDD005_Grand_Flanneur_0.25m Bins</v>
      </c>
      <c r="C5349" t="str">
        <f>HYPERLINK("http://www.corstruth.com.au/Tas/CSV/93340_GFDD005_Grand_Flanneur.csv","93340_GFDD005_Grand_Flanneur_CSV File 1m Bins")</f>
        <v>93340_GFDD005_Grand_Flanneur_CSV File 1m Bins</v>
      </c>
      <c r="D5349">
        <v>93340</v>
      </c>
      <c r="E5349" t="s">
        <v>3422</v>
      </c>
      <c r="F5349" t="str">
        <f>HYPERLINK("http://www.mrt.tas.gov.au/webdoc2/app/default/drilling_detail?id=93340","Geol Survey Link")</f>
        <v>Geol Survey Link</v>
      </c>
      <c r="G5349" t="s">
        <v>3536</v>
      </c>
      <c r="H5349" t="s">
        <v>3545</v>
      </c>
      <c r="I5349">
        <v>-40.868099999999998</v>
      </c>
      <c r="J5349">
        <v>148.06</v>
      </c>
    </row>
    <row r="5350" spans="1:11" x14ac:dyDescent="0.25">
      <c r="A5350" t="str">
        <f>HYPERLINK("http://www.corstruth.com.au/Tas/93348_GFDD006_Grand_Flanneur_cs.png","93348_GFDD006_Grand_Flanneur_A4")</f>
        <v>93348_GFDD006_Grand_Flanneur_A4</v>
      </c>
      <c r="B5350" t="str">
        <f>HYPERLINK("http://www.corstruth.com.au/Tas/PNG2/93348_GFDD006_Grand_Flanneur_cs.png","93348_GFDD006_Grand_Flanneur_0.25m Bins")</f>
        <v>93348_GFDD006_Grand_Flanneur_0.25m Bins</v>
      </c>
      <c r="C5350" t="str">
        <f>HYPERLINK("http://www.corstruth.com.au/Tas/CSV/93348_GFDD006_Grand_Flanneur.csv","93348_GFDD006_Grand_Flanneur_CSV File 1m Bins")</f>
        <v>93348_GFDD006_Grand_Flanneur_CSV File 1m Bins</v>
      </c>
      <c r="D5350">
        <v>93348</v>
      </c>
      <c r="E5350" t="s">
        <v>3422</v>
      </c>
      <c r="F5350" t="str">
        <f>HYPERLINK("http://www.mrt.tas.gov.au/webdoc2/app/default/drilling_detail?id=93348","Geol Survey Link")</f>
        <v>Geol Survey Link</v>
      </c>
      <c r="G5350" t="s">
        <v>3536</v>
      </c>
      <c r="H5350" t="s">
        <v>3545</v>
      </c>
      <c r="I5350">
        <v>-41.892200000000003</v>
      </c>
      <c r="J5350">
        <v>145.28</v>
      </c>
    </row>
    <row r="5351" spans="1:11" x14ac:dyDescent="0.25">
      <c r="A5351" t="str">
        <f>HYPERLINK("http://www.corstruth.com.au/Tas/19365_L1_Lefroy_cs.png","19365_L1_Lefroy_A4")</f>
        <v>19365_L1_Lefroy_A4</v>
      </c>
      <c r="D5351">
        <v>19365</v>
      </c>
      <c r="E5351" t="s">
        <v>3422</v>
      </c>
      <c r="F5351" t="str">
        <f>HYPERLINK("http://www.mrt.tas.gov.au/webdoc2/app/default/drilling_detail?id=19365","Geol Survey Link")</f>
        <v>Geol Survey Link</v>
      </c>
      <c r="G5351" t="s">
        <v>3536</v>
      </c>
      <c r="H5351" t="s">
        <v>3546</v>
      </c>
      <c r="I5351">
        <v>-41.118499999999997</v>
      </c>
      <c r="J5351">
        <v>146.99799999999999</v>
      </c>
      <c r="K5351" t="str">
        <f>HYPERLINK("http://www.mrt.tas.gov.au/NVCLDataServices/mosaic.html?datasetid=e4f146e0-b444-4142-ab6b-3d0c270dbb5","19365_L1_Lefroy_Core Image")</f>
        <v>19365_L1_Lefroy_Core Image</v>
      </c>
    </row>
    <row r="5352" spans="1:11" x14ac:dyDescent="0.25">
      <c r="A5352" t="str">
        <f>HYPERLINK("http://www.corstruth.com.au/Tas/19366_L1A_Lefroy_cs.png","19366_L1A_Lefroy_A4")</f>
        <v>19366_L1A_Lefroy_A4</v>
      </c>
      <c r="D5352">
        <v>19366</v>
      </c>
      <c r="E5352" t="s">
        <v>3422</v>
      </c>
      <c r="F5352" t="str">
        <f>HYPERLINK("http://www.mrt.tas.gov.au/webdoc2/app/default/drilling_detail?id=19366","Geol Survey Link")</f>
        <v>Geol Survey Link</v>
      </c>
      <c r="G5352" t="s">
        <v>3536</v>
      </c>
      <c r="H5352" t="s">
        <v>3546</v>
      </c>
      <c r="I5352">
        <v>-41.118499999999997</v>
      </c>
      <c r="J5352">
        <v>146.99799999999999</v>
      </c>
      <c r="K5352" t="str">
        <f>HYPERLINK("http://www.mrt.tas.gov.au/NVCLDataServices/mosaic.html?datasetid=c0702b64-3ef1-420c-8eb4-fa2fbc064c5","19366_L1A_Lefroy_Core Image")</f>
        <v>19366_L1A_Lefroy_Core Image</v>
      </c>
    </row>
    <row r="5353" spans="1:11" x14ac:dyDescent="0.25">
      <c r="A5353" t="str">
        <f>HYPERLINK("http://www.corstruth.com.au/Tas/19367_L2_Lefroy_cs.png","19367_L2_Lefroy_A4")</f>
        <v>19367_L2_Lefroy_A4</v>
      </c>
      <c r="D5353">
        <v>19367</v>
      </c>
      <c r="E5353" t="s">
        <v>3422</v>
      </c>
      <c r="F5353" t="str">
        <f>HYPERLINK("http://www.mrt.tas.gov.au/webdoc2/app/default/drilling_detail?id=19367","Geol Survey Link")</f>
        <v>Geol Survey Link</v>
      </c>
      <c r="G5353" t="s">
        <v>3536</v>
      </c>
      <c r="H5353" t="s">
        <v>3546</v>
      </c>
      <c r="I5353">
        <v>-41.092399999999998</v>
      </c>
      <c r="J5353">
        <v>146.977</v>
      </c>
      <c r="K5353" t="str">
        <f>HYPERLINK("http://www.mrt.tas.gov.au/NVCLDataServices/mosaic.html?datasetid=52d7679c-39fd-4de6-a185-3d51e7d8948","19367_L2_Lefroy_Core Image")</f>
        <v>19367_L2_Lefroy_Core Image</v>
      </c>
    </row>
    <row r="5354" spans="1:11" x14ac:dyDescent="0.25">
      <c r="A5354" t="str">
        <f>HYPERLINK("http://www.corstruth.com.au/Tas/19584_L3_Lefroy_cs.png","19584_L3_Lefroy_A4")</f>
        <v>19584_L3_Lefroy_A4</v>
      </c>
      <c r="D5354">
        <v>19584</v>
      </c>
      <c r="E5354" t="s">
        <v>3422</v>
      </c>
      <c r="F5354" t="str">
        <f>HYPERLINK("http://www.mrt.tas.gov.au/webdoc2/app/default/drilling_detail?id=19584","Geol Survey Link")</f>
        <v>Geol Survey Link</v>
      </c>
      <c r="G5354" t="s">
        <v>3536</v>
      </c>
      <c r="H5354" t="s">
        <v>3546</v>
      </c>
      <c r="I5354">
        <v>-41.118099999999998</v>
      </c>
      <c r="J5354">
        <v>146.99799999999999</v>
      </c>
      <c r="K5354" t="str">
        <f>HYPERLINK("http://www.mrt.tas.gov.au/NVCLDataServices/mosaic.html?datasetid=9c2256f5-5be8-4a3b-9ebf-36628beffe2","19584_L3_Lefroy_Core Image")</f>
        <v>19584_L3_Lefroy_Core Image</v>
      </c>
    </row>
    <row r="5355" spans="1:11" x14ac:dyDescent="0.25">
      <c r="A5355" t="str">
        <f>HYPERLINK("http://www.corstruth.com.au/Tas/19585_L4_Lefroy_cs.png","19585_L4_Lefroy_A4")</f>
        <v>19585_L4_Lefroy_A4</v>
      </c>
      <c r="D5355">
        <v>19585</v>
      </c>
      <c r="E5355" t="s">
        <v>3422</v>
      </c>
      <c r="F5355" t="str">
        <f>HYPERLINK("http://www.mrt.tas.gov.au/webdoc2/app/default/drilling_detail?id=19585","Geol Survey Link")</f>
        <v>Geol Survey Link</v>
      </c>
      <c r="G5355" t="s">
        <v>3536</v>
      </c>
      <c r="H5355" t="s">
        <v>3546</v>
      </c>
      <c r="I5355">
        <v>-41.118600000000001</v>
      </c>
      <c r="J5355">
        <v>146.99700000000001</v>
      </c>
      <c r="K5355" t="str">
        <f>HYPERLINK("http://www.mrt.tas.gov.au/NVCLDataServices/mosaic.html?datasetid=3f4efaba-4ea7-42c6-a716-574d12277c9","19585_L4_Lefroy_Core Image")</f>
        <v>19585_L4_Lefroy_Core Image</v>
      </c>
    </row>
    <row r="5356" spans="1:11" x14ac:dyDescent="0.25">
      <c r="A5356" t="str">
        <f>HYPERLINK("http://www.corstruth.com.au/Tas/19586_L4A_Lefroy_cs.png","19586_L4A_Lefroy_A4")</f>
        <v>19586_L4A_Lefroy_A4</v>
      </c>
      <c r="B5356" t="str">
        <f>HYPERLINK("http://www.corstruth.com.au/Tas/PNG2/19586_L4A_Lefroy_cs.png","19586_L4A_Lefroy_0.25m Bins")</f>
        <v>19586_L4A_Lefroy_0.25m Bins</v>
      </c>
      <c r="C5356" t="str">
        <f>HYPERLINK("http://www.corstruth.com.au/Tas/CSV/19586_L4A_Lefroy.csv","19586_L4A_Lefroy_CSV File 1m Bins")</f>
        <v>19586_L4A_Lefroy_CSV File 1m Bins</v>
      </c>
      <c r="D5356">
        <v>19586</v>
      </c>
      <c r="E5356" t="s">
        <v>3422</v>
      </c>
      <c r="F5356" t="str">
        <f>HYPERLINK("http://www.mrt.tas.gov.au/webdoc2/app/default/drilling_detail?id=19586","Geol Survey Link")</f>
        <v>Geol Survey Link</v>
      </c>
      <c r="G5356" t="s">
        <v>3536</v>
      </c>
      <c r="H5356" t="s">
        <v>3546</v>
      </c>
      <c r="I5356">
        <v>-41.116999999999997</v>
      </c>
      <c r="J5356">
        <v>146.99799999999999</v>
      </c>
      <c r="K5356" t="str">
        <f>HYPERLINK("http://www.mrt.tas.gov.au/NVCLDataServices/mosaic.html?datasetid=d39b6e4b-3764-482d-9404-06d7809af78","19586_L4A_Lefroy_Core Image")</f>
        <v>19586_L4A_Lefroy_Core Image</v>
      </c>
    </row>
    <row r="5357" spans="1:11" x14ac:dyDescent="0.25">
      <c r="A5357" t="str">
        <f>HYPERLINK("http://www.corstruth.com.au/Tas/23557_GCD001_Lisle_cs.png","23557_GCD001_Lisle_A4")</f>
        <v>23557_GCD001_Lisle_A4</v>
      </c>
      <c r="D5357">
        <v>23557</v>
      </c>
      <c r="E5357" t="s">
        <v>3422</v>
      </c>
      <c r="F5357" t="str">
        <f>HYPERLINK("http://www.mrt.tas.gov.au/webdoc2/app/default/drilling_detail?id=23557","Geol Survey Link")</f>
        <v>Geol Survey Link</v>
      </c>
      <c r="G5357" t="s">
        <v>3536</v>
      </c>
      <c r="H5357" t="s">
        <v>3547</v>
      </c>
      <c r="I5357">
        <v>-41.174799999999998</v>
      </c>
      <c r="J5357">
        <v>147.30500000000001</v>
      </c>
      <c r="K5357" t="str">
        <f>HYPERLINK("http://www.mrt.tas.gov.au/NVCLDataServices/mosaic.html?datasetid=ce8f2edf-10be-41c5-8cc6-f533ea984d2","23557_GCD001_Lisle_Core Image")</f>
        <v>23557_GCD001_Lisle_Core Image</v>
      </c>
    </row>
    <row r="5358" spans="1:11" x14ac:dyDescent="0.25">
      <c r="A5358" t="str">
        <f>HYPERLINK("http://www.corstruth.com.au/Tas/23558_GCD002_Lisle_cs.png","23558_GCD002_Lisle_A4")</f>
        <v>23558_GCD002_Lisle_A4</v>
      </c>
      <c r="D5358">
        <v>23558</v>
      </c>
      <c r="E5358" t="s">
        <v>3422</v>
      </c>
      <c r="F5358" t="str">
        <f>HYPERLINK("http://www.mrt.tas.gov.au/webdoc2/app/default/drilling_detail?id=23558","Geol Survey Link")</f>
        <v>Geol Survey Link</v>
      </c>
      <c r="G5358" t="s">
        <v>3536</v>
      </c>
      <c r="H5358" t="s">
        <v>3547</v>
      </c>
      <c r="I5358">
        <v>-41.174300000000002</v>
      </c>
      <c r="J5358">
        <v>147.30799999999999</v>
      </c>
      <c r="K5358" t="str">
        <f>HYPERLINK("http://www.mrt.tas.gov.au/NVCLDataServices/mosaic.html?datasetid=aa7231b3-2e51-4ea3-98d0-9779781df1d","23558_GCD002_Lisle_Core Image")</f>
        <v>23558_GCD002_Lisle_Core Image</v>
      </c>
    </row>
    <row r="5359" spans="1:11" x14ac:dyDescent="0.25">
      <c r="A5359" t="str">
        <f>HYPERLINK("http://www.corstruth.com.au/Tas/23559_GCD003_Lisle_cs.png","23559_GCD003_Lisle_A4")</f>
        <v>23559_GCD003_Lisle_A4</v>
      </c>
      <c r="D5359">
        <v>23559</v>
      </c>
      <c r="E5359" t="s">
        <v>3422</v>
      </c>
      <c r="F5359" t="str">
        <f>HYPERLINK("http://www.mrt.tas.gov.au/webdoc2/app/default/drilling_detail?id=23559","Geol Survey Link")</f>
        <v>Geol Survey Link</v>
      </c>
      <c r="G5359" t="s">
        <v>3536</v>
      </c>
      <c r="H5359" t="s">
        <v>3547</v>
      </c>
      <c r="I5359">
        <v>-41.176299999999998</v>
      </c>
      <c r="J5359">
        <v>147.30699999999999</v>
      </c>
      <c r="K5359" t="str">
        <f>HYPERLINK("http://www.mrt.tas.gov.au/NVCLDataServices/mosaic.html?datasetid=1c39136d-97ec-4c85-b2e6-7e8f8a6758a","23559_GCD003_Lisle_Core Image")</f>
        <v>23559_GCD003_Lisle_Core Image</v>
      </c>
    </row>
    <row r="5360" spans="1:11" x14ac:dyDescent="0.25">
      <c r="A5360" t="str">
        <f>HYPERLINK("http://www.corstruth.com.au/Tas/23560_GCD004_Lisle_cs.png","23560_GCD004_Lisle_A4")</f>
        <v>23560_GCD004_Lisle_A4</v>
      </c>
      <c r="D5360">
        <v>23560</v>
      </c>
      <c r="E5360" t="s">
        <v>3422</v>
      </c>
      <c r="F5360" t="str">
        <f>HYPERLINK("http://www.mrt.tas.gov.au/webdoc2/app/default/drilling_detail?id=23560","Geol Survey Link")</f>
        <v>Geol Survey Link</v>
      </c>
      <c r="G5360" t="s">
        <v>3536</v>
      </c>
      <c r="H5360" t="s">
        <v>3547</v>
      </c>
      <c r="I5360">
        <v>-41.173999999999999</v>
      </c>
      <c r="J5360">
        <v>147.309</v>
      </c>
      <c r="K5360" t="str">
        <f>HYPERLINK("http://www.mrt.tas.gov.au/NVCLDataServices/mosaic.html?datasetid=0ee4b260-5091-4f0d-927d-7038ad791ea","23560_GCD004_Lisle_Core Image")</f>
        <v>23560_GCD004_Lisle_Core Image</v>
      </c>
    </row>
    <row r="5361" spans="1:11" x14ac:dyDescent="0.25">
      <c r="A5361" t="str">
        <f>HYPERLINK("http://www.corstruth.com.au/Tas/22280_PVD_001_Lisle_cs.png","22280_PVD_001_Lisle_A4")</f>
        <v>22280_PVD_001_Lisle_A4</v>
      </c>
      <c r="D5361">
        <v>22280</v>
      </c>
      <c r="E5361" t="s">
        <v>3422</v>
      </c>
      <c r="F5361" t="str">
        <f>HYPERLINK("http://www.mrt.tas.gov.au/webdoc2/app/default/drilling_detail?id=22280","Geol Survey Link")</f>
        <v>Geol Survey Link</v>
      </c>
      <c r="G5361" t="s">
        <v>3536</v>
      </c>
      <c r="H5361" t="s">
        <v>3548</v>
      </c>
      <c r="I5361">
        <v>-41.183</v>
      </c>
      <c r="J5361">
        <v>147.285</v>
      </c>
      <c r="K5361" t="str">
        <f>HYPERLINK("http://www.mrt.tas.gov.au/NVCLDataServices/mosaic.html?datasetid=e29cbf10-7349-40f7-8b71-0d0b38c8216","22280_PVD_001_Lisle_Core Image")</f>
        <v>22280_PVD_001_Lisle_Core Image</v>
      </c>
    </row>
    <row r="5362" spans="1:11" x14ac:dyDescent="0.25">
      <c r="A5362" t="str">
        <f>HYPERLINK("http://www.corstruth.com.au/Tas/22281_PVD_002_Lisle_cs.png","22281_PVD_002_Lisle_A4")</f>
        <v>22281_PVD_002_Lisle_A4</v>
      </c>
      <c r="D5362">
        <v>22281</v>
      </c>
      <c r="E5362" t="s">
        <v>3422</v>
      </c>
      <c r="F5362" t="str">
        <f>HYPERLINK("http://www.mrt.tas.gov.au/webdoc2/app/default/drilling_detail?id=22281","Geol Survey Link")</f>
        <v>Geol Survey Link</v>
      </c>
      <c r="G5362" t="s">
        <v>3536</v>
      </c>
      <c r="H5362" t="s">
        <v>3548</v>
      </c>
      <c r="I5362">
        <v>-41.182600000000001</v>
      </c>
      <c r="J5362">
        <v>147.285</v>
      </c>
    </row>
    <row r="5363" spans="1:11" x14ac:dyDescent="0.25">
      <c r="A5363" t="str">
        <f>HYPERLINK("http://www.corstruth.com.au/Tas/23477_PVD003_Lisle_cs.png","23477_PVD003_Lisle_A4")</f>
        <v>23477_PVD003_Lisle_A4</v>
      </c>
      <c r="D5363">
        <v>23477</v>
      </c>
      <c r="E5363" t="s">
        <v>3422</v>
      </c>
      <c r="F5363" t="str">
        <f>HYPERLINK("http://www.mrt.tas.gov.au/webdoc2/app/default/drilling_detail?id=23477","Geol Survey Link")</f>
        <v>Geol Survey Link</v>
      </c>
      <c r="G5363" t="s">
        <v>3536</v>
      </c>
      <c r="H5363" t="s">
        <v>3548</v>
      </c>
      <c r="I5363">
        <v>-41.183</v>
      </c>
      <c r="J5363">
        <v>147.285</v>
      </c>
      <c r="K5363" t="str">
        <f>HYPERLINK("http://www.mrt.tas.gov.au/NVCLDataServices/mosaic.html?datasetid=ed201276-02a3-4d6e-88d4-25aa78bac57","23477_PVD003_Lisle_Core Image")</f>
        <v>23477_PVD003_Lisle_Core Image</v>
      </c>
    </row>
    <row r="5364" spans="1:11" x14ac:dyDescent="0.25">
      <c r="A5364" t="str">
        <f>HYPERLINK("http://www.corstruth.com.au/Tas/23478_PVD004_Lisle_cs.png","23478_PVD004_Lisle_A4")</f>
        <v>23478_PVD004_Lisle_A4</v>
      </c>
      <c r="D5364">
        <v>23478</v>
      </c>
      <c r="E5364" t="s">
        <v>3422</v>
      </c>
      <c r="F5364" t="str">
        <f>HYPERLINK("http://www.mrt.tas.gov.au/webdoc2/app/default/drilling_detail?id=23478","Geol Survey Link")</f>
        <v>Geol Survey Link</v>
      </c>
      <c r="G5364" t="s">
        <v>3536</v>
      </c>
      <c r="H5364" t="s">
        <v>3548</v>
      </c>
      <c r="I5364">
        <v>-41.183</v>
      </c>
      <c r="J5364">
        <v>147.285</v>
      </c>
      <c r="K5364" t="str">
        <f>HYPERLINK("http://www.mrt.tas.gov.au/NVCLDataServices/mosaic.html?datasetid=c72bf478-7c64-420b-b35f-77ce8d7e5e2","23478_PVD004_Lisle_Core Image")</f>
        <v>23478_PVD004_Lisle_Core Image</v>
      </c>
    </row>
    <row r="5365" spans="1:11" x14ac:dyDescent="0.25">
      <c r="A5365" t="str">
        <f>HYPERLINK("http://www.corstruth.com.au/Tas/23561_PD001_Lisle_cs.png","23561_PD001_Lisle_A4")</f>
        <v>23561_PD001_Lisle_A4</v>
      </c>
      <c r="D5365">
        <v>23561</v>
      </c>
      <c r="E5365" t="s">
        <v>3422</v>
      </c>
      <c r="F5365" t="str">
        <f>HYPERLINK("http://www.mrt.tas.gov.au/webdoc2/app/default/drilling_detail?id=23561","Geol Survey Link")</f>
        <v>Geol Survey Link</v>
      </c>
      <c r="G5365" t="s">
        <v>3536</v>
      </c>
      <c r="H5365" t="s">
        <v>3549</v>
      </c>
      <c r="I5365">
        <v>-41.172800000000002</v>
      </c>
      <c r="J5365">
        <v>147.29499999999999</v>
      </c>
      <c r="K5365" t="str">
        <f>HYPERLINK("http://www.mrt.tas.gov.au/NVCLDataServices/mosaic.html?datasetid=45e49622-2ca2-43ff-8378-a756fba9438","23561_PD001_Lisle_Core Image")</f>
        <v>23561_PD001_Lisle_Core Image</v>
      </c>
    </row>
    <row r="5366" spans="1:11" x14ac:dyDescent="0.25">
      <c r="A5366" t="str">
        <f>HYPERLINK("http://www.corstruth.com.au/Tas/23562_PD002_Lisle_cs.png","23562_PD002_Lisle_A4")</f>
        <v>23562_PD002_Lisle_A4</v>
      </c>
      <c r="D5366">
        <v>23562</v>
      </c>
      <c r="E5366" t="s">
        <v>3422</v>
      </c>
      <c r="F5366" t="str">
        <f>HYPERLINK("http://www.mrt.tas.gov.au/webdoc2/app/default/drilling_detail?id=23562","Geol Survey Link")</f>
        <v>Geol Survey Link</v>
      </c>
      <c r="G5366" t="s">
        <v>3536</v>
      </c>
      <c r="H5366" t="s">
        <v>3549</v>
      </c>
      <c r="I5366">
        <v>-41.172800000000002</v>
      </c>
      <c r="J5366">
        <v>147.29599999999999</v>
      </c>
      <c r="K5366" t="str">
        <f>HYPERLINK("http://www.mrt.tas.gov.au/NVCLDataServices/mosaic.html?datasetid=eccd892e-7182-4588-a2cc-7b3e4335cf2","23562_PD002_Lisle_Core Image")</f>
        <v>23562_PD002_Lisle_Core Image</v>
      </c>
    </row>
    <row r="5367" spans="1:11" x14ac:dyDescent="0.25">
      <c r="A5367" t="str">
        <f>HYPERLINK("http://www.corstruth.com.au/Tas/23563_PD003_Lisle_cs.png","23563_PD003_Lisle_A4")</f>
        <v>23563_PD003_Lisle_A4</v>
      </c>
      <c r="D5367">
        <v>23563</v>
      </c>
      <c r="E5367" t="s">
        <v>3422</v>
      </c>
      <c r="F5367" t="str">
        <f>HYPERLINK("http://www.mrt.tas.gov.au/webdoc2/app/default/drilling_detail?id=23563","Geol Survey Link")</f>
        <v>Geol Survey Link</v>
      </c>
      <c r="G5367" t="s">
        <v>3536</v>
      </c>
      <c r="H5367" t="s">
        <v>3549</v>
      </c>
      <c r="I5367">
        <v>-41.173200000000001</v>
      </c>
      <c r="J5367">
        <v>147.29400000000001</v>
      </c>
      <c r="K5367" t="str">
        <f>HYPERLINK("http://www.mrt.tas.gov.au/NVCLDataServices/mosaic.html?datasetid=c518d47c-dbd0-4be9-9fcb-b1231d48a7c","23563_PD003_Lisle_Core Image")</f>
        <v>23563_PD003_Lisle_Core Image</v>
      </c>
    </row>
    <row r="5368" spans="1:11" x14ac:dyDescent="0.25">
      <c r="A5368" t="str">
        <f>HYPERLINK("http://www.corstruth.com.au/Tas/18988_LSD_1_Lisle_cs.png","18988_LSD_1_Lisle_A4")</f>
        <v>18988_LSD_1_Lisle_A4</v>
      </c>
      <c r="D5368">
        <v>18988</v>
      </c>
      <c r="E5368" t="s">
        <v>3422</v>
      </c>
      <c r="F5368" t="str">
        <f>HYPERLINK("http://www.mrt.tas.gov.au/webdoc2/app/default/drilling_detail?id=18988","Geol Survey Link")</f>
        <v>Geol Survey Link</v>
      </c>
      <c r="G5368" t="s">
        <v>3536</v>
      </c>
      <c r="H5368" t="s">
        <v>3550</v>
      </c>
      <c r="I5368">
        <v>-41.181399999999996</v>
      </c>
      <c r="J5368">
        <v>147.31</v>
      </c>
      <c r="K5368" t="str">
        <f>HYPERLINK("http://www.mrt.tas.gov.au/NVCLDataServices/mosaic.html?datasetid=0948747f-e47f-47ee-9e0e-bc8f102d4de","18988_LSD_1_Lisle_Core Image")</f>
        <v>18988_LSD_1_Lisle_Core Image</v>
      </c>
    </row>
    <row r="5369" spans="1:11" x14ac:dyDescent="0.25">
      <c r="A5369" t="str">
        <f>HYPERLINK("http://www.corstruth.com.au/Tas/18989_LSD_2_Lisle_cs.png","18989_LSD_2_Lisle_A4")</f>
        <v>18989_LSD_2_Lisle_A4</v>
      </c>
      <c r="D5369">
        <v>18989</v>
      </c>
      <c r="E5369" t="s">
        <v>3422</v>
      </c>
      <c r="F5369" t="str">
        <f>HYPERLINK("http://www.mrt.tas.gov.au/webdoc2/app/default/drilling_detail?id=18989","Geol Survey Link")</f>
        <v>Geol Survey Link</v>
      </c>
      <c r="G5369" t="s">
        <v>3536</v>
      </c>
      <c r="H5369" t="s">
        <v>3550</v>
      </c>
      <c r="I5369">
        <v>-41.1813</v>
      </c>
      <c r="J5369">
        <v>147.31</v>
      </c>
      <c r="K5369" t="str">
        <f>HYPERLINK("http://www.mrt.tas.gov.au/NVCLDataServices/mosaic.html?datasetid=9bcb772a-0675-4e8b-bb28-9672e7ed987","18989_LSD_2_Lisle_Core Image")</f>
        <v>18989_LSD_2_Lisle_Core Image</v>
      </c>
    </row>
    <row r="5370" spans="1:11" x14ac:dyDescent="0.25">
      <c r="A5370" t="str">
        <f>HYPERLINK("http://www.corstruth.com.au/Tas/18990_LSD_3_Lisle_cs.png","18990_LSD_3_Lisle_A4")</f>
        <v>18990_LSD_3_Lisle_A4</v>
      </c>
      <c r="D5370">
        <v>18990</v>
      </c>
      <c r="E5370" t="s">
        <v>3422</v>
      </c>
      <c r="F5370" t="str">
        <f>HYPERLINK("http://www.mrt.tas.gov.au/webdoc2/app/default/drilling_detail?id=18990","Geol Survey Link")</f>
        <v>Geol Survey Link</v>
      </c>
      <c r="G5370" t="s">
        <v>3536</v>
      </c>
      <c r="H5370" t="s">
        <v>3550</v>
      </c>
      <c r="I5370">
        <v>-41.181199999999997</v>
      </c>
      <c r="J5370">
        <v>147.31</v>
      </c>
      <c r="K5370" t="str">
        <f>HYPERLINK("http://www.mrt.tas.gov.au/NVCLDataServices/mosaic.html?datasetid=21ed9ac8-cca4-415a-94d8-559f6e684ce","18990_LSD_3_Lisle_Core Image")</f>
        <v>18990_LSD_3_Lisle_Core Image</v>
      </c>
    </row>
    <row r="5371" spans="1:11" x14ac:dyDescent="0.25">
      <c r="A5371" t="str">
        <f>HYPERLINK("http://www.corstruth.com.au/Tas/18991_LSD_4_Lisle_cs.png","18991_LSD_4_Lisle_A4")</f>
        <v>18991_LSD_4_Lisle_A4</v>
      </c>
      <c r="D5371">
        <v>18991</v>
      </c>
      <c r="E5371" t="s">
        <v>3422</v>
      </c>
      <c r="F5371" t="str">
        <f>HYPERLINK("http://www.mrt.tas.gov.au/webdoc2/app/default/drilling_detail?id=18991","Geol Survey Link")</f>
        <v>Geol Survey Link</v>
      </c>
      <c r="G5371" t="s">
        <v>3536</v>
      </c>
      <c r="H5371" t="s">
        <v>3551</v>
      </c>
      <c r="I5371">
        <v>-41.174399999999999</v>
      </c>
      <c r="J5371">
        <v>147.309</v>
      </c>
      <c r="K5371" t="str">
        <f>HYPERLINK("http://www.mrt.tas.gov.au/NVCLDataServices/mosaic.html?datasetid=b9d46fd9-69c1-4f88-9246-0fd9bda305a","18991_LSD_4_Lisle_Core Image")</f>
        <v>18991_LSD_4_Lisle_Core Image</v>
      </c>
    </row>
    <row r="5372" spans="1:11" x14ac:dyDescent="0.25">
      <c r="A5372" t="str">
        <f>HYPERLINK("http://www.corstruth.com.au/Tas/88797_MDD002_cs.png","88797_MDD002_A4")</f>
        <v>88797_MDD002_A4</v>
      </c>
      <c r="B5372" t="str">
        <f>HYPERLINK("http://www.corstruth.com.au/Tas/PNG2/88797_MDD002_cs.png","88797_MDD002_0.25m Bins")</f>
        <v>88797_MDD002_0.25m Bins</v>
      </c>
      <c r="C5372" t="str">
        <f>HYPERLINK("http://www.corstruth.com.au/Tas/CSV/88797_MDD002.csv","88797_MDD002_CSV File 1m Bins")</f>
        <v>88797_MDD002_CSV File 1m Bins</v>
      </c>
      <c r="D5372">
        <v>88797</v>
      </c>
      <c r="E5372" t="s">
        <v>3422</v>
      </c>
      <c r="F5372" t="str">
        <f>HYPERLINK("http://www.mrt.tas.gov.au/webdoc2/app/default/drilling_detail?id=88797","Geol Survey Link")</f>
        <v>Geol Survey Link</v>
      </c>
      <c r="G5372" t="s">
        <v>3536</v>
      </c>
      <c r="H5372" t="s">
        <v>3552</v>
      </c>
      <c r="I5372">
        <v>-41.485799999999998</v>
      </c>
      <c r="J5372">
        <v>147.89500000000001</v>
      </c>
    </row>
    <row r="5373" spans="1:11" x14ac:dyDescent="0.25">
      <c r="A5373" t="str">
        <f>HYPERLINK("http://www.corstruth.com.au/Tas/88798_MDD003_Mathinna_cs.png","88798_MDD003_Mathinna_A4")</f>
        <v>88798_MDD003_Mathinna_A4</v>
      </c>
      <c r="B5373" t="str">
        <f>HYPERLINK("http://www.corstruth.com.au/Tas/PNG2/88798_MDD003_Mathinna_cs.png","88798_MDD003_Mathinna_0.25m Bins")</f>
        <v>88798_MDD003_Mathinna_0.25m Bins</v>
      </c>
      <c r="C5373" t="str">
        <f>HYPERLINK("http://www.corstruth.com.au/Tas/CSV/88798_MDD003_Mathinna.csv","88798_MDD003_Mathinna_CSV File 1m Bins")</f>
        <v>88798_MDD003_Mathinna_CSV File 1m Bins</v>
      </c>
      <c r="D5373">
        <v>88798</v>
      </c>
      <c r="E5373" t="s">
        <v>3422</v>
      </c>
      <c r="F5373" t="str">
        <f>HYPERLINK("http://www.mrt.tas.gov.au/webdoc2/app/default/drilling_detail?id=88798","Geol Survey Link")</f>
        <v>Geol Survey Link</v>
      </c>
      <c r="G5373" t="s">
        <v>3536</v>
      </c>
      <c r="H5373" t="s">
        <v>3552</v>
      </c>
      <c r="I5373">
        <v>-41.4863</v>
      </c>
      <c r="J5373">
        <v>147.89500000000001</v>
      </c>
    </row>
    <row r="5374" spans="1:11" x14ac:dyDescent="0.25">
      <c r="A5374" t="str">
        <f>HYPERLINK("http://www.corstruth.com.au/Tas/88800_MDD005_Mathinna_cs.png","88800_MDD005_Mathinna_A4")</f>
        <v>88800_MDD005_Mathinna_A4</v>
      </c>
      <c r="B5374" t="str">
        <f>HYPERLINK("http://www.corstruth.com.au/Tas/PNG2/88800_MDD005_Mathinna_cs.png","88800_MDD005_Mathinna_0.25m Bins")</f>
        <v>88800_MDD005_Mathinna_0.25m Bins</v>
      </c>
      <c r="C5374" t="str">
        <f>HYPERLINK("http://www.corstruth.com.au/Tas/CSV/88800_MDD005_Mathinna.csv","88800_MDD005_Mathinna_CSV File 1m Bins")</f>
        <v>88800_MDD005_Mathinna_CSV File 1m Bins</v>
      </c>
      <c r="D5374">
        <v>88800</v>
      </c>
      <c r="E5374" t="s">
        <v>3422</v>
      </c>
      <c r="F5374" t="str">
        <f>HYPERLINK("http://www.mrt.tas.gov.au/webdoc2/app/default/drilling_detail?id=88800","Geol Survey Link")</f>
        <v>Geol Survey Link</v>
      </c>
      <c r="G5374" t="s">
        <v>3536</v>
      </c>
      <c r="H5374" t="s">
        <v>3552</v>
      </c>
      <c r="I5374">
        <v>-41.484699999999997</v>
      </c>
      <c r="J5374">
        <v>147.89500000000001</v>
      </c>
    </row>
    <row r="5375" spans="1:11" x14ac:dyDescent="0.25">
      <c r="A5375" t="str">
        <f>HYPERLINK("http://www.corstruth.com.au/Tas/88801_MDD006_Mathinna_cs.png","88801_MDD006_Mathinna_A4")</f>
        <v>88801_MDD006_Mathinna_A4</v>
      </c>
      <c r="B5375" t="str">
        <f>HYPERLINK("http://www.corstruth.com.au/Tas/PNG2/88801_MDD006_Mathinna_cs.png","88801_MDD006_Mathinna_0.25m Bins")</f>
        <v>88801_MDD006_Mathinna_0.25m Bins</v>
      </c>
      <c r="C5375" t="str">
        <f>HYPERLINK("http://www.corstruth.com.au/Tas/CSV/88801_MDD006_Mathinna.csv","88801_MDD006_Mathinna_CSV File 1m Bins")</f>
        <v>88801_MDD006_Mathinna_CSV File 1m Bins</v>
      </c>
      <c r="D5375">
        <v>88801</v>
      </c>
      <c r="E5375" t="s">
        <v>3422</v>
      </c>
      <c r="F5375" t="str">
        <f>HYPERLINK("http://www.mrt.tas.gov.au/webdoc2/app/default/drilling_detail?id=88801","Geol Survey Link")</f>
        <v>Geol Survey Link</v>
      </c>
      <c r="G5375" t="s">
        <v>3536</v>
      </c>
      <c r="H5375" t="s">
        <v>3552</v>
      </c>
      <c r="I5375">
        <v>-41.488599999999998</v>
      </c>
      <c r="J5375">
        <v>147.89599999999999</v>
      </c>
    </row>
    <row r="5376" spans="1:11" x14ac:dyDescent="0.25">
      <c r="A5376" t="str">
        <f>HYPERLINK("http://www.corstruth.com.au/Tas/88802_MDD007_Mathinna_cs.png","88802_MDD007_Mathinna_A4")</f>
        <v>88802_MDD007_Mathinna_A4</v>
      </c>
      <c r="B5376" t="str">
        <f>HYPERLINK("http://www.corstruth.com.au/Tas/PNG2/88802_MDD007_Mathinna_cs.png","88802_MDD007_Mathinna_0.25m Bins")</f>
        <v>88802_MDD007_Mathinna_0.25m Bins</v>
      </c>
      <c r="C5376" t="str">
        <f>HYPERLINK("http://www.corstruth.com.au/Tas/CSV/88802_MDD007_Mathinna.csv","88802_MDD007_Mathinna_CSV File 1m Bins")</f>
        <v>88802_MDD007_Mathinna_CSV File 1m Bins</v>
      </c>
      <c r="D5376">
        <v>88802</v>
      </c>
      <c r="E5376" t="s">
        <v>3422</v>
      </c>
      <c r="F5376" t="str">
        <f>HYPERLINK("http://www.mrt.tas.gov.au/webdoc2/app/default/drilling_detail?id=88802","Geol Survey Link")</f>
        <v>Geol Survey Link</v>
      </c>
      <c r="G5376" t="s">
        <v>3536</v>
      </c>
      <c r="H5376" t="s">
        <v>3552</v>
      </c>
      <c r="I5376">
        <v>-41.488500000000002</v>
      </c>
      <c r="J5376">
        <v>147.89699999999999</v>
      </c>
    </row>
    <row r="5377" spans="1:11" x14ac:dyDescent="0.25">
      <c r="A5377" t="str">
        <f>HYPERLINK("http://www.corstruth.com.au/Tas/88803_MDD008_Mathinna_cs.png","88803_MDD008_Mathinna_A4")</f>
        <v>88803_MDD008_Mathinna_A4</v>
      </c>
      <c r="B5377" t="str">
        <f>HYPERLINK("http://www.corstruth.com.au/Tas/PNG2/88803_MDD008_Mathinna_cs.png","88803_MDD008_Mathinna_0.25m Bins")</f>
        <v>88803_MDD008_Mathinna_0.25m Bins</v>
      </c>
      <c r="C5377" t="str">
        <f>HYPERLINK("http://www.corstruth.com.au/Tas/CSV/88803_MDD008_Mathinna.csv","88803_MDD008_Mathinna_CSV File 1m Bins")</f>
        <v>88803_MDD008_Mathinna_CSV File 1m Bins</v>
      </c>
      <c r="D5377">
        <v>88803</v>
      </c>
      <c r="E5377" t="s">
        <v>3422</v>
      </c>
      <c r="F5377" t="str">
        <f>HYPERLINK("http://www.mrt.tas.gov.au/webdoc2/app/default/drilling_detail?id=88803","Geol Survey Link")</f>
        <v>Geol Survey Link</v>
      </c>
      <c r="G5377" t="s">
        <v>3536</v>
      </c>
      <c r="H5377" t="s">
        <v>3552</v>
      </c>
      <c r="I5377">
        <v>-41.488399999999999</v>
      </c>
      <c r="J5377">
        <v>147.898</v>
      </c>
    </row>
    <row r="5378" spans="1:11" x14ac:dyDescent="0.25">
      <c r="A5378" t="str">
        <f>HYPERLINK("http://www.corstruth.com.au/Tas/2030_GG1_Mathinna_cs.png","2030_GG1_Mathinna_A4")</f>
        <v>2030_GG1_Mathinna_A4</v>
      </c>
      <c r="D5378">
        <v>2030</v>
      </c>
      <c r="E5378" t="s">
        <v>3422</v>
      </c>
      <c r="F5378" t="str">
        <f>HYPERLINK("http://www.mrt.tas.gov.au/webdoc2/app/default/drilling_detail?id=2030","Geol Survey Link")</f>
        <v>Geol Survey Link</v>
      </c>
      <c r="G5378" t="s">
        <v>3536</v>
      </c>
      <c r="H5378" t="s">
        <v>3553</v>
      </c>
      <c r="I5378">
        <v>-41.491399999999999</v>
      </c>
      <c r="J5378">
        <v>147.89500000000001</v>
      </c>
    </row>
    <row r="5379" spans="1:11" x14ac:dyDescent="0.25">
      <c r="A5379" t="str">
        <f>HYPERLINK("http://www.corstruth.com.au/Tas/5317_GG2_Mathinna_cs.png","5317_GG2_Mathinna_A4")</f>
        <v>5317_GG2_Mathinna_A4</v>
      </c>
      <c r="D5379">
        <v>5317</v>
      </c>
      <c r="E5379" t="s">
        <v>3422</v>
      </c>
      <c r="F5379" t="str">
        <f>HYPERLINK("http://www.mrt.tas.gov.au/webdoc2/app/default/drilling_detail?id=5317","Geol Survey Link")</f>
        <v>Geol Survey Link</v>
      </c>
      <c r="G5379" t="s">
        <v>3536</v>
      </c>
      <c r="H5379" t="s">
        <v>3553</v>
      </c>
      <c r="I5379">
        <v>-41.491599999999998</v>
      </c>
      <c r="J5379">
        <v>147.89500000000001</v>
      </c>
      <c r="K5379" t="str">
        <f>HYPERLINK("http://www.mrt.tas.gov.au/NVCLDataServices/mosaic.html?datasetid=90d7b74a-9426-4bfa-b441-de6efe967b0","5317_GG2_Mathinna_Core Image")</f>
        <v>5317_GG2_Mathinna_Core Image</v>
      </c>
    </row>
    <row r="5380" spans="1:11" x14ac:dyDescent="0.25">
      <c r="A5380" t="str">
        <f>HYPERLINK("http://www.corstruth.com.au/Tas/5318_GG3_Mathinna_cs.png","5318_GG3_Mathinna_A4")</f>
        <v>5318_GG3_Mathinna_A4</v>
      </c>
      <c r="D5380">
        <v>5318</v>
      </c>
      <c r="E5380" t="s">
        <v>3422</v>
      </c>
      <c r="F5380" t="str">
        <f>HYPERLINK("http://www.mrt.tas.gov.au/webdoc2/app/default/drilling_detail?id=5318","Geol Survey Link")</f>
        <v>Geol Survey Link</v>
      </c>
      <c r="G5380" t="s">
        <v>3536</v>
      </c>
      <c r="H5380" t="s">
        <v>3553</v>
      </c>
      <c r="I5380">
        <v>-41.488799999999998</v>
      </c>
      <c r="J5380">
        <v>147.88999999999999</v>
      </c>
      <c r="K5380" t="str">
        <f>HYPERLINK("http://www.mrt.tas.gov.au/NVCLDataServices/mosaic.html?datasetid=0237c295-6aea-4f26-bdaa-df60e4f7d98","5318_GG3_Mathinna_Core Image")</f>
        <v>5318_GG3_Mathinna_Core Image</v>
      </c>
    </row>
    <row r="5381" spans="1:11" x14ac:dyDescent="0.25">
      <c r="A5381" t="str">
        <f>HYPERLINK("http://www.corstruth.com.au/Tas/16119_GS_1_Dans_Rivulet_cs.png","16119_GS_1_Dans_Rivulet_A4")</f>
        <v>16119_GS_1_Dans_Rivulet_A4</v>
      </c>
      <c r="D5381">
        <v>16119</v>
      </c>
      <c r="E5381" t="s">
        <v>3422</v>
      </c>
      <c r="F5381" t="str">
        <f>HYPERLINK("http://www.mrt.tas.gov.au/webdoc2/app/default/drilling_detail?id=16119","Geol Survey Link")</f>
        <v>Geol Survey Link</v>
      </c>
      <c r="G5381" t="s">
        <v>3536</v>
      </c>
      <c r="H5381" t="s">
        <v>3554</v>
      </c>
      <c r="I5381">
        <v>-41.3904</v>
      </c>
      <c r="J5381">
        <v>147.833</v>
      </c>
      <c r="K5381" t="str">
        <f>HYPERLINK("http://www.mrt.tas.gov.au/NVCLDataServices/mosaic.html?datasetid=279e88b1-9973-4249-ab92-81088128b08","16119_GS_1_Dans_Rivulet_Core Image")</f>
        <v>16119_GS_1_Dans_Rivulet_Core Image</v>
      </c>
    </row>
    <row r="5382" spans="1:11" x14ac:dyDescent="0.25">
      <c r="A5382" t="str">
        <f>HYPERLINK("http://www.corstruth.com.au/Tas/16120_GS_2_Dans_Rivulet_cs.png","16120_GS_2_Dans_Rivulet_A4")</f>
        <v>16120_GS_2_Dans_Rivulet_A4</v>
      </c>
      <c r="D5382">
        <v>16120</v>
      </c>
      <c r="E5382" t="s">
        <v>3422</v>
      </c>
      <c r="F5382" t="str">
        <f>HYPERLINK("http://www.mrt.tas.gov.au/webdoc2/app/default/drilling_detail?id=16120","Geol Survey Link")</f>
        <v>Geol Survey Link</v>
      </c>
      <c r="G5382" t="s">
        <v>3536</v>
      </c>
      <c r="H5382" t="s">
        <v>3554</v>
      </c>
      <c r="I5382">
        <v>-41.3904</v>
      </c>
      <c r="J5382">
        <v>147.833</v>
      </c>
      <c r="K5382" t="str">
        <f>HYPERLINK("http://www.mrt.tas.gov.au/NVCLDataServices/mosaic.html?datasetid=12e454fc-eb76-47ec-96e1-3741ff6c375","16120_GS_2_Dans_Rivulet_Core Image")</f>
        <v>16120_GS_2_Dans_Rivulet_Core Image</v>
      </c>
    </row>
    <row r="5383" spans="1:11" x14ac:dyDescent="0.25">
      <c r="A5383" t="str">
        <f>HYPERLINK("http://www.corstruth.com.au/Tas/16122_GS_3_Dans_Rivulet_cs.png","16122_GS_3_Dans_Rivulet_A4")</f>
        <v>16122_GS_3_Dans_Rivulet_A4</v>
      </c>
      <c r="D5383">
        <v>16122</v>
      </c>
      <c r="E5383" t="s">
        <v>3422</v>
      </c>
      <c r="F5383" t="str">
        <f>HYPERLINK("http://www.mrt.tas.gov.au/webdoc2/app/default/drilling_detail?id=16122","Geol Survey Link")</f>
        <v>Geol Survey Link</v>
      </c>
      <c r="G5383" t="s">
        <v>3536</v>
      </c>
      <c r="H5383" t="s">
        <v>3554</v>
      </c>
      <c r="I5383">
        <v>-41.391300000000001</v>
      </c>
      <c r="J5383">
        <v>147.834</v>
      </c>
      <c r="K5383" t="str">
        <f>HYPERLINK("http://www.mrt.tas.gov.au/NVCLDataServices/mosaic.html?datasetid=34e129bc-90f8-469c-af19-e506d72ff6b","16122_GS_3_Dans_Rivulet_Core Image")</f>
        <v>16122_GS_3_Dans_Rivulet_Core Image</v>
      </c>
    </row>
    <row r="5384" spans="1:11" x14ac:dyDescent="0.25">
      <c r="A5384" t="str">
        <f>HYPERLINK("http://www.corstruth.com.au/Tas/16123_GS4_cs.png","16123_GS4_A4")</f>
        <v>16123_GS4_A4</v>
      </c>
      <c r="B5384" t="str">
        <f>HYPERLINK("http://www.corstruth.com.au/Tas/PNG2/16123_GS4_cs.png","16123_GS4_0.25m Bins")</f>
        <v>16123_GS4_0.25m Bins</v>
      </c>
      <c r="C5384" t="str">
        <f>HYPERLINK("http://www.corstruth.com.au/Tas/CSV/16123_GS4.csv","16123_GS4_CSV File 1m Bins")</f>
        <v>16123_GS4_CSV File 1m Bins</v>
      </c>
      <c r="D5384">
        <v>16123</v>
      </c>
      <c r="E5384" t="s">
        <v>3422</v>
      </c>
      <c r="F5384" t="str">
        <f>HYPERLINK("http://www.mrt.tas.gov.au/webdoc2/app/default/drilling_detail?id=16123","Geol Survey Link")</f>
        <v>Geol Survey Link</v>
      </c>
      <c r="G5384" t="s">
        <v>3536</v>
      </c>
      <c r="H5384" t="s">
        <v>3554</v>
      </c>
      <c r="I5384">
        <v>-41.3887</v>
      </c>
      <c r="J5384">
        <v>147.834</v>
      </c>
      <c r="K5384" t="str">
        <f>HYPERLINK("http://www.mrt.tas.gov.au/NVCLDataServices/mosaic.html?datasetid=a34c9305-f8e9-4a41-99b2-f77484465de","16123_GS4_Core Image")</f>
        <v>16123_GS4_Core Image</v>
      </c>
    </row>
    <row r="5385" spans="1:11" x14ac:dyDescent="0.25">
      <c r="A5385" t="str">
        <f>HYPERLINK("http://www.corstruth.com.au/Tas/16007_GS_5_Dans_Rivulet_cs.png","16007_GS_5_Dans_Rivulet_A4")</f>
        <v>16007_GS_5_Dans_Rivulet_A4</v>
      </c>
      <c r="D5385">
        <v>16007</v>
      </c>
      <c r="E5385" t="s">
        <v>3422</v>
      </c>
      <c r="F5385" t="str">
        <f>HYPERLINK("http://www.mrt.tas.gov.au/webdoc2/app/default/drilling_detail?id=16007","Geol Survey Link")</f>
        <v>Geol Survey Link</v>
      </c>
      <c r="G5385" t="s">
        <v>3536</v>
      </c>
      <c r="H5385" t="s">
        <v>3555</v>
      </c>
      <c r="I5385">
        <v>-41.391199999999998</v>
      </c>
      <c r="J5385">
        <v>147.83099999999999</v>
      </c>
      <c r="K5385" t="str">
        <f>HYPERLINK("http://www.mrt.tas.gov.au/NVCLDataServices/mosaic.html?datasetid=d17bab75-b0b9-41b7-887b-db815cc6b6f","16007_GS_5_Dans_Rivulet_Core Image")</f>
        <v>16007_GS_5_Dans_Rivulet_Core Image</v>
      </c>
    </row>
    <row r="5386" spans="1:11" x14ac:dyDescent="0.25">
      <c r="A5386" t="str">
        <f>HYPERLINK("http://www.corstruth.com.au/Tas/16008_GS_6_Dans_Rivulet_cs.png","16008_GS_6_Dans_Rivulet_A4")</f>
        <v>16008_GS_6_Dans_Rivulet_A4</v>
      </c>
      <c r="D5386">
        <v>16008</v>
      </c>
      <c r="E5386" t="s">
        <v>3422</v>
      </c>
      <c r="F5386" t="str">
        <f>HYPERLINK("http://www.mrt.tas.gov.au/webdoc2/app/default/drilling_detail?id=16008","Geol Survey Link")</f>
        <v>Geol Survey Link</v>
      </c>
      <c r="G5386" t="s">
        <v>3536</v>
      </c>
      <c r="H5386" t="s">
        <v>3555</v>
      </c>
      <c r="I5386">
        <v>-41.390999999999998</v>
      </c>
      <c r="J5386">
        <v>147.83099999999999</v>
      </c>
      <c r="K5386" t="str">
        <f>HYPERLINK("http://www.mrt.tas.gov.au/NVCLDataServices/mosaic.html?datasetid=0e6d3345-49a1-4388-9f62-53000b6d4d5","16008_GS_6_Dans_Rivulet_Core Image")</f>
        <v>16008_GS_6_Dans_Rivulet_Core Image</v>
      </c>
    </row>
    <row r="5387" spans="1:11" x14ac:dyDescent="0.25">
      <c r="A5387" t="str">
        <f>HYPERLINK("http://www.corstruth.com.au/Tas/16009_GS_7_Dans_Rivulet_cs.png","16009_GS_7_Dans_Rivulet_A4")</f>
        <v>16009_GS_7_Dans_Rivulet_A4</v>
      </c>
      <c r="D5387">
        <v>16009</v>
      </c>
      <c r="E5387" t="s">
        <v>3422</v>
      </c>
      <c r="F5387" t="str">
        <f>HYPERLINK("http://www.mrt.tas.gov.au/webdoc2/app/default/drilling_detail?id=16009","Geol Survey Link")</f>
        <v>Geol Survey Link</v>
      </c>
      <c r="G5387" t="s">
        <v>3536</v>
      </c>
      <c r="H5387" t="s">
        <v>3555</v>
      </c>
      <c r="I5387">
        <v>-41.390999999999998</v>
      </c>
      <c r="J5387">
        <v>147.83099999999999</v>
      </c>
      <c r="K5387" t="str">
        <f>HYPERLINK("http://www.mrt.tas.gov.au/NVCLDataServices/mosaic.html?datasetid=38afdab9-96b5-4f79-bbdd-332438f6a66","16009_GS_7_Dans_Rivulet_Core Image")</f>
        <v>16009_GS_7_Dans_Rivulet_Core Image</v>
      </c>
    </row>
    <row r="5388" spans="1:11" x14ac:dyDescent="0.25">
      <c r="A5388" t="str">
        <f>HYPERLINK("http://www.corstruth.com.au/Tas/19672_98ORDD1_Orieco_cs.png","19672_98ORDD1_Orieco_A4")</f>
        <v>19672_98ORDD1_Orieco_A4</v>
      </c>
      <c r="B5388" t="str">
        <f>HYPERLINK("http://www.corstruth.com.au/Tas/PNG2/19672_98ORDD1_Orieco_cs.png","19672_98ORDD1_Orieco_0.25m Bins")</f>
        <v>19672_98ORDD1_Orieco_0.25m Bins</v>
      </c>
      <c r="C5388" t="str">
        <f>HYPERLINK("http://www.corstruth.com.au/Tas/CSV/19672_98ORDD1_Orieco.csv","19672_98ORDD1_Orieco_CSV File 1m Bins")</f>
        <v>19672_98ORDD1_Orieco_CSV File 1m Bins</v>
      </c>
      <c r="D5388">
        <v>19672</v>
      </c>
      <c r="E5388" t="s">
        <v>3422</v>
      </c>
      <c r="F5388" t="str">
        <f>HYPERLINK("http://www.mrt.tas.gov.au/webdoc2/app/default/drilling_detail?id=19672","Geol Survey Link")</f>
        <v>Geol Survey Link</v>
      </c>
      <c r="G5388" t="s">
        <v>3536</v>
      </c>
      <c r="H5388" t="s">
        <v>3556</v>
      </c>
      <c r="I5388">
        <v>-41.420900000000003</v>
      </c>
      <c r="J5388">
        <v>148.21</v>
      </c>
      <c r="K5388" t="str">
        <f>HYPERLINK("http://www.mrt.tas.gov.au/NVCLDataServices/mosaic.html?datasetid=5303b137-8a07-47ca-882b-41e32eb568d","19672_98ORDD1_Orieco_Core Image")</f>
        <v>19672_98ORDD1_Orieco_Core Image</v>
      </c>
    </row>
    <row r="5389" spans="1:11" x14ac:dyDescent="0.25">
      <c r="A5389" t="str">
        <f>HYPERLINK("http://www.corstruth.com.au/Tas/19726_99ORDD2_Orieco_cs.png","19726_99ORDD2_Orieco_A4")</f>
        <v>19726_99ORDD2_Orieco_A4</v>
      </c>
      <c r="B5389" t="str">
        <f>HYPERLINK("http://www.corstruth.com.au/Tas/PNG2/19726_99ORDD2_Orieco_cs.png","19726_99ORDD2_Orieco_0.25m Bins")</f>
        <v>19726_99ORDD2_Orieco_0.25m Bins</v>
      </c>
      <c r="C5389" t="str">
        <f>HYPERLINK("http://www.corstruth.com.au/Tas/CSV/19726_99ORDD2_Orieco.csv","19726_99ORDD2_Orieco_CSV File 1m Bins")</f>
        <v>19726_99ORDD2_Orieco_CSV File 1m Bins</v>
      </c>
      <c r="D5389">
        <v>19726</v>
      </c>
      <c r="E5389" t="s">
        <v>3422</v>
      </c>
      <c r="F5389" t="str">
        <f>HYPERLINK("http://www.mrt.tas.gov.au/webdoc2/app/default/drilling_detail?id=19726","Geol Survey Link")</f>
        <v>Geol Survey Link</v>
      </c>
      <c r="G5389" t="s">
        <v>3536</v>
      </c>
      <c r="H5389" t="s">
        <v>3556</v>
      </c>
      <c r="I5389">
        <v>-41.421500000000002</v>
      </c>
      <c r="J5389">
        <v>148.21</v>
      </c>
      <c r="K5389" t="str">
        <f>HYPERLINK("http://www.mrt.tas.gov.au/NVCLDataServices/mosaic.html?datasetid=a60a2eda-bf6b-4643-b299-3935fd2fbad","19726_99ORDD2_Orieco_Core Image")</f>
        <v>19726_99ORDD2_Orieco_Core Image</v>
      </c>
    </row>
    <row r="5390" spans="1:11" x14ac:dyDescent="0.25">
      <c r="A5390" t="str">
        <f>HYPERLINK("http://www.corstruth.com.au/Tas/20665_RUL01_Alberton_cs.png","20665_RUL01_Alberton_A4")</f>
        <v>20665_RUL01_Alberton_A4</v>
      </c>
      <c r="D5390">
        <v>20665</v>
      </c>
      <c r="E5390" t="s">
        <v>3422</v>
      </c>
      <c r="F5390" t="str">
        <f>HYPERLINK("http://www.mrt.tas.gov.au/webdoc2/app/default/drilling_detail?id=20665","Geol Survey Link")</f>
        <v>Geol Survey Link</v>
      </c>
      <c r="G5390" t="s">
        <v>3536</v>
      </c>
      <c r="H5390" t="s">
        <v>3557</v>
      </c>
      <c r="I5390">
        <v>-41.297199999999997</v>
      </c>
      <c r="J5390">
        <v>147.797</v>
      </c>
      <c r="K5390" t="str">
        <f>HYPERLINK("http://www.mrt.tas.gov.au/NVCLDataServices/mosaic.html?datasetid=00a0b886-f759-4303-ba10-04a0e9380b0","20665_RUL01_Alberton_Core Image")</f>
        <v>20665_RUL01_Alberton_Core Image</v>
      </c>
    </row>
    <row r="5391" spans="1:11" x14ac:dyDescent="0.25">
      <c r="A5391" t="str">
        <f>HYPERLINK("http://www.corstruth.com.au/Tas/20666_RUL03_Alberton_cs.png","20666_RUL03_Alberton_A4")</f>
        <v>20666_RUL03_Alberton_A4</v>
      </c>
      <c r="D5391">
        <v>20666</v>
      </c>
      <c r="E5391" t="s">
        <v>3422</v>
      </c>
      <c r="F5391" t="str">
        <f>HYPERLINK("http://www.mrt.tas.gov.au/webdoc2/app/default/drilling_detail?id=20666","Geol Survey Link")</f>
        <v>Geol Survey Link</v>
      </c>
      <c r="G5391" t="s">
        <v>3536</v>
      </c>
      <c r="H5391" t="s">
        <v>3557</v>
      </c>
      <c r="I5391">
        <v>-41.297199999999997</v>
      </c>
      <c r="J5391">
        <v>147.797</v>
      </c>
      <c r="K5391" t="str">
        <f>HYPERLINK("http://www.mrt.tas.gov.au/NVCLDataServices/mosaic.html?datasetid=ac770130-62cb-49c5-981a-c94f7d3400a","20666_RUL03_Alberton_Core Image")</f>
        <v>20666_RUL03_Alberton_Core Image</v>
      </c>
    </row>
    <row r="5392" spans="1:11" x14ac:dyDescent="0.25">
      <c r="A5392" t="str">
        <f>HYPERLINK("http://www.corstruth.com.au/Tas/26116_RUL06_Ringarooma_cs.png","26116_RUL06_Ringarooma_A4")</f>
        <v>26116_RUL06_Ringarooma_A4</v>
      </c>
      <c r="D5392">
        <v>26116</v>
      </c>
      <c r="E5392" t="s">
        <v>3422</v>
      </c>
      <c r="F5392" t="str">
        <f>HYPERLINK("http://www.mrt.tas.gov.au/webdoc2/app/default/drilling_detail?id=26116","Geol Survey Link")</f>
        <v>Geol Survey Link</v>
      </c>
      <c r="G5392" t="s">
        <v>3536</v>
      </c>
      <c r="H5392" t="s">
        <v>3557</v>
      </c>
      <c r="I5392">
        <v>-41.295400000000001</v>
      </c>
      <c r="J5392">
        <v>147.797</v>
      </c>
    </row>
    <row r="5393" spans="1:11" x14ac:dyDescent="0.25">
      <c r="A5393" t="str">
        <f>HYPERLINK("http://www.corstruth.com.au/Tas/26117_RUL07_Ringarooma_cs.png","26117_RUL07_Ringarooma_A4")</f>
        <v>26117_RUL07_Ringarooma_A4</v>
      </c>
      <c r="D5393">
        <v>26117</v>
      </c>
      <c r="E5393" t="s">
        <v>3422</v>
      </c>
      <c r="F5393" t="str">
        <f>HYPERLINK("http://www.mrt.tas.gov.au/webdoc2/app/default/drilling_detail?id=26117","Geol Survey Link")</f>
        <v>Geol Survey Link</v>
      </c>
      <c r="G5393" t="s">
        <v>3536</v>
      </c>
      <c r="H5393" t="s">
        <v>3557</v>
      </c>
      <c r="I5393">
        <v>-41.2956</v>
      </c>
      <c r="J5393">
        <v>147.798</v>
      </c>
    </row>
    <row r="5394" spans="1:11" x14ac:dyDescent="0.25">
      <c r="A5394" t="str">
        <f>HYPERLINK("http://www.corstruth.com.au/Tas/15005_CR_DH1_Golden_Ridge_Scamander_cs.png","15005_CR_DH1_Golden_Ridge_Scamander_A4")</f>
        <v>15005_CR_DH1_Golden_Ridge_Scamander_A4</v>
      </c>
      <c r="D5394">
        <v>15005</v>
      </c>
      <c r="E5394" t="s">
        <v>3422</v>
      </c>
      <c r="F5394" t="str">
        <f>HYPERLINK("http://www.mrt.tas.gov.au/webdoc2/app/default/drilling_detail?id=15005","Geol Survey Link")</f>
        <v>Geol Survey Link</v>
      </c>
      <c r="G5394" t="s">
        <v>3536</v>
      </c>
      <c r="H5394" t="s">
        <v>3439</v>
      </c>
      <c r="I5394">
        <v>-41.411499999999997</v>
      </c>
      <c r="J5394">
        <v>148.21700000000001</v>
      </c>
      <c r="K5394" t="str">
        <f>HYPERLINK("http://www.mrt.tas.gov.au/NVCLDataServices/mosaic.html?datasetid=26b52218-6d40-4eb7-b928-818bcdaab4c","15005_CR_DH1_Golden_Ridge_Scamander_Core Image")</f>
        <v>15005_CR_DH1_Golden_Ridge_Scamander_Core Image</v>
      </c>
    </row>
    <row r="5395" spans="1:11" x14ac:dyDescent="0.25">
      <c r="A5395" t="str">
        <f>HYPERLINK("http://www.corstruth.com.au/Tas/18975_GRD2_Golden_Ridge_Scamander_cs.png","18975_GRD2_Golden_Ridge_Scamander_A4")</f>
        <v>18975_GRD2_Golden_Ridge_Scamander_A4</v>
      </c>
      <c r="D5395">
        <v>18975</v>
      </c>
      <c r="E5395" t="s">
        <v>3422</v>
      </c>
      <c r="F5395" t="str">
        <f>HYPERLINK("http://www.mrt.tas.gov.au/webdoc2/app/default/drilling_detail?id=18975","Geol Survey Link")</f>
        <v>Geol Survey Link</v>
      </c>
      <c r="G5395" t="s">
        <v>3536</v>
      </c>
      <c r="H5395" t="s">
        <v>3558</v>
      </c>
      <c r="I5395">
        <v>-41.407299999999999</v>
      </c>
      <c r="J5395">
        <v>148.02699999999999</v>
      </c>
      <c r="K5395" t="str">
        <f>HYPERLINK("http://www.mrt.tas.gov.au/NVCLDataServices/mosaic.html?datasetid=79c47e9c-7f4f-4a6a-8ca4-1ddf7e707bf","18975_GRD2_Golden_Ridge_Scamander_Core Image")</f>
        <v>18975_GRD2_Golden_Ridge_Scamander_Core Image</v>
      </c>
    </row>
    <row r="5396" spans="1:11" x14ac:dyDescent="0.25">
      <c r="A5396" t="str">
        <f>HYPERLINK("http://www.corstruth.com.au/Tas/18977_GRD4_Golden_Ridge_Scamander_cs.png","18977_GRD4_Golden_Ridge_Scamander_A4")</f>
        <v>18977_GRD4_Golden_Ridge_Scamander_A4</v>
      </c>
      <c r="D5396">
        <v>18977</v>
      </c>
      <c r="E5396" t="s">
        <v>3422</v>
      </c>
      <c r="F5396" t="str">
        <f>HYPERLINK("http://www.mrt.tas.gov.au/webdoc2/app/default/drilling_detail?id=18977","Geol Survey Link")</f>
        <v>Geol Survey Link</v>
      </c>
      <c r="G5396" t="s">
        <v>3536</v>
      </c>
      <c r="H5396" t="s">
        <v>3558</v>
      </c>
      <c r="I5396">
        <v>-41.407299999999999</v>
      </c>
      <c r="J5396">
        <v>148.02699999999999</v>
      </c>
      <c r="K5396" t="str">
        <f>HYPERLINK("http://www.mrt.tas.gov.au/NVCLDataServices/mosaic.html?datasetid=3ab6d1ec-06bf-44a5-9ecf-b40e319f094","18977_GRD4_Golden_Ridge_Scamander_Core Image")</f>
        <v>18977_GRD4_Golden_Ridge_Scamander_Core Image</v>
      </c>
    </row>
    <row r="5397" spans="1:11" x14ac:dyDescent="0.25">
      <c r="A5397" t="str">
        <f>HYPERLINK("http://www.corstruth.com.au/Tas/19688_GRD6_Golden_Ridge_Scamander_cs.png","19688_GRD6_Golden_Ridge_Scamander_A4")</f>
        <v>19688_GRD6_Golden_Ridge_Scamander_A4</v>
      </c>
      <c r="D5397">
        <v>19688</v>
      </c>
      <c r="E5397" t="s">
        <v>3422</v>
      </c>
      <c r="F5397" t="str">
        <f>HYPERLINK("http://www.mrt.tas.gov.au/webdoc2/app/default/drilling_detail?id=19688","Geol Survey Link")</f>
        <v>Geol Survey Link</v>
      </c>
      <c r="G5397" t="s">
        <v>3536</v>
      </c>
      <c r="H5397" t="s">
        <v>3558</v>
      </c>
      <c r="I5397">
        <v>-41.4071</v>
      </c>
      <c r="J5397">
        <v>148.02699999999999</v>
      </c>
      <c r="K5397" t="str">
        <f>HYPERLINK("http://www.mrt.tas.gov.au/NVCLDataServices/mosaic.html?datasetid=149f649b-2dc5-4983-8f75-3cfc4a06471","19688_GRD6_Golden_Ridge_Scamander_Core Image")</f>
        <v>19688_GRD6_Golden_Ridge_Scamander_Core Image</v>
      </c>
    </row>
    <row r="5398" spans="1:11" x14ac:dyDescent="0.25">
      <c r="A5398" t="str">
        <f>HYPERLINK("http://www.corstruth.com.au/Tas/2253_B4A_Beaconsfield_cs.png","2253_B4A_Beaconsfield_A4")</f>
        <v>2253_B4A_Beaconsfield_A4</v>
      </c>
      <c r="D5398">
        <v>2253</v>
      </c>
      <c r="E5398" t="s">
        <v>3422</v>
      </c>
      <c r="F5398" t="str">
        <f>HYPERLINK("http://www.mrt.tas.gov.au/webdoc2/app/default/drilling_detail?id=2253","Geol Survey Link")</f>
        <v>Geol Survey Link</v>
      </c>
      <c r="G5398" t="s">
        <v>3536</v>
      </c>
      <c r="H5398" t="s">
        <v>3559</v>
      </c>
      <c r="I5398">
        <v>-41.203099999999999</v>
      </c>
      <c r="J5398">
        <v>146.816</v>
      </c>
    </row>
    <row r="5399" spans="1:11" x14ac:dyDescent="0.25">
      <c r="A5399" t="str">
        <f>HYPERLINK("http://www.corstruth.com.au/Tas/2254_B4B_Beaconsfield_cs.png","2254_B4B_Beaconsfield_A4")</f>
        <v>2254_B4B_Beaconsfield_A4</v>
      </c>
      <c r="D5399">
        <v>2254</v>
      </c>
      <c r="E5399" t="s">
        <v>3422</v>
      </c>
      <c r="F5399" t="str">
        <f>HYPERLINK("http://www.mrt.tas.gov.au/webdoc2/app/default/drilling_detail?id=2254","Geol Survey Link")</f>
        <v>Geol Survey Link</v>
      </c>
      <c r="G5399" t="s">
        <v>3536</v>
      </c>
      <c r="H5399" t="s">
        <v>3559</v>
      </c>
      <c r="I5399">
        <v>-41.203099999999999</v>
      </c>
      <c r="J5399">
        <v>146.816</v>
      </c>
    </row>
    <row r="5400" spans="1:11" x14ac:dyDescent="0.25">
      <c r="A5400" t="str">
        <f>HYPERLINK("http://www.corstruth.com.au/Tas/2255_B5_Beaconsfield_cs.png","2255_B5_Beaconsfield_A4")</f>
        <v>2255_B5_Beaconsfield_A4</v>
      </c>
      <c r="D5400">
        <v>2255</v>
      </c>
      <c r="E5400" t="s">
        <v>3422</v>
      </c>
      <c r="F5400" t="str">
        <f>HYPERLINK("http://www.mrt.tas.gov.au/webdoc2/app/default/drilling_detail?id=2255","Geol Survey Link")</f>
        <v>Geol Survey Link</v>
      </c>
      <c r="G5400" t="s">
        <v>3536</v>
      </c>
      <c r="H5400" t="s">
        <v>3559</v>
      </c>
      <c r="I5400">
        <v>-41.204500000000003</v>
      </c>
      <c r="J5400">
        <v>146.81399999999999</v>
      </c>
    </row>
    <row r="5401" spans="1:11" x14ac:dyDescent="0.25">
      <c r="A5401" t="str">
        <f>HYPERLINK("http://www.corstruth.com.au/Tas/19211_C45_Beaconsfield_cs.png","19211_C45_Beaconsfield_A4")</f>
        <v>19211_C45_Beaconsfield_A4</v>
      </c>
      <c r="D5401">
        <v>19211</v>
      </c>
      <c r="E5401" t="s">
        <v>3422</v>
      </c>
      <c r="F5401" t="str">
        <f>HYPERLINK("http://www.mrt.tas.gov.au/webdoc2/app/default/drilling_detail?id=19211","Geol Survey Link")</f>
        <v>Geol Survey Link</v>
      </c>
      <c r="G5401" t="s">
        <v>3536</v>
      </c>
      <c r="H5401" t="s">
        <v>3560</v>
      </c>
      <c r="I5401">
        <v>-41.203699999999998</v>
      </c>
      <c r="J5401">
        <v>146.816</v>
      </c>
      <c r="K5401" t="str">
        <f>HYPERLINK("http://www.mrt.tas.gov.au/NVCLDataServices/mosaic.html?datasetid=18d1a4c8-2b3d-4597-b8bd-362d1653e8c","19211_C45_Beaconsfield_Core Image")</f>
        <v>19211_C45_Beaconsfield_Core Image</v>
      </c>
    </row>
    <row r="5402" spans="1:11" x14ac:dyDescent="0.25">
      <c r="A5402" t="str">
        <f>HYPERLINK("http://www.corstruth.com.au/Tas/38393_TFD-1_Trafalgar_cs.png","38393_TFD-1_Trafalgar_A4")</f>
        <v>38393_TFD-1_Trafalgar_A4</v>
      </c>
      <c r="B5402" t="str">
        <f>HYPERLINK("http://www.corstruth.com.au/Tas/PNG2/38393_TFD-1_Trafalgar_cs.png","38393_TFD-1_Trafalgar_0.25m Bins")</f>
        <v>38393_TFD-1_Trafalgar_0.25m Bins</v>
      </c>
      <c r="C5402" t="str">
        <f>HYPERLINK("http://www.corstruth.com.au/Tas/CSV/38393_TFD-1_Trafalgar.csv","38393_TFD-1_Trafalgar_CSV File 1m Bins")</f>
        <v>38393_TFD-1_Trafalgar_CSV File 1m Bins</v>
      </c>
      <c r="D5402">
        <v>38393</v>
      </c>
      <c r="E5402" t="s">
        <v>3422</v>
      </c>
      <c r="F5402" t="str">
        <f>HYPERLINK("http://www.mrt.tas.gov.au/webdoc2/app/default/drilling_detail?id=38393","Geol Survey Link")</f>
        <v>Geol Survey Link</v>
      </c>
      <c r="G5402" t="s">
        <v>3536</v>
      </c>
      <c r="H5402" t="s">
        <v>3561</v>
      </c>
      <c r="I5402">
        <v>-41.397300000000001</v>
      </c>
      <c r="J5402">
        <v>148.05500000000001</v>
      </c>
      <c r="K5402" t="str">
        <f>HYPERLINK("http://www.mrt.tas.gov.au/NVCLDataServices/mosaic.html?datasetid=ad4f9f8b-e702-4591-8dab-4ef9d9e13ef","38393_TFD-1_Trafalgar_Core Image")</f>
        <v>38393_TFD-1_Trafalgar_Core Image</v>
      </c>
    </row>
    <row r="5403" spans="1:11" x14ac:dyDescent="0.25">
      <c r="A5403" t="str">
        <f>HYPERLINK("http://www.corstruth.com.au/Tas/19723_99UNDD9_DansRivulet_cs.png","19723_99UNDD9_DansRivulet_A4")</f>
        <v>19723_99UNDD9_DansRivulet_A4</v>
      </c>
      <c r="D5403">
        <v>19723</v>
      </c>
      <c r="E5403" t="s">
        <v>3422</v>
      </c>
      <c r="F5403" t="str">
        <f>HYPERLINK("http://www.mrt.tas.gov.au/webdoc2/app/default/drilling_detail?id=19723","Geol Survey Link")</f>
        <v>Geol Survey Link</v>
      </c>
      <c r="G5403" t="s">
        <v>3536</v>
      </c>
      <c r="H5403" t="s">
        <v>3562</v>
      </c>
      <c r="I5403">
        <v>-41.349299999999999</v>
      </c>
      <c r="J5403">
        <v>147.81100000000001</v>
      </c>
      <c r="K5403" t="str">
        <f>HYPERLINK("http://www.mrt.tas.gov.au/NVCLDataServices/mosaic.html?datasetid=3669b342-19a8-44fc-bd2b-2d85ca111dd","19723_99UNDD9_DansRivulet_Core Image")</f>
        <v>19723_99UNDD9_DansRivulet_Core Image</v>
      </c>
    </row>
    <row r="5404" spans="1:11" x14ac:dyDescent="0.25">
      <c r="A5404" t="str">
        <f>HYPERLINK("http://www.corstruth.com.au/Tas/19724_99UNDD10_DansRivulet_cs.png","19724_99UNDD10_DansRivulet_A4")</f>
        <v>19724_99UNDD10_DansRivulet_A4</v>
      </c>
      <c r="D5404">
        <v>19724</v>
      </c>
      <c r="E5404" t="s">
        <v>3422</v>
      </c>
      <c r="F5404" t="str">
        <f>HYPERLINK("http://www.mrt.tas.gov.au/webdoc2/app/default/drilling_detail?id=19724","Geol Survey Link")</f>
        <v>Geol Survey Link</v>
      </c>
      <c r="G5404" t="s">
        <v>3536</v>
      </c>
      <c r="H5404" t="s">
        <v>3562</v>
      </c>
      <c r="I5404">
        <v>-41.349200000000003</v>
      </c>
      <c r="J5404">
        <v>147.81100000000001</v>
      </c>
      <c r="K5404" t="str">
        <f>HYPERLINK("http://www.mrt.tas.gov.au/NVCLDataServices/mosaic.html?datasetid=a190a71a-c1c2-4499-b851-7be8939dee9","19724_99UNDD10_DansRivulet_Core Image")</f>
        <v>19724_99UNDD10_DansRivulet_Core Image</v>
      </c>
    </row>
    <row r="5405" spans="1:11" x14ac:dyDescent="0.25">
      <c r="A5405" t="str">
        <f>HYPERLINK("http://www.corstruth.com.au/Tas/19725_99UNDD11_DansRivulet_cs.png","19725_99UNDD11_DansRivulet_A4")</f>
        <v>19725_99UNDD11_DansRivulet_A4</v>
      </c>
      <c r="D5405">
        <v>19725</v>
      </c>
      <c r="E5405" t="s">
        <v>3422</v>
      </c>
      <c r="F5405" t="str">
        <f>HYPERLINK("http://www.mrt.tas.gov.au/webdoc2/app/default/drilling_detail?id=19725","Geol Survey Link")</f>
        <v>Geol Survey Link</v>
      </c>
      <c r="G5405" t="s">
        <v>3536</v>
      </c>
      <c r="H5405" t="s">
        <v>3562</v>
      </c>
      <c r="I5405">
        <v>-41.3491</v>
      </c>
      <c r="J5405">
        <v>147.81100000000001</v>
      </c>
      <c r="K5405" t="str">
        <f>HYPERLINK("http://www.mrt.tas.gov.au/NVCLDataServices/mosaic.html?datasetid=407b103a-9859-4264-b17e-3ac039749b5","19725_99UNDD11_DansRivulet_Core Image")</f>
        <v>19725_99UNDD11_DansRivulet_Core Image</v>
      </c>
    </row>
    <row r="5406" spans="1:11" x14ac:dyDescent="0.25">
      <c r="A5406" t="str">
        <f>HYPERLINK("http://www.corstruth.com.au/Tas/87706_2019WTD001_Warrentinna_cs.png","87706_2019WTD001_Warrentinna_A4")</f>
        <v>87706_2019WTD001_Warrentinna_A4</v>
      </c>
      <c r="B5406" t="str">
        <f>HYPERLINK("http://www.corstruth.com.au/Tas/PNG2/87706_2019WTD001_Warrentinna_cs.png","87706_2019WTD001_Warrentinna_0.25m Bins")</f>
        <v>87706_2019WTD001_Warrentinna_0.25m Bins</v>
      </c>
      <c r="C5406" t="str">
        <f>HYPERLINK("http://www.corstruth.com.au/Tas/CSV/87706_2019WTD001_Warrentinna.csv","87706_2019WTD001_Warrentinna_CSV File 1m Bins")</f>
        <v>87706_2019WTD001_Warrentinna_CSV File 1m Bins</v>
      </c>
      <c r="D5406">
        <v>87706</v>
      </c>
      <c r="E5406" t="s">
        <v>3422</v>
      </c>
      <c r="F5406" t="str">
        <f>HYPERLINK("http://www.mrt.tas.gov.au/webdoc2/app/default/drilling_detail?id=87706","Geol Survey Link")</f>
        <v>Geol Survey Link</v>
      </c>
      <c r="G5406" t="s">
        <v>3536</v>
      </c>
      <c r="H5406" t="s">
        <v>3563</v>
      </c>
      <c r="I5406">
        <v>-41.121000000000002</v>
      </c>
      <c r="J5406">
        <v>147.73500000000001</v>
      </c>
    </row>
    <row r="5407" spans="1:11" x14ac:dyDescent="0.25">
      <c r="A5407" t="str">
        <f>HYPERLINK("http://www.corstruth.com.au/Tas/87707_2019WTD002_Warrentinna_cs.png","87707_2019WTD002_Warrentinna_A4")</f>
        <v>87707_2019WTD002_Warrentinna_A4</v>
      </c>
      <c r="B5407" t="str">
        <f>HYPERLINK("http://www.corstruth.com.au/Tas/PNG2/87707_2019WTD002_Warrentinna_cs.png","87707_2019WTD002_Warrentinna_0.25m Bins")</f>
        <v>87707_2019WTD002_Warrentinna_0.25m Bins</v>
      </c>
      <c r="C5407" t="str">
        <f>HYPERLINK("http://www.corstruth.com.au/Tas/CSV/87707_2019WTD002_Warrentinna.csv","87707_2019WTD002_Warrentinna_CSV File 1m Bins")</f>
        <v>87707_2019WTD002_Warrentinna_CSV File 1m Bins</v>
      </c>
      <c r="D5407">
        <v>87707</v>
      </c>
      <c r="E5407" t="s">
        <v>3422</v>
      </c>
      <c r="F5407" t="str">
        <f>HYPERLINK("http://www.mrt.tas.gov.au/webdoc2/app/default/drilling_detail?id=87707","Geol Survey Link")</f>
        <v>Geol Survey Link</v>
      </c>
      <c r="G5407" t="s">
        <v>3536</v>
      </c>
      <c r="H5407" t="s">
        <v>3563</v>
      </c>
      <c r="I5407">
        <v>-41.121200000000002</v>
      </c>
      <c r="J5407">
        <v>147.73500000000001</v>
      </c>
    </row>
    <row r="5408" spans="1:11" x14ac:dyDescent="0.25">
      <c r="A5408" t="str">
        <f>HYPERLINK("http://www.corstruth.com.au/Tas/87708_2019WTD003_Warrentinna_cs.png","87708_2019WTD003_Warrentinna_A4")</f>
        <v>87708_2019WTD003_Warrentinna_A4</v>
      </c>
      <c r="B5408" t="str">
        <f>HYPERLINK("http://www.corstruth.com.au/Tas/PNG2/87708_2019WTD003_Warrentinna_cs.png","87708_2019WTD003_Warrentinna_0.25m Bins")</f>
        <v>87708_2019WTD003_Warrentinna_0.25m Bins</v>
      </c>
      <c r="C5408" t="str">
        <f>HYPERLINK("http://www.corstruth.com.au/Tas/CSV/87708_2019WTD003_Warrentinna.csv","87708_2019WTD003_Warrentinna_CSV File 1m Bins")</f>
        <v>87708_2019WTD003_Warrentinna_CSV File 1m Bins</v>
      </c>
      <c r="D5408">
        <v>87708</v>
      </c>
      <c r="E5408" t="s">
        <v>3422</v>
      </c>
      <c r="F5408" t="str">
        <f>HYPERLINK("http://www.mrt.tas.gov.au/webdoc2/app/default/drilling_detail?id=87708","Geol Survey Link")</f>
        <v>Geol Survey Link</v>
      </c>
      <c r="G5408" t="s">
        <v>3536</v>
      </c>
      <c r="H5408" t="s">
        <v>3563</v>
      </c>
      <c r="I5408">
        <v>-41.121099999999998</v>
      </c>
      <c r="J5408">
        <v>147.73500000000001</v>
      </c>
    </row>
    <row r="5409" spans="1:11" x14ac:dyDescent="0.25">
      <c r="A5409" t="str">
        <f>HYPERLINK("http://www.corstruth.com.au/Tas/93328_WRDD001_Windy_Ridge_cs.png","93328_WRDD001_Windy_Ridge_A4")</f>
        <v>93328_WRDD001_Windy_Ridge_A4</v>
      </c>
      <c r="B5409" t="str">
        <f>HYPERLINK("http://www.corstruth.com.au/Tas/PNG2/93328_WRDD001_Windy_Ridge_cs.png","93328_WRDD001_Windy_Ridge_0.25m Bins")</f>
        <v>93328_WRDD001_Windy_Ridge_0.25m Bins</v>
      </c>
      <c r="C5409" t="str">
        <f>HYPERLINK("http://www.corstruth.com.au/Tas/CSV/93328_WRDD001_Windy_Ridge.csv","93328_WRDD001_Windy_Ridge_CSV File 1m Bins")</f>
        <v>93328_WRDD001_Windy_Ridge_CSV File 1m Bins</v>
      </c>
      <c r="D5409">
        <v>93328</v>
      </c>
      <c r="E5409" t="s">
        <v>3422</v>
      </c>
      <c r="F5409" t="str">
        <f>HYPERLINK("http://www.mrt.tas.gov.au/webdoc2/app/default/drilling_detail?id=93328","Geol Survey Link")</f>
        <v>Geol Survey Link</v>
      </c>
      <c r="G5409" t="s">
        <v>3536</v>
      </c>
      <c r="H5409" t="s">
        <v>3564</v>
      </c>
      <c r="I5409">
        <v>-40.905999999999999</v>
      </c>
      <c r="J5409">
        <v>148.07400000000001</v>
      </c>
    </row>
    <row r="5410" spans="1:11" x14ac:dyDescent="0.25">
      <c r="A5410" t="str">
        <f>HYPERLINK("http://www.corstruth.com.au/Tas/93329_WRDD002_Windy_Ridge_cs.png","93329_WRDD002_Windy_Ridge_A4")</f>
        <v>93329_WRDD002_Windy_Ridge_A4</v>
      </c>
      <c r="B5410" t="str">
        <f>HYPERLINK("http://www.corstruth.com.au/Tas/PNG2/93329_WRDD002_Windy_Ridge_cs.png","93329_WRDD002_Windy_Ridge_0.25m Bins")</f>
        <v>93329_WRDD002_Windy_Ridge_0.25m Bins</v>
      </c>
      <c r="C5410" t="str">
        <f>HYPERLINK("http://www.corstruth.com.au/Tas/CSV/93329_WRDD002_Windy_Ridge.csv","93329_WRDD002_Windy_Ridge_CSV File 1m Bins")</f>
        <v>93329_WRDD002_Windy_Ridge_CSV File 1m Bins</v>
      </c>
      <c r="D5410">
        <v>93329</v>
      </c>
      <c r="E5410" t="s">
        <v>3422</v>
      </c>
      <c r="F5410" t="str">
        <f>HYPERLINK("http://www.mrt.tas.gov.au/webdoc2/app/default/drilling_detail?id=93329","Geol Survey Link")</f>
        <v>Geol Survey Link</v>
      </c>
      <c r="G5410" t="s">
        <v>3536</v>
      </c>
      <c r="H5410" t="s">
        <v>3564</v>
      </c>
      <c r="I5410">
        <v>-40.905999999999999</v>
      </c>
      <c r="J5410">
        <v>148.07400000000001</v>
      </c>
    </row>
    <row r="5411" spans="1:11" x14ac:dyDescent="0.25">
      <c r="A5411" t="str">
        <f>HYPERLINK("http://www.corstruth.com.au/Tas/93330_WRDD003_Windy_Ridge_cs.png","93330_WRDD003_Windy_Ridge_A4")</f>
        <v>93330_WRDD003_Windy_Ridge_A4</v>
      </c>
      <c r="B5411" t="str">
        <f>HYPERLINK("http://www.corstruth.com.au/Tas/PNG2/93330_WRDD003_Windy_Ridge_cs.png","93330_WRDD003_Windy_Ridge_0.25m Bins")</f>
        <v>93330_WRDD003_Windy_Ridge_0.25m Bins</v>
      </c>
      <c r="C5411" t="str">
        <f>HYPERLINK("http://www.corstruth.com.au/Tas/CSV/93330_WRDD003_Windy_Ridge.csv","93330_WRDD003_Windy_Ridge_CSV File 1m Bins")</f>
        <v>93330_WRDD003_Windy_Ridge_CSV File 1m Bins</v>
      </c>
      <c r="D5411">
        <v>93330</v>
      </c>
      <c r="E5411" t="s">
        <v>3422</v>
      </c>
      <c r="F5411" t="str">
        <f>HYPERLINK("http://www.mrt.tas.gov.au/webdoc2/app/default/drilling_detail?id=93330","Geol Survey Link")</f>
        <v>Geol Survey Link</v>
      </c>
      <c r="G5411" t="s">
        <v>3536</v>
      </c>
      <c r="H5411" t="s">
        <v>3564</v>
      </c>
      <c r="I5411">
        <v>-40.906100000000002</v>
      </c>
      <c r="J5411">
        <v>148.07400000000001</v>
      </c>
    </row>
    <row r="5412" spans="1:11" x14ac:dyDescent="0.25">
      <c r="A5412" t="str">
        <f>HYPERLINK("http://www.corstruth.com.au/Tas/93331_WRDD004_Windy_Ridge_cs.png","93331_WRDD004_Windy_Ridge_A4")</f>
        <v>93331_WRDD004_Windy_Ridge_A4</v>
      </c>
      <c r="B5412" t="str">
        <f>HYPERLINK("http://www.corstruth.com.au/Tas/PNG2/93331_WRDD004_Windy_Ridge_cs.png","93331_WRDD004_Windy_Ridge_0.25m Bins")</f>
        <v>93331_WRDD004_Windy_Ridge_0.25m Bins</v>
      </c>
      <c r="C5412" t="str">
        <f>HYPERLINK("http://www.corstruth.com.au/Tas/CSV/93331_WRDD004_Windy_Ridge.csv","93331_WRDD004_Windy_Ridge_CSV File 1m Bins")</f>
        <v>93331_WRDD004_Windy_Ridge_CSV File 1m Bins</v>
      </c>
      <c r="D5412">
        <v>93331</v>
      </c>
      <c r="E5412" t="s">
        <v>3422</v>
      </c>
      <c r="F5412" t="str">
        <f>HYPERLINK("http://www.mrt.tas.gov.au/webdoc2/app/default/drilling_detail?id=93331","Geol Survey Link")</f>
        <v>Geol Survey Link</v>
      </c>
      <c r="G5412" t="s">
        <v>3536</v>
      </c>
      <c r="H5412" t="s">
        <v>3564</v>
      </c>
      <c r="I5412">
        <v>-40.906399999999998</v>
      </c>
      <c r="J5412">
        <v>148.07400000000001</v>
      </c>
    </row>
    <row r="5413" spans="1:11" x14ac:dyDescent="0.25">
      <c r="A5413" t="str">
        <f>HYPERLINK("http://www.corstruth.com.au/Tas/93332_WRDD005_Windy_Ridge_cs.png","93332_WRDD005_Windy_Ridge_A4")</f>
        <v>93332_WRDD005_Windy_Ridge_A4</v>
      </c>
      <c r="B5413" t="str">
        <f>HYPERLINK("http://www.corstruth.com.au/Tas/PNG2/93332_WRDD005_Windy_Ridge_cs.png","93332_WRDD005_Windy_Ridge_0.25m Bins")</f>
        <v>93332_WRDD005_Windy_Ridge_0.25m Bins</v>
      </c>
      <c r="C5413" t="str">
        <f>HYPERLINK("http://www.corstruth.com.au/Tas/CSV/93332_WRDD005_Windy_Ridge.csv","93332_WRDD005_Windy_Ridge_CSV File 1m Bins")</f>
        <v>93332_WRDD005_Windy_Ridge_CSV File 1m Bins</v>
      </c>
      <c r="D5413">
        <v>93332</v>
      </c>
      <c r="E5413" t="s">
        <v>3422</v>
      </c>
      <c r="F5413" t="str">
        <f>HYPERLINK("http://www.mrt.tas.gov.au/webdoc2/app/default/drilling_detail?id=93332","Geol Survey Link")</f>
        <v>Geol Survey Link</v>
      </c>
      <c r="G5413" t="s">
        <v>3536</v>
      </c>
      <c r="H5413" t="s">
        <v>3564</v>
      </c>
      <c r="I5413">
        <v>-40.906500000000001</v>
      </c>
      <c r="J5413">
        <v>148.07400000000001</v>
      </c>
    </row>
    <row r="5414" spans="1:11" x14ac:dyDescent="0.25">
      <c r="A5414" t="str">
        <f>HYPERLINK("http://www.corstruth.com.au/Tas/93333_WRDD006_Windy_Ridge_cs.png","93333_WRDD006_Windy_Ridge_A4")</f>
        <v>93333_WRDD006_Windy_Ridge_A4</v>
      </c>
      <c r="B5414" t="str">
        <f>HYPERLINK("http://www.corstruth.com.au/Tas/PNG2/93333_WRDD006_Windy_Ridge_cs.png","93333_WRDD006_Windy_Ridge_0.25m Bins")</f>
        <v>93333_WRDD006_Windy_Ridge_0.25m Bins</v>
      </c>
      <c r="C5414" t="str">
        <f>HYPERLINK("http://www.corstruth.com.au/Tas/CSV/93333_WRDD006_Windy_Ridge.csv","93333_WRDD006_Windy_Ridge_CSV File 1m Bins")</f>
        <v>93333_WRDD006_Windy_Ridge_CSV File 1m Bins</v>
      </c>
      <c r="D5414">
        <v>93333</v>
      </c>
      <c r="E5414" t="s">
        <v>3422</v>
      </c>
      <c r="F5414" t="str">
        <f>HYPERLINK("http://www.mrt.tas.gov.au/webdoc2/app/default/drilling_detail?id=93333","Geol Survey Link")</f>
        <v>Geol Survey Link</v>
      </c>
      <c r="G5414" t="s">
        <v>3536</v>
      </c>
      <c r="H5414" t="s">
        <v>3564</v>
      </c>
      <c r="I5414">
        <v>-40.9071</v>
      </c>
      <c r="J5414">
        <v>148.07300000000001</v>
      </c>
    </row>
    <row r="5415" spans="1:11" x14ac:dyDescent="0.25">
      <c r="A5415" t="str">
        <f>HYPERLINK("http://www.corstruth.com.au/Tas/93334_WRDD007_Windy_Ridge_cs.png","93334_WRDD007_Windy_Ridge_A4")</f>
        <v>93334_WRDD007_Windy_Ridge_A4</v>
      </c>
      <c r="B5415" t="str">
        <f>HYPERLINK("http://www.corstruth.com.au/Tas/PNG2/93334_WRDD007_Windy_Ridge_cs.png","93334_WRDD007_Windy_Ridge_0.25m Bins")</f>
        <v>93334_WRDD007_Windy_Ridge_0.25m Bins</v>
      </c>
      <c r="C5415" t="str">
        <f>HYPERLINK("http://www.corstruth.com.au/Tas/CSV/93334_WRDD007_Windy_Ridge.csv","93334_WRDD007_Windy_Ridge_CSV File 1m Bins")</f>
        <v>93334_WRDD007_Windy_Ridge_CSV File 1m Bins</v>
      </c>
      <c r="D5415">
        <v>93334</v>
      </c>
      <c r="E5415" t="s">
        <v>3422</v>
      </c>
      <c r="F5415" t="str">
        <f>HYPERLINK("http://www.mrt.tas.gov.au/webdoc2/app/default/drilling_detail?id=93334","Geol Survey Link")</f>
        <v>Geol Survey Link</v>
      </c>
      <c r="G5415" t="s">
        <v>3536</v>
      </c>
      <c r="H5415" t="s">
        <v>3564</v>
      </c>
      <c r="I5415">
        <v>-40.906199999999998</v>
      </c>
      <c r="J5415">
        <v>148.07400000000001</v>
      </c>
    </row>
    <row r="5416" spans="1:11" x14ac:dyDescent="0.25">
      <c r="A5416" t="str">
        <f>HYPERLINK("http://www.corstruth.com.au/Tas/93335_WRDD008_Windy_Ridge_cs.png","93335_WRDD008_Windy_Ridge_A4")</f>
        <v>93335_WRDD008_Windy_Ridge_A4</v>
      </c>
      <c r="B5416" t="str">
        <f>HYPERLINK("http://www.corstruth.com.au/Tas/PNG2/93335_WRDD008_Windy_Ridge_cs.png","93335_WRDD008_Windy_Ridge_0.25m Bins")</f>
        <v>93335_WRDD008_Windy_Ridge_0.25m Bins</v>
      </c>
      <c r="C5416" t="str">
        <f>HYPERLINK("http://www.corstruth.com.au/Tas/CSV/93335_WRDD008_Windy_Ridge.csv","93335_WRDD008_Windy_Ridge_CSV File 1m Bins")</f>
        <v>93335_WRDD008_Windy_Ridge_CSV File 1m Bins</v>
      </c>
      <c r="D5416">
        <v>93335</v>
      </c>
      <c r="E5416" t="s">
        <v>3422</v>
      </c>
      <c r="F5416" t="str">
        <f>HYPERLINK("http://www.mrt.tas.gov.au/webdoc2/app/default/drilling_detail?id=93335","Geol Survey Link")</f>
        <v>Geol Survey Link</v>
      </c>
      <c r="G5416" t="s">
        <v>3536</v>
      </c>
      <c r="H5416" t="s">
        <v>3564</v>
      </c>
      <c r="I5416">
        <v>-40.904800000000002</v>
      </c>
      <c r="J5416">
        <v>148.07300000000001</v>
      </c>
    </row>
    <row r="5417" spans="1:11" x14ac:dyDescent="0.25">
      <c r="A5417" t="str">
        <f>HYPERLINK("http://www.corstruth.com.au/Tas/10286_DD83AR2_cs.png","10286_DD83AR2_A4")</f>
        <v>10286_DD83AR2_A4</v>
      </c>
      <c r="B5417" t="str">
        <f>HYPERLINK("http://www.corstruth.com.au/Tas/PNG2/10286_DD83AR2_cs.png","10286_DD83AR2_0.25m Bins")</f>
        <v>10286_DD83AR2_0.25m Bins</v>
      </c>
      <c r="C5417" t="str">
        <f>HYPERLINK("http://www.corstruth.com.au/Tas/CSV/10286_DD83AR2.csv","10286_DD83AR2_CSV File 1m Bins")</f>
        <v>10286_DD83AR2_CSV File 1m Bins</v>
      </c>
      <c r="D5417">
        <v>10286</v>
      </c>
      <c r="E5417" t="s">
        <v>3422</v>
      </c>
      <c r="F5417" t="str">
        <f>HYPERLINK("http://www.mrt.tas.gov.au/webdoc2/app/default/drilling_detail?id=10286","Geol Survey Link")</f>
        <v>Geol Survey Link</v>
      </c>
      <c r="G5417" t="s">
        <v>3565</v>
      </c>
      <c r="H5417" t="s">
        <v>3566</v>
      </c>
      <c r="I5417">
        <v>-41.186700000000002</v>
      </c>
      <c r="J5417">
        <v>145.446</v>
      </c>
    </row>
    <row r="5418" spans="1:11" x14ac:dyDescent="0.25">
      <c r="A5418" t="str">
        <f>HYPERLINK("http://www.corstruth.com.au/Tas/10286_DD83AR2_Arthur_River_cs.png","10286_DD83AR2_Arthur_River_A4")</f>
        <v>10286_DD83AR2_Arthur_River_A4</v>
      </c>
      <c r="D5418">
        <v>10286</v>
      </c>
      <c r="E5418" t="s">
        <v>3422</v>
      </c>
      <c r="F5418" t="str">
        <f>HYPERLINK("http://www.mrt.tas.gov.au/webdoc2/app/default/drilling_detail?id=10286","Geol Survey Link")</f>
        <v>Geol Survey Link</v>
      </c>
      <c r="G5418" t="s">
        <v>3565</v>
      </c>
      <c r="H5418" t="s">
        <v>3566</v>
      </c>
      <c r="I5418">
        <v>-41.188299999999998</v>
      </c>
      <c r="J5418">
        <v>145.44499999999999</v>
      </c>
    </row>
    <row r="5419" spans="1:11" x14ac:dyDescent="0.25">
      <c r="A5419" t="str">
        <f>HYPERLINK("http://www.corstruth.com.au/Tas/15086_DD83AR007_Arthur_River_cs.png","15086_DD83AR007_Arthur_River_A4")</f>
        <v>15086_DD83AR007_Arthur_River_A4</v>
      </c>
      <c r="D5419">
        <v>15086</v>
      </c>
      <c r="E5419" t="s">
        <v>3422</v>
      </c>
      <c r="F5419" t="str">
        <f>HYPERLINK("http://www.mrt.tas.gov.au/webdoc2/app/default/drilling_detail?id=15086","Geol Survey Link")</f>
        <v>Geol Survey Link</v>
      </c>
      <c r="G5419" t="s">
        <v>3565</v>
      </c>
      <c r="H5419" t="s">
        <v>3566</v>
      </c>
      <c r="I5419">
        <v>-41.189700000000002</v>
      </c>
      <c r="J5419">
        <v>145.441</v>
      </c>
    </row>
    <row r="5420" spans="1:11" x14ac:dyDescent="0.25">
      <c r="A5420" t="str">
        <f>HYPERLINK("http://www.corstruth.com.au/Tas/19637_DDAR016_Arthur_River_cs.png","19637_DDAR016_Arthur_River_A4")</f>
        <v>19637_DDAR016_Arthur_River_A4</v>
      </c>
      <c r="D5420">
        <v>19637</v>
      </c>
      <c r="E5420" t="s">
        <v>3422</v>
      </c>
      <c r="F5420" t="str">
        <f>HYPERLINK("http://www.mrt.tas.gov.au/webdoc2/app/default/drilling_detail?id=19637","Geol Survey Link")</f>
        <v>Geol Survey Link</v>
      </c>
      <c r="G5420" t="s">
        <v>3565</v>
      </c>
      <c r="H5420" t="s">
        <v>3566</v>
      </c>
      <c r="I5420">
        <v>-41.187800000000003</v>
      </c>
      <c r="J5420">
        <v>145.44200000000001</v>
      </c>
    </row>
    <row r="5421" spans="1:11" x14ac:dyDescent="0.25">
      <c r="A5421" t="str">
        <f>HYPERLINK("http://www.corstruth.com.au/Tas/29594_MB-08_Arthur_River_cs.png","29594_MB-08_Arthur_River_A4")</f>
        <v>29594_MB-08_Arthur_River_A4</v>
      </c>
      <c r="D5421">
        <v>29594</v>
      </c>
      <c r="E5421" t="s">
        <v>3422</v>
      </c>
      <c r="F5421" t="str">
        <f>HYPERLINK("http://www.mrt.tas.gov.au/webdoc2/app/default/drilling_detail?id=29594","Geol Survey Link")</f>
        <v>Geol Survey Link</v>
      </c>
      <c r="G5421" t="s">
        <v>3565</v>
      </c>
      <c r="H5421" t="s">
        <v>3566</v>
      </c>
      <c r="I5421">
        <v>-41.183700000000002</v>
      </c>
      <c r="J5421">
        <v>145.44499999999999</v>
      </c>
    </row>
    <row r="5422" spans="1:11" x14ac:dyDescent="0.25">
      <c r="A5422" t="str">
        <f>HYPERLINK("http://www.corstruth.com.au/Tas/8690_BAB1_Arthur_River_cs.png","8690_BAB1_Arthur_River_A4")</f>
        <v>8690_BAB1_Arthur_River_A4</v>
      </c>
      <c r="B5422" t="str">
        <f>HYPERLINK("http://www.corstruth.com.au/Tas/PNG2/8690_BAB1_Arthur_River_cs.png","8690_BAB1_Arthur_River_0.25m Bins")</f>
        <v>8690_BAB1_Arthur_River_0.25m Bins</v>
      </c>
      <c r="C5422" t="str">
        <f>HYPERLINK("http://www.corstruth.com.au/Tas/CSV/8690_BAB1_Arthur_River.csv","8690_BAB1_Arthur_River_CSV File 1m Bins")</f>
        <v>8690_BAB1_Arthur_River_CSV File 1m Bins</v>
      </c>
      <c r="D5422">
        <v>8690</v>
      </c>
      <c r="E5422" t="s">
        <v>3422</v>
      </c>
      <c r="F5422" t="str">
        <f>HYPERLINK("http://www.mrt.tas.gov.au/webdoc2/app/default/drilling_detail?id=8690","Geol Survey Link")</f>
        <v>Geol Survey Link</v>
      </c>
      <c r="G5422" t="s">
        <v>3565</v>
      </c>
      <c r="H5422" t="s">
        <v>3566</v>
      </c>
      <c r="I5422">
        <v>-41.4255</v>
      </c>
      <c r="J5422">
        <v>145.47399999999999</v>
      </c>
      <c r="K5422" t="str">
        <f>HYPERLINK("http://www.mrt.tas.gov.au/NVCLDataServices/mosaic.html?datasetid=b66729aa-12b6-4b71-bb69-94374889931","8690_BAB1_Arthur_River_Core Image")</f>
        <v>8690_BAB1_Arthur_River_Core Image</v>
      </c>
    </row>
    <row r="5423" spans="1:11" x14ac:dyDescent="0.25">
      <c r="A5423" t="str">
        <f>HYPERLINK("http://www.corstruth.com.au/Tas/28595_R41S01_Balfour_cs.png","28595_R41S01_Balfour_A4")</f>
        <v>28595_R41S01_Balfour_A4</v>
      </c>
      <c r="D5423">
        <v>28595</v>
      </c>
      <c r="E5423" t="s">
        <v>3422</v>
      </c>
      <c r="F5423" t="str">
        <f>HYPERLINK("http://www.mrt.tas.gov.au/webdoc2/app/default/drilling_detail?id=28595","Geol Survey Link")</f>
        <v>Geol Survey Link</v>
      </c>
      <c r="G5423" t="s">
        <v>3565</v>
      </c>
      <c r="H5423" t="s">
        <v>3567</v>
      </c>
      <c r="I5423">
        <v>-41.210700000000003</v>
      </c>
      <c r="J5423">
        <v>144.82900000000001</v>
      </c>
      <c r="K5423" t="str">
        <f>HYPERLINK("http://www.mrt.tas.gov.au/NVCLDataServices/mosaic.html?datasetid=8a8e810b-0405-4c41-beda-f6eb23031ac","28595_R41S01_Balfour_Core Image")</f>
        <v>28595_R41S01_Balfour_Core Image</v>
      </c>
    </row>
    <row r="5424" spans="1:11" x14ac:dyDescent="0.25">
      <c r="A5424" t="str">
        <f>HYPERLINK("http://www.corstruth.com.au/Tas/28596_R41S02_Balfour_cs.png","28596_R41S02_Balfour_A4")</f>
        <v>28596_R41S02_Balfour_A4</v>
      </c>
      <c r="D5424">
        <v>28596</v>
      </c>
      <c r="E5424" t="s">
        <v>3422</v>
      </c>
      <c r="F5424" t="str">
        <f>HYPERLINK("http://www.mrt.tas.gov.au/webdoc2/app/default/drilling_detail?id=28596","Geol Survey Link")</f>
        <v>Geol Survey Link</v>
      </c>
      <c r="G5424" t="s">
        <v>3565</v>
      </c>
      <c r="H5424" t="s">
        <v>3567</v>
      </c>
      <c r="I5424">
        <v>-41.211799999999997</v>
      </c>
      <c r="J5424">
        <v>144.828</v>
      </c>
      <c r="K5424" t="str">
        <f>HYPERLINK("http://www.mrt.tas.gov.au/NVCLDataServices/mosaic.html?datasetid=49eb1d5d-40fb-4edd-bba4-3652b7469a7","28596_R41S02_Balfour_Core Image")</f>
        <v>28596_R41S02_Balfour_Core Image</v>
      </c>
    </row>
    <row r="5425" spans="1:11" x14ac:dyDescent="0.25">
      <c r="A5425" t="str">
        <f>HYPERLINK("http://www.corstruth.com.au/Tas/92115_BS001_Brassey_South_1_cs.png","92115_BS001_Brassey_South_1_A4")</f>
        <v>92115_BS001_Brassey_South_1_A4</v>
      </c>
      <c r="B5425" t="str">
        <f>HYPERLINK("http://www.corstruth.com.au/Tas/PNG2/92115_BS001_Brassey_South_1_cs.png","92115_BS001_Brassey_South_1_0.25m Bins")</f>
        <v>92115_BS001_Brassey_South_1_0.25m Bins</v>
      </c>
      <c r="C5425" t="str">
        <f>HYPERLINK("http://www.corstruth.com.au/Tas/CSV/92115_BS001_Brassey_South_1.csv","92115_BS001_Brassey_South_1_CSV File 1m Bins")</f>
        <v>92115_BS001_Brassey_South_1_CSV File 1m Bins</v>
      </c>
      <c r="D5425">
        <v>92115</v>
      </c>
      <c r="E5425" t="s">
        <v>3422</v>
      </c>
      <c r="F5425" t="str">
        <f>HYPERLINK("http://www.mrt.tas.gov.au/webdoc2/app/default/drilling_detail?id=92115","Geol Survey Link")</f>
        <v>Geol Survey Link</v>
      </c>
      <c r="G5425" t="s">
        <v>3565</v>
      </c>
      <c r="H5425" t="s">
        <v>3568</v>
      </c>
      <c r="I5425">
        <v>-41.465000000000003</v>
      </c>
      <c r="J5425">
        <v>145.31299999999999</v>
      </c>
    </row>
    <row r="5426" spans="1:11" x14ac:dyDescent="0.25">
      <c r="A5426" t="str">
        <f>HYPERLINK("http://www.corstruth.com.au/Tas/92115_BS001_Brassey_South_2_cs.png","92115_BS001_Brassey_South_2_A4")</f>
        <v>92115_BS001_Brassey_South_2_A4</v>
      </c>
      <c r="B5426" t="str">
        <f>HYPERLINK("http://www.corstruth.com.au/Tas/PNG2/92115_BS001_Brassey_South_2_cs.png","92115_BS001_Brassey_South_2_0.25m Bins")</f>
        <v>92115_BS001_Brassey_South_2_0.25m Bins</v>
      </c>
      <c r="C5426" t="str">
        <f>HYPERLINK("http://www.corstruth.com.au/Tas/CSV/92115_BS001_Brassey_South_2.csv","92115_BS001_Brassey_South_2_CSV File 1m Bins")</f>
        <v>92115_BS001_Brassey_South_2_CSV File 1m Bins</v>
      </c>
      <c r="D5426">
        <v>92115</v>
      </c>
      <c r="E5426" t="s">
        <v>3422</v>
      </c>
      <c r="F5426" t="str">
        <f>HYPERLINK("http://www.mrt.tas.gov.au/webdoc2/app/default/drilling_detail?id=92115","Geol Survey Link")</f>
        <v>Geol Survey Link</v>
      </c>
      <c r="G5426" t="s">
        <v>3565</v>
      </c>
      <c r="H5426" t="s">
        <v>3568</v>
      </c>
      <c r="I5426">
        <v>-41.465000000000003</v>
      </c>
      <c r="J5426">
        <v>145.31299999999999</v>
      </c>
    </row>
    <row r="5427" spans="1:11" x14ac:dyDescent="0.25">
      <c r="A5427" t="str">
        <f>HYPERLINK("http://www.corstruth.com.au/Tas/19708_H99-1_Cape_Sorell_cs.png","19708_H99-1_Cape_Sorell_A4")</f>
        <v>19708_H99-1_Cape_Sorell_A4</v>
      </c>
      <c r="D5427">
        <v>19708</v>
      </c>
      <c r="E5427" t="s">
        <v>3422</v>
      </c>
      <c r="F5427" t="str">
        <f>HYPERLINK("http://www.mrt.tas.gov.au/webdoc2/app/default/drilling_detail?id=19708","Geol Survey Link")</f>
        <v>Geol Survey Link</v>
      </c>
      <c r="G5427" t="s">
        <v>3565</v>
      </c>
      <c r="H5427" t="s">
        <v>3569</v>
      </c>
      <c r="I5427">
        <v>-42.384500000000003</v>
      </c>
      <c r="J5427">
        <v>145.42500000000001</v>
      </c>
    </row>
    <row r="5428" spans="1:11" x14ac:dyDescent="0.25">
      <c r="A5428" t="str">
        <f>HYPERLINK("http://www.corstruth.com.au/Tas/19709_H99-2_Cape_Sorell_cs.png","19709_H99-2_Cape_Sorell_A4")</f>
        <v>19709_H99-2_Cape_Sorell_A4</v>
      </c>
      <c r="D5428">
        <v>19709</v>
      </c>
      <c r="E5428" t="s">
        <v>3422</v>
      </c>
      <c r="F5428" t="str">
        <f>HYPERLINK("http://www.mrt.tas.gov.au/webdoc2/app/default/drilling_detail?id=19709","Geol Survey Link")</f>
        <v>Geol Survey Link</v>
      </c>
      <c r="G5428" t="s">
        <v>3565</v>
      </c>
      <c r="H5428" t="s">
        <v>3569</v>
      </c>
      <c r="I5428">
        <v>-42.386099999999999</v>
      </c>
      <c r="J5428">
        <v>145.423</v>
      </c>
    </row>
    <row r="5429" spans="1:11" x14ac:dyDescent="0.25">
      <c r="A5429" t="str">
        <f>HYPERLINK("http://www.corstruth.com.au/Tas/19710_H99-3_Cape_Sorell_cs.png","19710_H99-3_Cape_Sorell_A4")</f>
        <v>19710_H99-3_Cape_Sorell_A4</v>
      </c>
      <c r="D5429">
        <v>19710</v>
      </c>
      <c r="E5429" t="s">
        <v>3422</v>
      </c>
      <c r="F5429" t="str">
        <f>HYPERLINK("http://www.mrt.tas.gov.au/webdoc2/app/default/drilling_detail?id=19710","Geol Survey Link")</f>
        <v>Geol Survey Link</v>
      </c>
      <c r="G5429" t="s">
        <v>3565</v>
      </c>
      <c r="H5429" t="s">
        <v>3569</v>
      </c>
      <c r="I5429">
        <v>-42.386099999999999</v>
      </c>
      <c r="J5429">
        <v>145.423</v>
      </c>
    </row>
    <row r="5430" spans="1:11" x14ac:dyDescent="0.25">
      <c r="A5430" t="str">
        <f>HYPERLINK("http://www.corstruth.com.au/Tas/82786_C2101_cs.png","82786_C2101_A4")</f>
        <v>82786_C2101_A4</v>
      </c>
      <c r="B5430" t="str">
        <f>HYPERLINK("http://www.corstruth.com.au/Tas/PNG2/82786_C2101_cs.png","82786_C2101_0.25m Bins")</f>
        <v>82786_C2101_0.25m Bins</v>
      </c>
      <c r="C5430" t="str">
        <f>HYPERLINK("http://www.corstruth.com.au/Tas/CSV/82786_C2101.csv","82786_C2101_CSV File 1m Bins")</f>
        <v>82786_C2101_CSV File 1m Bins</v>
      </c>
      <c r="D5430">
        <v>82786</v>
      </c>
      <c r="E5430" t="s">
        <v>3422</v>
      </c>
      <c r="F5430" t="str">
        <f>HYPERLINK("http://www.mrt.tas.gov.au/webdoc2/app/default/drilling_detail?id=82786","Geol Survey Link")</f>
        <v>Geol Survey Link</v>
      </c>
      <c r="G5430" t="s">
        <v>3565</v>
      </c>
      <c r="H5430" t="s">
        <v>3570</v>
      </c>
      <c r="I5430">
        <v>-41.476399999999998</v>
      </c>
      <c r="J5430">
        <v>145.386</v>
      </c>
      <c r="K5430" t="str">
        <f>HYPERLINK("http://www.mrt.tas.gov.au/NVCLDataServices/mosaic.html?datasetid=f2887805-cb5e-43bd-8a0c-21a6ae7fe33","82786_C2101_Core Image")</f>
        <v>82786_C2101_Core Image</v>
      </c>
    </row>
    <row r="5431" spans="1:11" x14ac:dyDescent="0.25">
      <c r="A5431" t="str">
        <f>HYPERLINK("http://www.corstruth.com.au/Tas/82788_C2103_cs.png","82788_C2103_A4")</f>
        <v>82788_C2103_A4</v>
      </c>
      <c r="B5431" t="str">
        <f>HYPERLINK("http://www.corstruth.com.au/Tas/PNG2/82788_C2103_cs.png","82788_C2103_0.25m Bins")</f>
        <v>82788_C2103_0.25m Bins</v>
      </c>
      <c r="C5431" t="str">
        <f>HYPERLINK("http://www.corstruth.com.au/Tas/CSV/82788_C2103.csv","82788_C2103_CSV File 1m Bins")</f>
        <v>82788_C2103_CSV File 1m Bins</v>
      </c>
      <c r="D5431">
        <v>82788</v>
      </c>
      <c r="E5431" t="s">
        <v>3422</v>
      </c>
      <c r="F5431" t="str">
        <f>HYPERLINK("http://www.mrt.tas.gov.au/webdoc2/app/default/drilling_detail?id=82788","Geol Survey Link")</f>
        <v>Geol Survey Link</v>
      </c>
      <c r="G5431" t="s">
        <v>3565</v>
      </c>
      <c r="H5431" t="s">
        <v>3570</v>
      </c>
      <c r="I5431">
        <v>-41.478200000000001</v>
      </c>
      <c r="J5431">
        <v>145.38300000000001</v>
      </c>
      <c r="K5431" t="str">
        <f>HYPERLINK("http://www.mrt.tas.gov.au/NVCLDataServices/mosaic.html?datasetid=4e259928-7423-4317-a5bd-0b1cd998055","82788_C2103_Core Image")</f>
        <v>82788_C2103_Core Image</v>
      </c>
    </row>
    <row r="5432" spans="1:11" x14ac:dyDescent="0.25">
      <c r="A5432" t="str">
        <f>HYPERLINK("http://www.corstruth.com.au/Tas/82789_C2104_cs.png","82789_C2104_A4")</f>
        <v>82789_C2104_A4</v>
      </c>
      <c r="B5432" t="str">
        <f>HYPERLINK("http://www.corstruth.com.au/Tas/PNG2/82789_C2104_cs.png","82789_C2104_0.25m Bins")</f>
        <v>82789_C2104_0.25m Bins</v>
      </c>
      <c r="C5432" t="str">
        <f>HYPERLINK("http://www.corstruth.com.au/Tas/CSV/82789_C2104.csv","82789_C2104_CSV File 1m Bins")</f>
        <v>82789_C2104_CSV File 1m Bins</v>
      </c>
      <c r="D5432">
        <v>82789</v>
      </c>
      <c r="E5432" t="s">
        <v>3422</v>
      </c>
      <c r="F5432" t="str">
        <f>HYPERLINK("http://www.mrt.tas.gov.au/webdoc2/app/default/drilling_detail?id=82789","Geol Survey Link")</f>
        <v>Geol Survey Link</v>
      </c>
      <c r="G5432" t="s">
        <v>3565</v>
      </c>
      <c r="H5432" t="s">
        <v>3570</v>
      </c>
      <c r="I5432">
        <v>-41.478499999999997</v>
      </c>
      <c r="J5432">
        <v>145.38300000000001</v>
      </c>
      <c r="K5432" t="str">
        <f>HYPERLINK("http://www.mrt.tas.gov.au/NVCLDataServices/mosaic.html?datasetid=d4f87283-b3a0-47f5-9553-5f44d77b2fe","82789_C2104_Core Image")</f>
        <v>82789_C2104_Core Image</v>
      </c>
    </row>
    <row r="5433" spans="1:11" x14ac:dyDescent="0.25">
      <c r="A5433" t="str">
        <f>HYPERLINK("http://www.corstruth.com.au/Tas/82790_C2105_cs.png","82790_C2105_A4")</f>
        <v>82790_C2105_A4</v>
      </c>
      <c r="B5433" t="str">
        <f>HYPERLINK("http://www.corstruth.com.au/Tas/PNG2/82790_C2105_cs.png","82790_C2105_0.25m Bins")</f>
        <v>82790_C2105_0.25m Bins</v>
      </c>
      <c r="C5433" t="str">
        <f>HYPERLINK("http://www.corstruth.com.au/Tas/CSV/82790_C2105.csv","82790_C2105_CSV File 1m Bins")</f>
        <v>82790_C2105_CSV File 1m Bins</v>
      </c>
      <c r="D5433">
        <v>82790</v>
      </c>
      <c r="E5433" t="s">
        <v>3422</v>
      </c>
      <c r="F5433" t="str">
        <f>HYPERLINK("http://www.mrt.tas.gov.au/webdoc2/app/default/drilling_detail?id=82790","Geol Survey Link")</f>
        <v>Geol Survey Link</v>
      </c>
      <c r="G5433" t="s">
        <v>3565</v>
      </c>
      <c r="H5433" t="s">
        <v>3570</v>
      </c>
      <c r="I5433">
        <v>-41.478499999999997</v>
      </c>
      <c r="J5433">
        <v>145.38300000000001</v>
      </c>
      <c r="K5433" t="str">
        <f>HYPERLINK("http://www.mrt.tas.gov.au/NVCLDataServices/mosaic.html?datasetid=4b81db0c-c956-4c38-8137-28a3d5de0a1","82790_C2105_Core Image")</f>
        <v>82790_C2105_Core Image</v>
      </c>
    </row>
    <row r="5434" spans="1:11" x14ac:dyDescent="0.25">
      <c r="A5434" t="str">
        <f>HYPERLINK("http://www.corstruth.com.au/Tas/82791_C2106_cs.png","82791_C2106_A4")</f>
        <v>82791_C2106_A4</v>
      </c>
      <c r="B5434" t="str">
        <f>HYPERLINK("http://www.corstruth.com.au/Tas/PNG2/82791_C2106_cs.png","82791_C2106_0.25m Bins")</f>
        <v>82791_C2106_0.25m Bins</v>
      </c>
      <c r="C5434" t="str">
        <f>HYPERLINK("http://www.corstruth.com.au/Tas/CSV/82791_C2106.csv","82791_C2106_CSV File 1m Bins")</f>
        <v>82791_C2106_CSV File 1m Bins</v>
      </c>
      <c r="D5434">
        <v>82791</v>
      </c>
      <c r="E5434" t="s">
        <v>3422</v>
      </c>
      <c r="F5434" t="str">
        <f>HYPERLINK("http://www.mrt.tas.gov.au/webdoc2/app/default/drilling_detail?id=82791","Geol Survey Link")</f>
        <v>Geol Survey Link</v>
      </c>
      <c r="G5434" t="s">
        <v>3565</v>
      </c>
      <c r="H5434" t="s">
        <v>3570</v>
      </c>
      <c r="I5434">
        <v>-41.478299999999997</v>
      </c>
      <c r="J5434">
        <v>145.38499999999999</v>
      </c>
      <c r="K5434" t="str">
        <f>HYPERLINK("http://www.mrt.tas.gov.au/NVCLDataServices/mosaic.html?datasetid=7ec51796-2fa7-4757-8e2d-cc2e7d448de","82791_C2106_Core Image")</f>
        <v>82791_C2106_Core Image</v>
      </c>
    </row>
    <row r="5435" spans="1:11" x14ac:dyDescent="0.25">
      <c r="A5435" t="str">
        <f>HYPERLINK("http://www.corstruth.com.au/Tas/82792_C2107_cs.png","82792_C2107_A4")</f>
        <v>82792_C2107_A4</v>
      </c>
      <c r="B5435" t="str">
        <f>HYPERLINK("http://www.corstruth.com.au/Tas/PNG2/82792_C2107_cs.png","82792_C2107_0.25m Bins")</f>
        <v>82792_C2107_0.25m Bins</v>
      </c>
      <c r="C5435" t="str">
        <f>HYPERLINK("http://www.corstruth.com.au/Tas/CSV/82792_C2107.csv","82792_C2107_CSV File 1m Bins")</f>
        <v>82792_C2107_CSV File 1m Bins</v>
      </c>
      <c r="D5435">
        <v>82792</v>
      </c>
      <c r="E5435" t="s">
        <v>3422</v>
      </c>
      <c r="F5435" t="str">
        <f>HYPERLINK("http://www.mrt.tas.gov.au/webdoc2/app/default/drilling_detail?id=82792","Geol Survey Link")</f>
        <v>Geol Survey Link</v>
      </c>
      <c r="G5435" t="s">
        <v>3565</v>
      </c>
      <c r="H5435" t="s">
        <v>3570</v>
      </c>
      <c r="I5435">
        <v>-41.476900000000001</v>
      </c>
      <c r="J5435">
        <v>145.386</v>
      </c>
      <c r="K5435" t="str">
        <f>HYPERLINK("http://www.mrt.tas.gov.au/NVCLDataServices/mosaic.html?datasetid=e413db71-63b5-471d-a9b5-5a867609136","82792_C2107_Core Image")</f>
        <v>82792_C2107_Core Image</v>
      </c>
    </row>
    <row r="5436" spans="1:11" x14ac:dyDescent="0.25">
      <c r="A5436" t="str">
        <f>HYPERLINK("http://www.corstruth.com.au/Tas/82793_C2108_Cleveland_cs.png","82793_C2108_Cleveland_A4")</f>
        <v>82793_C2108_Cleveland_A4</v>
      </c>
      <c r="B5436" t="str">
        <f>HYPERLINK("http://www.corstruth.com.au/Tas/PNG2/82793_C2108_Cleveland_cs.png","82793_C2108_Cleveland_0.25m Bins")</f>
        <v>82793_C2108_Cleveland_0.25m Bins</v>
      </c>
      <c r="C5436" t="str">
        <f>HYPERLINK("http://www.corstruth.com.au/Tas/CSV/82793_C2108_Cleveland.csv","82793_C2108_Cleveland_CSV File 1m Bins")</f>
        <v>82793_C2108_Cleveland_CSV File 1m Bins</v>
      </c>
      <c r="D5436">
        <v>82793</v>
      </c>
      <c r="E5436" t="s">
        <v>3422</v>
      </c>
      <c r="F5436" t="str">
        <f>HYPERLINK("http://www.mrt.tas.gov.au/webdoc2/app/default/drilling_detail?id=82793","Geol Survey Link")</f>
        <v>Geol Survey Link</v>
      </c>
      <c r="G5436" t="s">
        <v>3565</v>
      </c>
      <c r="H5436" t="s">
        <v>3570</v>
      </c>
      <c r="I5436">
        <v>-41.479100000000003</v>
      </c>
      <c r="J5436">
        <v>145.38499999999999</v>
      </c>
      <c r="K5436" t="str">
        <f>HYPERLINK("http://www.mrt.tas.gov.au/NVCLDataServices/mosaic.html?datasetid=b58a382c-b28a-4dec-9604-2eb12d54c80","82793_C2108_Cleveland_Core Image")</f>
        <v>82793_C2108_Cleveland_Core Image</v>
      </c>
    </row>
    <row r="5437" spans="1:11" x14ac:dyDescent="0.25">
      <c r="A5437" t="str">
        <f>HYPERLINK("http://www.corstruth.com.au/Tas/82794_C2109_cs.png","82794_C2109_A4")</f>
        <v>82794_C2109_A4</v>
      </c>
      <c r="B5437" t="str">
        <f>HYPERLINK("http://www.corstruth.com.au/Tas/PNG2/82794_C2109_cs.png","82794_C2109_0.25m Bins")</f>
        <v>82794_C2109_0.25m Bins</v>
      </c>
      <c r="C5437" t="str">
        <f>HYPERLINK("http://www.corstruth.com.au/Tas/CSV/82794_C2109.csv","82794_C2109_CSV File 1m Bins")</f>
        <v>82794_C2109_CSV File 1m Bins</v>
      </c>
      <c r="D5437">
        <v>82794</v>
      </c>
      <c r="E5437" t="s">
        <v>3422</v>
      </c>
      <c r="F5437" t="str">
        <f>HYPERLINK("http://www.mrt.tas.gov.au/webdoc2/app/default/drilling_detail?id=82794","Geol Survey Link")</f>
        <v>Geol Survey Link</v>
      </c>
      <c r="G5437" t="s">
        <v>3565</v>
      </c>
      <c r="H5437" t="s">
        <v>3570</v>
      </c>
      <c r="I5437">
        <v>-41.479399999999998</v>
      </c>
      <c r="J5437">
        <v>145.38499999999999</v>
      </c>
      <c r="K5437" t="str">
        <f>HYPERLINK("http://www.mrt.tas.gov.au/NVCLDataServices/mosaic.html?datasetid=f14526f6-e68c-4c97-a1a6-8c12f9450dd","82794_C2109_Core Image")</f>
        <v>82794_C2109_Core Image</v>
      </c>
    </row>
    <row r="5438" spans="1:11" x14ac:dyDescent="0.25">
      <c r="A5438" t="str">
        <f>HYPERLINK("http://www.corstruth.com.au/Tas/82795_C2110_cs.png","82795_C2110_A4")</f>
        <v>82795_C2110_A4</v>
      </c>
      <c r="B5438" t="str">
        <f>HYPERLINK("http://www.corstruth.com.au/Tas/PNG2/82795_C2110_cs.png","82795_C2110_0.25m Bins")</f>
        <v>82795_C2110_0.25m Bins</v>
      </c>
      <c r="C5438" t="str">
        <f>HYPERLINK("http://www.corstruth.com.au/Tas/CSV/82795_C2110.csv","82795_C2110_CSV File 1m Bins")</f>
        <v>82795_C2110_CSV File 1m Bins</v>
      </c>
      <c r="D5438">
        <v>82795</v>
      </c>
      <c r="E5438" t="s">
        <v>3422</v>
      </c>
      <c r="F5438" t="str">
        <f>HYPERLINK("http://www.mrt.tas.gov.au/webdoc2/app/default/drilling_detail?id=82795","Geol Survey Link")</f>
        <v>Geol Survey Link</v>
      </c>
      <c r="G5438" t="s">
        <v>3565</v>
      </c>
      <c r="H5438" t="s">
        <v>3570</v>
      </c>
      <c r="I5438">
        <v>-41.475299999999997</v>
      </c>
      <c r="J5438">
        <v>145.39099999999999</v>
      </c>
      <c r="K5438" t="str">
        <f>HYPERLINK("http://www.mrt.tas.gov.au/NVCLDataServices/mosaic.html?datasetid=cac3bff0-dabb-4ccc-847d-572632214f9","82795_C2110_Core Image")</f>
        <v>82795_C2110_Core Image</v>
      </c>
    </row>
    <row r="5439" spans="1:11" x14ac:dyDescent="0.25">
      <c r="A5439" t="str">
        <f>HYPERLINK("http://www.corstruth.com.au/Tas/82796_C2111_cs.png","82796_C2111_A4")</f>
        <v>82796_C2111_A4</v>
      </c>
      <c r="B5439" t="str">
        <f>HYPERLINK("http://www.corstruth.com.au/Tas/PNG2/82796_C2111_cs.png","82796_C2111_0.25m Bins")</f>
        <v>82796_C2111_0.25m Bins</v>
      </c>
      <c r="C5439" t="str">
        <f>HYPERLINK("http://www.corstruth.com.au/Tas/CSV/82796_C2111.csv","82796_C2111_CSV File 1m Bins")</f>
        <v>82796_C2111_CSV File 1m Bins</v>
      </c>
      <c r="D5439">
        <v>82796</v>
      </c>
      <c r="E5439" t="s">
        <v>3422</v>
      </c>
      <c r="F5439" t="str">
        <f>HYPERLINK("http://www.mrt.tas.gov.au/webdoc2/app/default/drilling_detail?id=82796","Geol Survey Link")</f>
        <v>Geol Survey Link</v>
      </c>
      <c r="G5439" t="s">
        <v>3565</v>
      </c>
      <c r="H5439" t="s">
        <v>3570</v>
      </c>
      <c r="I5439">
        <v>-41.4756</v>
      </c>
      <c r="J5439">
        <v>145.39099999999999</v>
      </c>
      <c r="K5439" t="str">
        <f>HYPERLINK("http://www.mrt.tas.gov.au/NVCLDataServices/mosaic.html?datasetid=63e61a9b-5aba-4985-95cb-917f5c8ee00","82796_C2111_Core Image")</f>
        <v>82796_C2111_Core Image</v>
      </c>
    </row>
    <row r="5440" spans="1:11" x14ac:dyDescent="0.25">
      <c r="A5440" t="str">
        <f>HYPERLINK("http://www.corstruth.com.au/Tas/82797_C2112_cs.png","82797_C2112_A4")</f>
        <v>82797_C2112_A4</v>
      </c>
      <c r="B5440" t="str">
        <f>HYPERLINK("http://www.corstruth.com.au/Tas/PNG2/82797_C2112_cs.png","82797_C2112_0.25m Bins")</f>
        <v>82797_C2112_0.25m Bins</v>
      </c>
      <c r="C5440" t="str">
        <f>HYPERLINK("http://www.corstruth.com.au/Tas/CSV/82797_C2112.csv","82797_C2112_CSV File 1m Bins")</f>
        <v>82797_C2112_CSV File 1m Bins</v>
      </c>
      <c r="D5440">
        <v>82797</v>
      </c>
      <c r="E5440" t="s">
        <v>3422</v>
      </c>
      <c r="F5440" t="str">
        <f>HYPERLINK("http://www.mrt.tas.gov.au/webdoc2/app/default/drilling_detail?id=82797","Geol Survey Link")</f>
        <v>Geol Survey Link</v>
      </c>
      <c r="G5440" t="s">
        <v>3565</v>
      </c>
      <c r="H5440" t="s">
        <v>3570</v>
      </c>
      <c r="I5440">
        <v>-41.475499999999997</v>
      </c>
      <c r="J5440">
        <v>145.39099999999999</v>
      </c>
      <c r="K5440" t="str">
        <f>HYPERLINK("http://www.mrt.tas.gov.au/NVCLDataServices/mosaic.html?datasetid=502efbf0-44d4-47b9-a1fa-14ae6b4f7e3","82797_C2112_Core Image")</f>
        <v>82797_C2112_Core Image</v>
      </c>
    </row>
    <row r="5441" spans="1:11" x14ac:dyDescent="0.25">
      <c r="A5441" t="str">
        <f>HYPERLINK("http://www.corstruth.com.au/Tas/82798_C2113_cs.png","82798_C2113_A4")</f>
        <v>82798_C2113_A4</v>
      </c>
      <c r="B5441" t="str">
        <f>HYPERLINK("http://www.corstruth.com.au/Tas/PNG2/82798_C2113_cs.png","82798_C2113_0.25m Bins")</f>
        <v>82798_C2113_0.25m Bins</v>
      </c>
      <c r="C5441" t="str">
        <f>HYPERLINK("http://www.corstruth.com.au/Tas/CSV/82798_C2113.csv","82798_C2113_CSV File 1m Bins")</f>
        <v>82798_C2113_CSV File 1m Bins</v>
      </c>
      <c r="D5441">
        <v>82798</v>
      </c>
      <c r="E5441" t="s">
        <v>3422</v>
      </c>
      <c r="F5441" t="str">
        <f>HYPERLINK("http://www.mrt.tas.gov.au/webdoc2/app/default/drilling_detail?id=82798","Geol Survey Link")</f>
        <v>Geol Survey Link</v>
      </c>
      <c r="G5441" t="s">
        <v>3565</v>
      </c>
      <c r="H5441" t="s">
        <v>3570</v>
      </c>
      <c r="I5441">
        <v>-41.475499999999997</v>
      </c>
      <c r="J5441">
        <v>145.38900000000001</v>
      </c>
      <c r="K5441" t="str">
        <f>HYPERLINK("http://www.mrt.tas.gov.au/NVCLDataServices/mosaic.html?datasetid=8ba06c91-a710-458c-a0e9-1215f7a7f3a","82798_C2113_Core Image")</f>
        <v>82798_C2113_Core Image</v>
      </c>
    </row>
    <row r="5442" spans="1:11" x14ac:dyDescent="0.25">
      <c r="A5442" t="str">
        <f>HYPERLINK("http://www.corstruth.com.au/Tas/82799_C2114_Cleveland_cs.png","82799_C2114_Cleveland_A4")</f>
        <v>82799_C2114_Cleveland_A4</v>
      </c>
      <c r="B5442" t="str">
        <f>HYPERLINK("http://www.corstruth.com.au/Tas/PNG2/82799_C2114_Cleveland_cs.png","82799_C2114_Cleveland_0.25m Bins")</f>
        <v>82799_C2114_Cleveland_0.25m Bins</v>
      </c>
      <c r="C5442" t="str">
        <f>HYPERLINK("http://www.corstruth.com.au/Tas/CSV/82799_C2114_Cleveland.csv","82799_C2114_Cleveland_CSV File 1m Bins")</f>
        <v>82799_C2114_Cleveland_CSV File 1m Bins</v>
      </c>
      <c r="D5442">
        <v>82799</v>
      </c>
      <c r="E5442" t="s">
        <v>3422</v>
      </c>
      <c r="F5442" t="str">
        <f>HYPERLINK("http://www.mrt.tas.gov.au/webdoc2/app/default/drilling_detail?id=82799","Geol Survey Link")</f>
        <v>Geol Survey Link</v>
      </c>
      <c r="G5442" t="s">
        <v>3565</v>
      </c>
      <c r="H5442" t="s">
        <v>3570</v>
      </c>
      <c r="I5442">
        <v>-41.475099999999998</v>
      </c>
      <c r="J5442">
        <v>145.387</v>
      </c>
      <c r="K5442" t="str">
        <f>HYPERLINK("http://www.mrt.tas.gov.au/NVCLDataServices/mosaic.html?datasetid=96bb4b0d-88a1-4936-a58c-74d908127da","82799_C2114_Cleveland_Core Image")</f>
        <v>82799_C2114_Cleveland_Core Image</v>
      </c>
    </row>
    <row r="5443" spans="1:11" x14ac:dyDescent="0.25">
      <c r="A5443" t="str">
        <f>HYPERLINK("http://www.corstruth.com.au/Tas/82800_C2115_cs.png","82800_C2115_A4")</f>
        <v>82800_C2115_A4</v>
      </c>
      <c r="B5443" t="str">
        <f>HYPERLINK("http://www.corstruth.com.au/Tas/PNG2/82800_C2115_cs.png","82800_C2115_0.25m Bins")</f>
        <v>82800_C2115_0.25m Bins</v>
      </c>
      <c r="C5443" t="str">
        <f>HYPERLINK("http://www.corstruth.com.au/Tas/CSV/82800_C2115.csv","82800_C2115_CSV File 1m Bins")</f>
        <v>82800_C2115_CSV File 1m Bins</v>
      </c>
      <c r="D5443">
        <v>82800</v>
      </c>
      <c r="E5443" t="s">
        <v>3422</v>
      </c>
      <c r="F5443" t="str">
        <f>HYPERLINK("http://www.mrt.tas.gov.au/webdoc2/app/default/drilling_detail?id=82800","Geol Survey Link")</f>
        <v>Geol Survey Link</v>
      </c>
      <c r="G5443" t="s">
        <v>3565</v>
      </c>
      <c r="H5443" t="s">
        <v>3570</v>
      </c>
      <c r="I5443">
        <v>-41.476799999999997</v>
      </c>
      <c r="J5443">
        <v>145.38499999999999</v>
      </c>
      <c r="K5443" t="str">
        <f>HYPERLINK("http://www.mrt.tas.gov.au/NVCLDataServices/mosaic.html?datasetid=eca4a7f6-bf3c-4826-83ac-38be7d53287","82800_C2115_Core Image")</f>
        <v>82800_C2115_Core Image</v>
      </c>
    </row>
    <row r="5444" spans="1:11" x14ac:dyDescent="0.25">
      <c r="A5444" t="str">
        <f>HYPERLINK("http://www.corstruth.com.au/Tas/82802_C2117_Cleveland_cs.png","82802_C2117_Cleveland_A4")</f>
        <v>82802_C2117_Cleveland_A4</v>
      </c>
      <c r="B5444" t="str">
        <f>HYPERLINK("http://www.corstruth.com.au/Tas/PNG2/82802_C2117_Cleveland_cs.png","82802_C2117_Cleveland_0.25m Bins")</f>
        <v>82802_C2117_Cleveland_0.25m Bins</v>
      </c>
      <c r="C5444" t="str">
        <f>HYPERLINK("http://www.corstruth.com.au/Tas/CSV/82802_C2117_Cleveland.csv","82802_C2117_Cleveland_CSV File 1m Bins")</f>
        <v>82802_C2117_Cleveland_CSV File 1m Bins</v>
      </c>
      <c r="D5444">
        <v>82802</v>
      </c>
      <c r="E5444" t="s">
        <v>3422</v>
      </c>
      <c r="F5444" t="str">
        <f>HYPERLINK("http://www.mrt.tas.gov.au/webdoc2/app/default/drilling_detail?id=82802","Geol Survey Link")</f>
        <v>Geol Survey Link</v>
      </c>
      <c r="G5444" t="s">
        <v>3565</v>
      </c>
      <c r="H5444" t="s">
        <v>3570</v>
      </c>
      <c r="I5444">
        <v>-41.473199999999999</v>
      </c>
      <c r="J5444">
        <v>145.386</v>
      </c>
      <c r="K5444" t="str">
        <f>HYPERLINK("http://www.mrt.tas.gov.au/NVCLDataServices/mosaic.html?datasetid=6a31f087-266d-46f0-ba9a-b0b0ae392f7","82802_C2117_Cleveland_Core Image")</f>
        <v>82802_C2117_Cleveland_Core Image</v>
      </c>
    </row>
    <row r="5445" spans="1:11" x14ac:dyDescent="0.25">
      <c r="A5445" t="str">
        <f>HYPERLINK("http://www.corstruth.com.au/Tas/82803_C2118_Cleveland_cs.png","82803_C2118_Cleveland_A4")</f>
        <v>82803_C2118_Cleveland_A4</v>
      </c>
      <c r="B5445" t="str">
        <f>HYPERLINK("http://www.corstruth.com.au/Tas/PNG2/82803_C2118_Cleveland_cs.png","82803_C2118_Cleveland_0.25m Bins")</f>
        <v>82803_C2118_Cleveland_0.25m Bins</v>
      </c>
      <c r="C5445" t="str">
        <f>HYPERLINK("http://www.corstruth.com.au/Tas/CSV/82803_C2118_Cleveland.csv","82803_C2118_Cleveland_CSV File 1m Bins")</f>
        <v>82803_C2118_Cleveland_CSV File 1m Bins</v>
      </c>
      <c r="D5445">
        <v>82803</v>
      </c>
      <c r="E5445" t="s">
        <v>3422</v>
      </c>
      <c r="F5445" t="str">
        <f>HYPERLINK("http://www.mrt.tas.gov.au/webdoc2/app/default/drilling_detail?id=82803","Geol Survey Link")</f>
        <v>Geol Survey Link</v>
      </c>
      <c r="G5445" t="s">
        <v>3565</v>
      </c>
      <c r="H5445" t="s">
        <v>3570</v>
      </c>
      <c r="I5445">
        <v>-41.471899999999998</v>
      </c>
      <c r="J5445">
        <v>145.38900000000001</v>
      </c>
      <c r="K5445" t="str">
        <f>HYPERLINK("http://www.mrt.tas.gov.au/NVCLDataServices/mosaic.html?datasetid=d30b4ea5-b7be-4550-85d9-66343de6a22","82803_C2118_Cleveland_Core Image")</f>
        <v>82803_C2118_Cleveland_Core Image</v>
      </c>
    </row>
    <row r="5446" spans="1:11" x14ac:dyDescent="0.25">
      <c r="A5446" t="str">
        <f>HYPERLINK("http://www.corstruth.com.au/Tas/37893_CC0-3_cs.png","37893_CC0-3_A4")</f>
        <v>37893_CC0-3_A4</v>
      </c>
      <c r="B5446" t="str">
        <f>HYPERLINK("http://www.corstruth.com.au/Tas/PNG2/37893_CC0-3_cs.png","37893_CC0-3_0.25m Bins")</f>
        <v>37893_CC0-3_0.25m Bins</v>
      </c>
      <c r="C5446" t="str">
        <f>HYPERLINK("http://www.corstruth.com.au/Tas/CSV/37893_CC0-3.csv","37893_CC0-3_CSV File 1m Bins")</f>
        <v>37893_CC0-3_CSV File 1m Bins</v>
      </c>
      <c r="D5446">
        <v>37893</v>
      </c>
      <c r="E5446" t="s">
        <v>3422</v>
      </c>
      <c r="F5446" t="str">
        <f>HYPERLINK("http://www.mrt.tas.gov.au/webdoc2/app/default/drilling_detail?id=37893","Geol Survey Link")</f>
        <v>Geol Survey Link</v>
      </c>
      <c r="G5446" t="s">
        <v>3565</v>
      </c>
      <c r="H5446" t="s">
        <v>3446</v>
      </c>
      <c r="I5446">
        <v>-41.885599999999997</v>
      </c>
      <c r="J5446">
        <v>145.44499999999999</v>
      </c>
      <c r="K5446" t="str">
        <f>HYPERLINK("http://www.mrt.tas.gov.au/NVCLDataServices/mosaic.html?datasetid=c3b953ae-13dc-4017-8567-dcd8af05a2e","37893_CC0-3_Core Image")</f>
        <v>37893_CC0-3_Core Image</v>
      </c>
    </row>
    <row r="5447" spans="1:11" x14ac:dyDescent="0.25">
      <c r="A5447" t="str">
        <f>HYPERLINK("http://www.corstruth.com.au/Tas/14458_D340-8_cs.png","14458_D340-8_A4")</f>
        <v>14458_D340-8_A4</v>
      </c>
      <c r="B5447" t="str">
        <f>HYPERLINK("http://www.corstruth.com.au/Tas/PNG2/14458_D340-8_cs.png","14458_D340-8_0.25m Bins")</f>
        <v>14458_D340-8_0.25m Bins</v>
      </c>
      <c r="C5447" t="str">
        <f>HYPERLINK("http://www.corstruth.com.au/Tas/CSV/14458_D340-8.csv","14458_D340-8_CSV File 1m Bins")</f>
        <v>14458_D340-8_CSV File 1m Bins</v>
      </c>
      <c r="D5447">
        <v>14458</v>
      </c>
      <c r="E5447" t="s">
        <v>3422</v>
      </c>
      <c r="F5447" t="str">
        <f>HYPERLINK("http://www.mrt.tas.gov.au/webdoc2/app/default/drilling_detail?id=14458","Geol Survey Link")</f>
        <v>Geol Survey Link</v>
      </c>
      <c r="G5447" t="s">
        <v>3565</v>
      </c>
      <c r="H5447" t="s">
        <v>3434</v>
      </c>
      <c r="I5447">
        <v>-40.055500000000002</v>
      </c>
      <c r="J5447">
        <v>144.06800000000001</v>
      </c>
      <c r="K5447" t="str">
        <f>HYPERLINK("http://www.mrt.tas.gov.au/NVCLDataServices/mosaic.html?datasetid=0066a509-10f9-4516-8778-4f5deb08313","14458_D340-8_Core Image")</f>
        <v>14458_D340-8_Core Image</v>
      </c>
    </row>
    <row r="5448" spans="1:11" x14ac:dyDescent="0.25">
      <c r="A5448" t="str">
        <f>HYPERLINK("http://www.corstruth.com.au/Tas/14458_D340-8_Dolphin_King_Island_cs.png","14458_D340-8_Dolphin_King_Island_A4")</f>
        <v>14458_D340-8_Dolphin_King_Island_A4</v>
      </c>
      <c r="B5448" t="str">
        <f>HYPERLINK("http://www.corstruth.com.au/Tas/PNG2/14458_D340-8_Dolphin_King_Island_cs.png","14458_D340-8_Dolphin_King_Island_0.25m Bins")</f>
        <v>14458_D340-8_Dolphin_King_Island_0.25m Bins</v>
      </c>
      <c r="C5448" t="str">
        <f>HYPERLINK("http://www.corstruth.com.au/Tas/CSV/14458_D340-8_Dolphin_King_Island.csv","14458_D340-8_Dolphin_King_Island_CSV File 1m Bins")</f>
        <v>14458_D340-8_Dolphin_King_Island_CSV File 1m Bins</v>
      </c>
      <c r="D5448">
        <v>14458</v>
      </c>
      <c r="E5448" t="s">
        <v>3422</v>
      </c>
      <c r="F5448" t="str">
        <f>HYPERLINK("http://www.mrt.tas.gov.au/webdoc2/app/default/drilling_detail?id=14458","Geol Survey Link")</f>
        <v>Geol Survey Link</v>
      </c>
      <c r="G5448" t="s">
        <v>3565</v>
      </c>
      <c r="H5448" t="s">
        <v>3434</v>
      </c>
      <c r="I5448">
        <v>-40.055500000000002</v>
      </c>
      <c r="J5448">
        <v>144.06800000000001</v>
      </c>
      <c r="K5448" t="str">
        <f>HYPERLINK("http://www.mrt.tas.gov.au/NVCLDataServices/mosaic.html?datasetid=0066a509-10f9-4516-8778-4f5deb08313","14458_D340-8_Dolphin_King_Island_Core Image")</f>
        <v>14458_D340-8_Dolphin_King_Island_Core Image</v>
      </c>
    </row>
    <row r="5449" spans="1:11" x14ac:dyDescent="0.25">
      <c r="A5449" t="str">
        <f>HYPERLINK("http://www.corstruth.com.au/Tas/2272_FL4_Fooks_Load_Waratah_cs.png","2272_FL4_Fooks_Load_Waratah_A4")</f>
        <v>2272_FL4_Fooks_Load_Waratah_A4</v>
      </c>
      <c r="B5449" t="str">
        <f>HYPERLINK("http://www.corstruth.com.au/Tas/PNG2/2272_FL4_Fooks_Load_Waratah_cs.png","2272_FL4_Fooks_Load_Waratah_0.25m Bins")</f>
        <v>2272_FL4_Fooks_Load_Waratah_0.25m Bins</v>
      </c>
      <c r="C5449" t="str">
        <f>HYPERLINK("http://www.corstruth.com.au/Tas/CSV/2272_FL4_Fooks_Load_Waratah.csv","2272_FL4_Fooks_Load_Waratah_CSV File 1m Bins")</f>
        <v>2272_FL4_Fooks_Load_Waratah_CSV File 1m Bins</v>
      </c>
      <c r="D5449">
        <v>2272</v>
      </c>
      <c r="E5449" t="s">
        <v>3422</v>
      </c>
      <c r="F5449" t="str">
        <f>HYPERLINK("http://www.mrt.tas.gov.au/webdoc2/app/default/drilling_detail?id=2272","Geol Survey Link")</f>
        <v>Geol Survey Link</v>
      </c>
      <c r="G5449" t="s">
        <v>3565</v>
      </c>
      <c r="H5449" t="s">
        <v>3571</v>
      </c>
      <c r="I5449">
        <v>-41.441200000000002</v>
      </c>
      <c r="J5449">
        <v>145.53399999999999</v>
      </c>
      <c r="K5449" t="str">
        <f>HYPERLINK("http://www.mrt.tas.gov.au/NVCLDataServices/mosaic.html?datasetid=c4ce57a5-8e01-464b-938c-59a18cf4d5c","2272_FL4_Fooks_Load_Waratah_Core Image")</f>
        <v>2272_FL4_Fooks_Load_Waratah_Core Image</v>
      </c>
    </row>
    <row r="5450" spans="1:11" x14ac:dyDescent="0.25">
      <c r="A5450" t="str">
        <f>HYPERLINK("http://www.corstruth.com.au/Tas/29512_H99-04_Hill_99_cs.png","29512_H99-04_Hill_99_A4")</f>
        <v>29512_H99-04_Hill_99_A4</v>
      </c>
      <c r="D5450">
        <v>29512</v>
      </c>
      <c r="E5450" t="s">
        <v>3422</v>
      </c>
      <c r="F5450" t="str">
        <f>HYPERLINK("http://www.mrt.tas.gov.au/webdoc2/app/default/drilling_detail?id=29512","Geol Survey Link")</f>
        <v>Geol Survey Link</v>
      </c>
      <c r="G5450" t="s">
        <v>3565</v>
      </c>
      <c r="H5450" t="s">
        <v>3572</v>
      </c>
      <c r="I5450">
        <v>-42.3855</v>
      </c>
      <c r="J5450">
        <v>145.42400000000001</v>
      </c>
    </row>
    <row r="5451" spans="1:11" x14ac:dyDescent="0.25">
      <c r="A5451" t="str">
        <f>HYPERLINK("http://www.corstruth.com.au/Tas/29632_H99-05_Hill_99_cs.png","29632_H99-05_Hill_99_A4")</f>
        <v>29632_H99-05_Hill_99_A4</v>
      </c>
      <c r="D5451">
        <v>29632</v>
      </c>
      <c r="E5451" t="s">
        <v>3422</v>
      </c>
      <c r="F5451" t="str">
        <f>HYPERLINK("http://www.mrt.tas.gov.au/webdoc2/app/default/drilling_detail?id=29632","Geol Survey Link")</f>
        <v>Geol Survey Link</v>
      </c>
      <c r="G5451" t="s">
        <v>3565</v>
      </c>
      <c r="H5451" t="s">
        <v>3572</v>
      </c>
      <c r="I5451">
        <v>-42.385899999999999</v>
      </c>
      <c r="J5451">
        <v>145.422</v>
      </c>
    </row>
    <row r="5452" spans="1:11" x14ac:dyDescent="0.25">
      <c r="A5452" t="str">
        <f>HYPERLINK("http://www.corstruth.com.au/Tas/20613_HUN-1_cs.png","20613_HUN-1_A4")</f>
        <v>20613_HUN-1_A4</v>
      </c>
      <c r="B5452" t="str">
        <f>HYPERLINK("http://www.corstruth.com.au/Tas/PNG2/20613_HUN-1_cs.png","20613_HUN-1_0.25m Bins")</f>
        <v>20613_HUN-1_0.25m Bins</v>
      </c>
      <c r="C5452" t="str">
        <f>HYPERLINK("http://www.corstruth.com.au/Tas/CSV/20613_HUN-1.csv","20613_HUN-1_CSV File 1m Bins")</f>
        <v>20613_HUN-1_CSV File 1m Bins</v>
      </c>
      <c r="D5452">
        <v>20613</v>
      </c>
      <c r="E5452" t="s">
        <v>3422</v>
      </c>
      <c r="F5452" t="str">
        <f>HYPERLINK("http://www.mrt.tas.gov.au/webdoc2/app/default/drilling_detail?id=20613","Geol Survey Link")</f>
        <v>Geol Survey Link</v>
      </c>
      <c r="G5452" t="s">
        <v>3565</v>
      </c>
      <c r="H5452" t="s">
        <v>3573</v>
      </c>
      <c r="I5452">
        <v>-42.212899999999998</v>
      </c>
      <c r="J5452">
        <v>146.947</v>
      </c>
      <c r="K5452" t="str">
        <f>HYPERLINK("http://www.mrt.tas.gov.au/NVCLDataServices/mosaic.html?datasetid=79ceb3f0-809d-444a-9174-ae1e93d40ae","20613_HUN-1_Core Image")</f>
        <v>20613_HUN-1_Core Image</v>
      </c>
    </row>
    <row r="5453" spans="1:11" x14ac:dyDescent="0.25">
      <c r="A5453" t="str">
        <f>HYPERLINK("http://www.corstruth.com.au/Tas/96577_ZM141A_Montana_1_cs.png","96577_ZM141A_Montana_1_A4")</f>
        <v>96577_ZM141A_Montana_1_A4</v>
      </c>
      <c r="B5453" t="str">
        <f>HYPERLINK("http://www.corstruth.com.au/Tas/PNG2/96577_ZM141A_Montana_1_cs.png","96577_ZM141A_Montana_1_0.25m Bins")</f>
        <v>96577_ZM141A_Montana_1_0.25m Bins</v>
      </c>
      <c r="C5453" t="str">
        <f>HYPERLINK("http://www.corstruth.com.au/Tas/CSV/96577_ZM141A_Montana_1.csv","96577_ZM141A_Montana_1_CSV File 1m Bins")</f>
        <v>96577_ZM141A_Montana_1_CSV File 1m Bins</v>
      </c>
      <c r="D5453">
        <v>96577</v>
      </c>
      <c r="E5453" t="s">
        <v>3422</v>
      </c>
      <c r="F5453" t="str">
        <f>HYPERLINK("http://www.mrt.tas.gov.au/webdoc2/app/default/drilling_detail?id=96577","Geol Survey Link")</f>
        <v>Geol Survey Link</v>
      </c>
      <c r="G5453" t="s">
        <v>3565</v>
      </c>
      <c r="H5453" t="s">
        <v>3574</v>
      </c>
      <c r="I5453">
        <v>-41.875300000000003</v>
      </c>
      <c r="J5453">
        <v>145.327</v>
      </c>
    </row>
    <row r="5454" spans="1:11" x14ac:dyDescent="0.25">
      <c r="A5454" t="str">
        <f>HYPERLINK("http://www.corstruth.com.au/Tas/29683_ML194_Mt_Lindsay_cs.png","29683_ML194_Mt_Lindsay_A4")</f>
        <v>29683_ML194_Mt_Lindsay_A4</v>
      </c>
      <c r="B5454" t="str">
        <f>HYPERLINK("http://www.corstruth.com.au/Tas/PNG2/29683_ML194_Mt_Lindsay_cs.png","29683_ML194_Mt_Lindsay_0.25m Bins")</f>
        <v>29683_ML194_Mt_Lindsay_0.25m Bins</v>
      </c>
      <c r="C5454" t="str">
        <f>HYPERLINK("http://www.corstruth.com.au/Tas/CSV/29683_ML194_Mt_Lindsay.csv","29683_ML194_Mt_Lindsay_CSV File 1m Bins")</f>
        <v>29683_ML194_Mt_Lindsay_CSV File 1m Bins</v>
      </c>
      <c r="D5454">
        <v>29683</v>
      </c>
      <c r="E5454" t="s">
        <v>3422</v>
      </c>
      <c r="F5454" t="str">
        <f>HYPERLINK("http://www.mrt.tas.gov.au/webdoc2/app/default/drilling_detail?id=29683","Geol Survey Link")</f>
        <v>Geol Survey Link</v>
      </c>
      <c r="G5454" t="s">
        <v>3565</v>
      </c>
      <c r="H5454" t="s">
        <v>3448</v>
      </c>
      <c r="I5454">
        <v>-41.698500000000003</v>
      </c>
      <c r="J5454">
        <v>145.32900000000001</v>
      </c>
    </row>
    <row r="5455" spans="1:11" x14ac:dyDescent="0.25">
      <c r="A5455" t="str">
        <f>HYPERLINK("http://www.corstruth.com.au/Tas/29686_ML197_Mt_Lindsay_cs.png","29686_ML197_Mt_Lindsay_A4")</f>
        <v>29686_ML197_Mt_Lindsay_A4</v>
      </c>
      <c r="B5455" t="str">
        <f>HYPERLINK("http://www.corstruth.com.au/Tas/PNG2/29686_ML197_Mt_Lindsay_cs.png","29686_ML197_Mt_Lindsay_0.25m Bins")</f>
        <v>29686_ML197_Mt_Lindsay_0.25m Bins</v>
      </c>
      <c r="C5455" t="str">
        <f>HYPERLINK("http://www.corstruth.com.au/Tas/CSV/29686_ML197_Mt_Lindsay.csv","29686_ML197_Mt_Lindsay_CSV File 1m Bins")</f>
        <v>29686_ML197_Mt_Lindsay_CSV File 1m Bins</v>
      </c>
      <c r="D5455">
        <v>29686</v>
      </c>
      <c r="E5455" t="s">
        <v>3422</v>
      </c>
      <c r="F5455" t="str">
        <f>HYPERLINK("http://www.mrt.tas.gov.au/webdoc2/app/default/drilling_detail?id=29686","Geol Survey Link")</f>
        <v>Geol Survey Link</v>
      </c>
      <c r="G5455" t="s">
        <v>3565</v>
      </c>
      <c r="H5455" t="s">
        <v>3448</v>
      </c>
      <c r="I5455">
        <v>-41.697400000000002</v>
      </c>
      <c r="J5455">
        <v>145.327</v>
      </c>
    </row>
    <row r="5456" spans="1:11" x14ac:dyDescent="0.25">
      <c r="A5456" t="str">
        <f>HYPERLINK("http://www.corstruth.com.au/Tas/29690_ML201_Mt_Lindsay_cs.png","29690_ML201_Mt_Lindsay_A4")</f>
        <v>29690_ML201_Mt_Lindsay_A4</v>
      </c>
      <c r="B5456" t="str">
        <f>HYPERLINK("http://www.corstruth.com.au/Tas/PNG2/29690_ML201_Mt_Lindsay_cs.png","29690_ML201_Mt_Lindsay_0.25m Bins")</f>
        <v>29690_ML201_Mt_Lindsay_0.25m Bins</v>
      </c>
      <c r="C5456" t="str">
        <f>HYPERLINK("http://www.corstruth.com.au/Tas/CSV/29690_ML201_Mt_Lindsay.csv","29690_ML201_Mt_Lindsay_CSV File 1m Bins")</f>
        <v>29690_ML201_Mt_Lindsay_CSV File 1m Bins</v>
      </c>
      <c r="D5456">
        <v>29690</v>
      </c>
      <c r="E5456" t="s">
        <v>3422</v>
      </c>
      <c r="F5456" t="str">
        <f>HYPERLINK("http://www.mrt.tas.gov.au/webdoc2/app/default/drilling_detail?id=29690","Geol Survey Link")</f>
        <v>Geol Survey Link</v>
      </c>
      <c r="G5456" t="s">
        <v>3565</v>
      </c>
      <c r="H5456" t="s">
        <v>3448</v>
      </c>
      <c r="I5456">
        <v>-41.701000000000001</v>
      </c>
      <c r="J5456">
        <v>145.33699999999999</v>
      </c>
    </row>
    <row r="5457" spans="1:10" x14ac:dyDescent="0.25">
      <c r="A5457" t="str">
        <f>HYPERLINK("http://www.corstruth.com.au/Tas/29694_ML205_Mt_Lindsay_cs.png","29694_ML205_Mt_Lindsay_A4")</f>
        <v>29694_ML205_Mt_Lindsay_A4</v>
      </c>
      <c r="B5457" t="str">
        <f>HYPERLINK("http://www.corstruth.com.au/Tas/PNG2/29694_ML205_Mt_Lindsay_cs.png","29694_ML205_Mt_Lindsay_0.25m Bins")</f>
        <v>29694_ML205_Mt_Lindsay_0.25m Bins</v>
      </c>
      <c r="C5457" t="str">
        <f>HYPERLINK("http://www.corstruth.com.au/Tas/CSV/29694_ML205_Mt_Lindsay.csv","29694_ML205_Mt_Lindsay_CSV File 1m Bins")</f>
        <v>29694_ML205_Mt_Lindsay_CSV File 1m Bins</v>
      </c>
      <c r="D5457">
        <v>29694</v>
      </c>
      <c r="E5457" t="s">
        <v>3422</v>
      </c>
      <c r="F5457" t="str">
        <f>HYPERLINK("http://www.mrt.tas.gov.au/webdoc2/app/default/drilling_detail?id=29694","Geol Survey Link")</f>
        <v>Geol Survey Link</v>
      </c>
      <c r="G5457" t="s">
        <v>3565</v>
      </c>
      <c r="H5457" t="s">
        <v>3448</v>
      </c>
      <c r="I5457">
        <v>-41.700299999999999</v>
      </c>
      <c r="J5457">
        <v>145.33099999999999</v>
      </c>
    </row>
    <row r="5458" spans="1:10" x14ac:dyDescent="0.25">
      <c r="A5458" t="str">
        <f>HYPERLINK("http://www.corstruth.com.au/Tas/29707_ML218_Mt_Lindsay_cs.png","29707_ML218_Mt_Lindsay_A4")</f>
        <v>29707_ML218_Mt_Lindsay_A4</v>
      </c>
      <c r="B5458" t="str">
        <f>HYPERLINK("http://www.corstruth.com.au/Tas/PNG2/29707_ML218_Mt_Lindsay_cs.png","29707_ML218_Mt_Lindsay_0.25m Bins")</f>
        <v>29707_ML218_Mt_Lindsay_0.25m Bins</v>
      </c>
      <c r="C5458" t="str">
        <f>HYPERLINK("http://www.corstruth.com.au/Tas/CSV/29707_ML218_Mt_Lindsay.csv","29707_ML218_Mt_Lindsay_CSV File 1m Bins")</f>
        <v>29707_ML218_Mt_Lindsay_CSV File 1m Bins</v>
      </c>
      <c r="D5458">
        <v>29707</v>
      </c>
      <c r="E5458" t="s">
        <v>3422</v>
      </c>
      <c r="F5458" t="str">
        <f>HYPERLINK("http://www.mrt.tas.gov.au/webdoc2/app/default/drilling_detail?id=29707","Geol Survey Link")</f>
        <v>Geol Survey Link</v>
      </c>
      <c r="G5458" t="s">
        <v>3565</v>
      </c>
      <c r="H5458" t="s">
        <v>3448</v>
      </c>
      <c r="I5458">
        <v>-41.698700000000002</v>
      </c>
      <c r="J5458">
        <v>145.334</v>
      </c>
    </row>
    <row r="5459" spans="1:10" x14ac:dyDescent="0.25">
      <c r="A5459" t="str">
        <f>HYPERLINK("http://www.corstruth.com.au/Tas/29725_ML236_Mt_Lindsay_cs.png","29725_ML236_Mt_Lindsay_A4")</f>
        <v>29725_ML236_Mt_Lindsay_A4</v>
      </c>
      <c r="B5459" t="str">
        <f>HYPERLINK("http://www.corstruth.com.au/Tas/PNG2/29725_ML236_Mt_Lindsay_cs.png","29725_ML236_Mt_Lindsay_0.25m Bins")</f>
        <v>29725_ML236_Mt_Lindsay_0.25m Bins</v>
      </c>
      <c r="C5459" t="str">
        <f>HYPERLINK("http://www.corstruth.com.au/Tas/CSV/29725_ML236_Mt_Lindsay.csv","29725_ML236_Mt_Lindsay_CSV File 1m Bins")</f>
        <v>29725_ML236_Mt_Lindsay_CSV File 1m Bins</v>
      </c>
      <c r="D5459">
        <v>29725</v>
      </c>
      <c r="E5459" t="s">
        <v>3422</v>
      </c>
      <c r="F5459" t="str">
        <f>HYPERLINK("http://www.mrt.tas.gov.au/webdoc2/app/default/drilling_detail?id=29725","Geol Survey Link")</f>
        <v>Geol Survey Link</v>
      </c>
      <c r="G5459" t="s">
        <v>3565</v>
      </c>
      <c r="H5459" t="s">
        <v>3448</v>
      </c>
      <c r="I5459">
        <v>-41.698999999999998</v>
      </c>
      <c r="J5459">
        <v>145.33500000000001</v>
      </c>
    </row>
    <row r="5460" spans="1:10" x14ac:dyDescent="0.25">
      <c r="A5460" t="str">
        <f>HYPERLINK("http://www.corstruth.com.au/Tas/29750_ML265_Mt_Lindsay_cs.png","29750_ML265_Mt_Lindsay_A4")</f>
        <v>29750_ML265_Mt_Lindsay_A4</v>
      </c>
      <c r="B5460" t="str">
        <f>HYPERLINK("http://www.corstruth.com.au/Tas/PNG2/29750_ML265_Mt_Lindsay_cs.png","29750_ML265_Mt_Lindsay_0.25m Bins")</f>
        <v>29750_ML265_Mt_Lindsay_0.25m Bins</v>
      </c>
      <c r="C5460" t="str">
        <f>HYPERLINK("http://www.corstruth.com.au/Tas/CSV/29750_ML265_Mt_Lindsay.csv","29750_ML265_Mt_Lindsay_CSV File 1m Bins")</f>
        <v>29750_ML265_Mt_Lindsay_CSV File 1m Bins</v>
      </c>
      <c r="D5460">
        <v>29750</v>
      </c>
      <c r="E5460" t="s">
        <v>3422</v>
      </c>
      <c r="F5460" t="str">
        <f>HYPERLINK("http://www.mrt.tas.gov.au/webdoc2/app/default/drilling_detail?id=29750","Geol Survey Link")</f>
        <v>Geol Survey Link</v>
      </c>
      <c r="G5460" t="s">
        <v>3565</v>
      </c>
      <c r="H5460" t="s">
        <v>3448</v>
      </c>
      <c r="I5460">
        <v>-41.698900000000002</v>
      </c>
      <c r="J5460">
        <v>145.33000000000001</v>
      </c>
    </row>
    <row r="5461" spans="1:10" x14ac:dyDescent="0.25">
      <c r="A5461" t="str">
        <f>HYPERLINK("http://www.corstruth.com.au/Tas/29755_ML269W_Mt_Lindsay_cs.png","29755_ML269W_Mt_Lindsay_A4")</f>
        <v>29755_ML269W_Mt_Lindsay_A4</v>
      </c>
      <c r="B5461" t="str">
        <f>HYPERLINK("http://www.corstruth.com.au/Tas/PNG2/29755_ML269W_Mt_Lindsay_cs.png","29755_ML269W_Mt_Lindsay_0.25m Bins")</f>
        <v>29755_ML269W_Mt_Lindsay_0.25m Bins</v>
      </c>
      <c r="C5461" t="str">
        <f>HYPERLINK("http://www.corstruth.com.au/Tas/CSV/29755_ML269W_Mt_Lindsay.csv","29755_ML269W_Mt_Lindsay_CSV File 1m Bins")</f>
        <v>29755_ML269W_Mt_Lindsay_CSV File 1m Bins</v>
      </c>
      <c r="D5461">
        <v>29755</v>
      </c>
      <c r="E5461" t="s">
        <v>3422</v>
      </c>
      <c r="F5461" t="str">
        <f>HYPERLINK("http://www.mrt.tas.gov.au/webdoc2/app/default/drilling_detail?id=29755","Geol Survey Link")</f>
        <v>Geol Survey Link</v>
      </c>
      <c r="G5461" t="s">
        <v>3565</v>
      </c>
      <c r="H5461" t="s">
        <v>3448</v>
      </c>
      <c r="I5461">
        <v>-41.699199999999998</v>
      </c>
      <c r="J5461">
        <v>145.33099999999999</v>
      </c>
    </row>
    <row r="5462" spans="1:10" x14ac:dyDescent="0.25">
      <c r="A5462" t="str">
        <f>HYPERLINK("http://www.corstruth.com.au/Tas/33363_ML332G_Mt_Lindsay_cs.png","33363_ML332G_Mt_Lindsay_A4")</f>
        <v>33363_ML332G_Mt_Lindsay_A4</v>
      </c>
      <c r="B5462" t="str">
        <f>HYPERLINK("http://www.corstruth.com.au/Tas/PNG2/33363_ML332G_Mt_Lindsay_cs.png","33363_ML332G_Mt_Lindsay_0.25m Bins")</f>
        <v>33363_ML332G_Mt_Lindsay_0.25m Bins</v>
      </c>
      <c r="C5462" t="str">
        <f>HYPERLINK("http://www.corstruth.com.au/Tas/CSV/33363_ML332G_Mt_Lindsay.csv","33363_ML332G_Mt_Lindsay_CSV File 1m Bins")</f>
        <v>33363_ML332G_Mt_Lindsay_CSV File 1m Bins</v>
      </c>
      <c r="D5462">
        <v>33363</v>
      </c>
      <c r="E5462" t="s">
        <v>3422</v>
      </c>
      <c r="F5462" t="str">
        <f>HYPERLINK("http://www.mrt.tas.gov.au/webdoc2/app/default/drilling_detail?id=33363","Geol Survey Link")</f>
        <v>Geol Survey Link</v>
      </c>
      <c r="G5462" t="s">
        <v>3565</v>
      </c>
      <c r="H5462" t="s">
        <v>3448</v>
      </c>
      <c r="I5462">
        <v>-41.698799999999999</v>
      </c>
      <c r="J5462">
        <v>145.33799999999999</v>
      </c>
    </row>
    <row r="5463" spans="1:10" x14ac:dyDescent="0.25">
      <c r="A5463" t="str">
        <f>HYPERLINK("http://www.corstruth.com.au/Tas/95276_ML336_Mt_Lindsay_cs.png","95276_ML336_Mt_Lindsay_A4")</f>
        <v>95276_ML336_Mt_Lindsay_A4</v>
      </c>
      <c r="B5463" t="str">
        <f>HYPERLINK("http://www.corstruth.com.au/Tas/PNG2/95276_ML336_Mt_Lindsay_cs.png","95276_ML336_Mt_Lindsay_0.25m Bins")</f>
        <v>95276_ML336_Mt_Lindsay_0.25m Bins</v>
      </c>
      <c r="C5463" t="str">
        <f>HYPERLINK("http://www.corstruth.com.au/Tas/CSV/95276_ML336_Mt_Lindsay.csv","95276_ML336_Mt_Lindsay_CSV File 1m Bins")</f>
        <v>95276_ML336_Mt_Lindsay_CSV File 1m Bins</v>
      </c>
      <c r="D5463">
        <v>95276</v>
      </c>
      <c r="E5463" t="s">
        <v>3422</v>
      </c>
      <c r="F5463" t="str">
        <f>HYPERLINK("http://www.mrt.tas.gov.au/webdoc2/app/default/drilling_detail?id=95276","Geol Survey Link")</f>
        <v>Geol Survey Link</v>
      </c>
      <c r="G5463" t="s">
        <v>3565</v>
      </c>
      <c r="H5463" t="s">
        <v>3448</v>
      </c>
      <c r="I5463">
        <v>-41.709699999999998</v>
      </c>
      <c r="J5463">
        <v>145.31700000000001</v>
      </c>
    </row>
    <row r="5464" spans="1:10" x14ac:dyDescent="0.25">
      <c r="A5464" t="str">
        <f>HYPERLINK("http://www.corstruth.com.au/Tas/95277_ML337_Mt_Lindsay_cs.png","95277_ML337_Mt_Lindsay_A4")</f>
        <v>95277_ML337_Mt_Lindsay_A4</v>
      </c>
      <c r="B5464" t="str">
        <f>HYPERLINK("http://www.corstruth.com.au/Tas/PNG2/95277_ML337_Mt_Lindsay_cs.png","95277_ML337_Mt_Lindsay_0.25m Bins")</f>
        <v>95277_ML337_Mt_Lindsay_0.25m Bins</v>
      </c>
      <c r="C5464" t="str">
        <f>HYPERLINK("http://www.corstruth.com.au/Tas/CSV/95277_ML337_Mt_Lindsay.csv","95277_ML337_Mt_Lindsay_CSV File 1m Bins")</f>
        <v>95277_ML337_Mt_Lindsay_CSV File 1m Bins</v>
      </c>
      <c r="D5464">
        <v>95277</v>
      </c>
      <c r="E5464" t="s">
        <v>3422</v>
      </c>
      <c r="F5464" t="str">
        <f>HYPERLINK("http://www.mrt.tas.gov.au/webdoc2/app/default/drilling_detail?id=95277","Geol Survey Link")</f>
        <v>Geol Survey Link</v>
      </c>
      <c r="G5464" t="s">
        <v>3565</v>
      </c>
      <c r="H5464" t="s">
        <v>3448</v>
      </c>
      <c r="I5464">
        <v>-41.7087</v>
      </c>
      <c r="J5464">
        <v>145.309</v>
      </c>
    </row>
    <row r="5465" spans="1:10" x14ac:dyDescent="0.25">
      <c r="A5465" t="str">
        <f>HYPERLINK("http://www.corstruth.com.au/Tas/95278_ML340M_Mt_Lindsay_cs.png","95278_ML340M_Mt_Lindsay_A4")</f>
        <v>95278_ML340M_Mt_Lindsay_A4</v>
      </c>
      <c r="B5465" t="str">
        <f>HYPERLINK("http://www.corstruth.com.au/Tas/PNG2/95278_ML340M_Mt_Lindsay_cs.png","95278_ML340M_Mt_Lindsay_0.25m Bins")</f>
        <v>95278_ML340M_Mt_Lindsay_0.25m Bins</v>
      </c>
      <c r="C5465" t="str">
        <f>HYPERLINK("http://www.corstruth.com.au/Tas/CSV/95278_ML340M_Mt_Lindsay.csv","95278_ML340M_Mt_Lindsay_CSV File 1m Bins")</f>
        <v>95278_ML340M_Mt_Lindsay_CSV File 1m Bins</v>
      </c>
      <c r="D5465">
        <v>95278</v>
      </c>
      <c r="E5465" t="s">
        <v>3422</v>
      </c>
      <c r="F5465" t="str">
        <f>HYPERLINK("http://www.mrt.tas.gov.au/webdoc2/app/default/drilling_detail?id=95278","Geol Survey Link")</f>
        <v>Geol Survey Link</v>
      </c>
      <c r="G5465" t="s">
        <v>3565</v>
      </c>
      <c r="H5465" t="s">
        <v>3448</v>
      </c>
      <c r="I5465">
        <v>-41.697800000000001</v>
      </c>
      <c r="J5465">
        <v>145.33000000000001</v>
      </c>
    </row>
    <row r="5466" spans="1:10" x14ac:dyDescent="0.25">
      <c r="A5466" t="str">
        <f>HYPERLINK("http://www.corstruth.com.au/Tas/96337_ML341M_Mt_Lindsay_cs.png","96337_ML341M_Mt_Lindsay_A4")</f>
        <v>96337_ML341M_Mt_Lindsay_A4</v>
      </c>
      <c r="B5466" t="str">
        <f>HYPERLINK("http://www.corstruth.com.au/Tas/PNG2/96337_ML341M_Mt_Lindsay_cs.png","96337_ML341M_Mt_Lindsay_0.25m Bins")</f>
        <v>96337_ML341M_Mt_Lindsay_0.25m Bins</v>
      </c>
      <c r="C5466" t="str">
        <f>HYPERLINK("http://www.corstruth.com.au/Tas/CSV/96337_ML341M_Mt_Lindsay.csv","96337_ML341M_Mt_Lindsay_CSV File 1m Bins")</f>
        <v>96337_ML341M_Mt_Lindsay_CSV File 1m Bins</v>
      </c>
      <c r="D5466">
        <v>96337</v>
      </c>
      <c r="E5466" t="s">
        <v>3422</v>
      </c>
      <c r="F5466" t="str">
        <f>HYPERLINK("http://www.mrt.tas.gov.au/webdoc2/app/default/drilling_detail?id=96337","Geol Survey Link")</f>
        <v>Geol Survey Link</v>
      </c>
      <c r="G5466" t="s">
        <v>3565</v>
      </c>
      <c r="H5466" t="s">
        <v>3448</v>
      </c>
      <c r="I5466">
        <v>-41.697899999999997</v>
      </c>
      <c r="J5466">
        <v>145.33000000000001</v>
      </c>
    </row>
    <row r="5467" spans="1:10" x14ac:dyDescent="0.25">
      <c r="A5467" t="str">
        <f>HYPERLINK("http://www.corstruth.com.au/Tas/96338_ML342M_Mt_Lindsay_cs.png","96338_ML342M_Mt_Lindsay_A4")</f>
        <v>96338_ML342M_Mt_Lindsay_A4</v>
      </c>
      <c r="B5467" t="str">
        <f>HYPERLINK("http://www.corstruth.com.au/Tas/PNG2/96338_ML342M_Mt_Lindsay_cs.png","96338_ML342M_Mt_Lindsay_0.25m Bins")</f>
        <v>96338_ML342M_Mt_Lindsay_0.25m Bins</v>
      </c>
      <c r="C5467" t="str">
        <f>HYPERLINK("http://www.corstruth.com.au/Tas/CSV/96338_ML342M_Mt_Lindsay.csv","96338_ML342M_Mt_Lindsay_CSV File 1m Bins")</f>
        <v>96338_ML342M_Mt_Lindsay_CSV File 1m Bins</v>
      </c>
      <c r="D5467">
        <v>96338</v>
      </c>
      <c r="E5467" t="s">
        <v>3422</v>
      </c>
      <c r="F5467" t="str">
        <f>HYPERLINK("http://www.mrt.tas.gov.au/webdoc2/app/default/drilling_detail?id=96338","Geol Survey Link")</f>
        <v>Geol Survey Link</v>
      </c>
      <c r="G5467" t="s">
        <v>3565</v>
      </c>
      <c r="H5467" t="s">
        <v>3448</v>
      </c>
      <c r="I5467">
        <v>-41.697899999999997</v>
      </c>
      <c r="J5467">
        <v>145.33000000000001</v>
      </c>
    </row>
    <row r="5468" spans="1:10" x14ac:dyDescent="0.25">
      <c r="A5468" t="str">
        <f>HYPERLINK("http://www.corstruth.com.au/Tas/96342_ML344M_Mt_Lindsay_cs.png","96342_ML344M_Mt_Lindsay_A4")</f>
        <v>96342_ML344M_Mt_Lindsay_A4</v>
      </c>
      <c r="B5468" t="str">
        <f>HYPERLINK("http://www.corstruth.com.au/Tas/PNG2/96342_ML344M_Mt_Lindsay_cs.png","96342_ML344M_Mt_Lindsay_0.25m Bins")</f>
        <v>96342_ML344M_Mt_Lindsay_0.25m Bins</v>
      </c>
      <c r="C5468" t="str">
        <f>HYPERLINK("http://www.corstruth.com.au/Tas/CSV/96342_ML344M_Mt_Lindsay.csv","96342_ML344M_Mt_Lindsay_CSV File 1m Bins")</f>
        <v>96342_ML344M_Mt_Lindsay_CSV File 1m Bins</v>
      </c>
      <c r="D5468">
        <v>96342</v>
      </c>
      <c r="E5468" t="s">
        <v>3422</v>
      </c>
      <c r="F5468" t="str">
        <f>HYPERLINK("http://www.mrt.tas.gov.au/webdoc2/app/default/drilling_detail?id=96342","Geol Survey Link")</f>
        <v>Geol Survey Link</v>
      </c>
      <c r="G5468" t="s">
        <v>3565</v>
      </c>
      <c r="H5468" t="s">
        <v>3448</v>
      </c>
      <c r="I5468">
        <v>-41.697800000000001</v>
      </c>
      <c r="J5468">
        <v>145.33000000000001</v>
      </c>
    </row>
    <row r="5469" spans="1:10" x14ac:dyDescent="0.25">
      <c r="A5469" t="str">
        <f>HYPERLINK("http://www.corstruth.com.au/Tas/96343_ML345M_Mt_Lindsay_cs.png","96343_ML345M_Mt_Lindsay_A4")</f>
        <v>96343_ML345M_Mt_Lindsay_A4</v>
      </c>
      <c r="B5469" t="str">
        <f>HYPERLINK("http://www.corstruth.com.au/Tas/PNG2/96343_ML345M_Mt_Lindsay_cs.png","96343_ML345M_Mt_Lindsay_0.25m Bins")</f>
        <v>96343_ML345M_Mt_Lindsay_0.25m Bins</v>
      </c>
      <c r="C5469" t="str">
        <f>HYPERLINK("http://www.corstruth.com.au/Tas/CSV/96343_ML345M_Mt_Lindsay.csv","96343_ML345M_Mt_Lindsay_CSV File 1m Bins")</f>
        <v>96343_ML345M_Mt_Lindsay_CSV File 1m Bins</v>
      </c>
      <c r="D5469">
        <v>96343</v>
      </c>
      <c r="E5469" t="s">
        <v>3422</v>
      </c>
      <c r="F5469" t="str">
        <f>HYPERLINK("http://www.mrt.tas.gov.au/webdoc2/app/default/drilling_detail?id=96343","Geol Survey Link")</f>
        <v>Geol Survey Link</v>
      </c>
      <c r="G5469" t="s">
        <v>3565</v>
      </c>
      <c r="H5469" t="s">
        <v>3448</v>
      </c>
      <c r="I5469">
        <v>-41.697400000000002</v>
      </c>
      <c r="J5469">
        <v>145.32900000000001</v>
      </c>
    </row>
    <row r="5470" spans="1:10" x14ac:dyDescent="0.25">
      <c r="A5470" t="str">
        <f>HYPERLINK("http://www.corstruth.com.au/Tas/96344_ML346M_Mt_Lindsay_cs.png","96344_ML346M_Mt_Lindsay_A4")</f>
        <v>96344_ML346M_Mt_Lindsay_A4</v>
      </c>
      <c r="B5470" t="str">
        <f>HYPERLINK("http://www.corstruth.com.au/Tas/PNG2/96344_ML346M_Mt_Lindsay_cs.png","96344_ML346M_Mt_Lindsay_0.25m Bins")</f>
        <v>96344_ML346M_Mt_Lindsay_0.25m Bins</v>
      </c>
      <c r="C5470" t="str">
        <f>HYPERLINK("http://www.corstruth.com.au/Tas/CSV/96344_ML346M_Mt_Lindsay.csv","96344_ML346M_Mt_Lindsay_CSV File 1m Bins")</f>
        <v>96344_ML346M_Mt_Lindsay_CSV File 1m Bins</v>
      </c>
      <c r="D5470">
        <v>96344</v>
      </c>
      <c r="E5470" t="s">
        <v>3422</v>
      </c>
      <c r="F5470" t="str">
        <f>HYPERLINK("http://www.mrt.tas.gov.au/webdoc2/app/default/drilling_detail?id=96344","Geol Survey Link")</f>
        <v>Geol Survey Link</v>
      </c>
      <c r="G5470" t="s">
        <v>3565</v>
      </c>
      <c r="H5470" t="s">
        <v>3448</v>
      </c>
      <c r="I5470">
        <v>-41.697400000000002</v>
      </c>
      <c r="J5470">
        <v>145.32900000000001</v>
      </c>
    </row>
    <row r="5471" spans="1:10" x14ac:dyDescent="0.25">
      <c r="A5471" t="str">
        <f>HYPERLINK("http://www.corstruth.com.au/Tas/96345_ML347M_Mt_Lindsay_cs.png","96345_ML347M_Mt_Lindsay_A4")</f>
        <v>96345_ML347M_Mt_Lindsay_A4</v>
      </c>
      <c r="B5471" t="str">
        <f>HYPERLINK("http://www.corstruth.com.au/Tas/PNG2/96345_ML347M_Mt_Lindsay_cs.png","96345_ML347M_Mt_Lindsay_0.25m Bins")</f>
        <v>96345_ML347M_Mt_Lindsay_0.25m Bins</v>
      </c>
      <c r="C5471" t="str">
        <f>HYPERLINK("http://www.corstruth.com.au/Tas/CSV/96345_ML347M_Mt_Lindsay.csv","96345_ML347M_Mt_Lindsay_CSV File 1m Bins")</f>
        <v>96345_ML347M_Mt_Lindsay_CSV File 1m Bins</v>
      </c>
      <c r="D5471">
        <v>96345</v>
      </c>
      <c r="E5471" t="s">
        <v>3422</v>
      </c>
      <c r="F5471" t="str">
        <f>HYPERLINK("http://www.mrt.tas.gov.au/webdoc2/app/default/drilling_detail?id=96345","Geol Survey Link")</f>
        <v>Geol Survey Link</v>
      </c>
      <c r="G5471" t="s">
        <v>3565</v>
      </c>
      <c r="H5471" t="s">
        <v>3448</v>
      </c>
      <c r="I5471">
        <v>-41.697400000000002</v>
      </c>
      <c r="J5471">
        <v>145.333</v>
      </c>
    </row>
    <row r="5472" spans="1:10" x14ac:dyDescent="0.25">
      <c r="A5472" t="str">
        <f>HYPERLINK("http://www.corstruth.com.au/Tas/96346_ML348M_Mt_Lindsay_cs.png","96346_ML348M_Mt_Lindsay_A4")</f>
        <v>96346_ML348M_Mt_Lindsay_A4</v>
      </c>
      <c r="B5472" t="str">
        <f>HYPERLINK("http://www.corstruth.com.au/Tas/PNG2/96346_ML348M_Mt_Lindsay_cs.png","96346_ML348M_Mt_Lindsay_0.25m Bins")</f>
        <v>96346_ML348M_Mt_Lindsay_0.25m Bins</v>
      </c>
      <c r="C5472" t="str">
        <f>HYPERLINK("http://www.corstruth.com.au/Tas/CSV/96346_ML348M_Mt_Lindsay.csv","96346_ML348M_Mt_Lindsay_CSV File 1m Bins")</f>
        <v>96346_ML348M_Mt_Lindsay_CSV File 1m Bins</v>
      </c>
      <c r="D5472">
        <v>96346</v>
      </c>
      <c r="E5472" t="s">
        <v>3422</v>
      </c>
      <c r="F5472" t="str">
        <f>HYPERLINK("http://www.mrt.tas.gov.au/webdoc2/app/default/drilling_detail?id=96346","Geol Survey Link")</f>
        <v>Geol Survey Link</v>
      </c>
      <c r="G5472" t="s">
        <v>3565</v>
      </c>
      <c r="H5472" t="s">
        <v>3448</v>
      </c>
      <c r="I5472">
        <v>-41.697800000000001</v>
      </c>
      <c r="J5472">
        <v>145.333</v>
      </c>
    </row>
    <row r="5473" spans="1:11" x14ac:dyDescent="0.25">
      <c r="A5473" t="str">
        <f>HYPERLINK("http://www.corstruth.com.au/Tas/96347_ML349M_Mt_Lindsay_cs.png","96347_ML349M_Mt_Lindsay_A4")</f>
        <v>96347_ML349M_Mt_Lindsay_A4</v>
      </c>
      <c r="B5473" t="str">
        <f>HYPERLINK("http://www.corstruth.com.au/Tas/PNG2/96347_ML349M_Mt_Lindsay_cs.png","96347_ML349M_Mt_Lindsay_0.25m Bins")</f>
        <v>96347_ML349M_Mt_Lindsay_0.25m Bins</v>
      </c>
      <c r="C5473" t="str">
        <f>HYPERLINK("http://www.corstruth.com.au/Tas/CSV/96347_ML349M_Mt_Lindsay.csv","96347_ML349M_Mt_Lindsay_CSV File 1m Bins")</f>
        <v>96347_ML349M_Mt_Lindsay_CSV File 1m Bins</v>
      </c>
      <c r="D5473">
        <v>96347</v>
      </c>
      <c r="E5473" t="s">
        <v>3422</v>
      </c>
      <c r="F5473" t="str">
        <f>HYPERLINK("http://www.mrt.tas.gov.au/webdoc2/app/default/drilling_detail?id=96347","Geol Survey Link")</f>
        <v>Geol Survey Link</v>
      </c>
      <c r="G5473" t="s">
        <v>3565</v>
      </c>
      <c r="H5473" t="s">
        <v>3448</v>
      </c>
      <c r="I5473">
        <v>-41.700200000000002</v>
      </c>
      <c r="J5473">
        <v>145.33600000000001</v>
      </c>
    </row>
    <row r="5474" spans="1:11" x14ac:dyDescent="0.25">
      <c r="A5474" t="str">
        <f>HYPERLINK("http://www.corstruth.com.au/Tas/96356_ML343M_Mt_Lindsay_cs.png","96356_ML343M_Mt_Lindsay_A4")</f>
        <v>96356_ML343M_Mt_Lindsay_A4</v>
      </c>
      <c r="B5474" t="str">
        <f>HYPERLINK("http://www.corstruth.com.au/Tas/PNG2/96356_ML343M_Mt_Lindsay_cs.png","96356_ML343M_Mt_Lindsay_0.25m Bins")</f>
        <v>96356_ML343M_Mt_Lindsay_0.25m Bins</v>
      </c>
      <c r="C5474" t="str">
        <f>HYPERLINK("http://www.corstruth.com.au/Tas/CSV/96356_ML343M_Mt_Lindsay.csv","96356_ML343M_Mt_Lindsay_CSV File 1m Bins")</f>
        <v>96356_ML343M_Mt_Lindsay_CSV File 1m Bins</v>
      </c>
      <c r="D5474">
        <v>96356</v>
      </c>
      <c r="E5474" t="s">
        <v>3422</v>
      </c>
      <c r="F5474" t="str">
        <f>HYPERLINK("http://www.mrt.tas.gov.au/webdoc2/app/default/drilling_detail?id=96356","Geol Survey Link")</f>
        <v>Geol Survey Link</v>
      </c>
      <c r="G5474" t="s">
        <v>3565</v>
      </c>
      <c r="H5474" t="s">
        <v>3448</v>
      </c>
      <c r="I5474">
        <v>-41.697800000000001</v>
      </c>
      <c r="J5474">
        <v>145.33000000000001</v>
      </c>
    </row>
    <row r="5475" spans="1:11" x14ac:dyDescent="0.25">
      <c r="A5475" t="str">
        <f>HYPERLINK("http://www.corstruth.com.au/Tas/96420_ML339M_Mt_Lindsay_cs.png","96420_ML339M_Mt_Lindsay_A4")</f>
        <v>96420_ML339M_Mt_Lindsay_A4</v>
      </c>
      <c r="B5475" t="str">
        <f>HYPERLINK("http://www.corstruth.com.au/Tas/PNG2/96420_ML339M_Mt_Lindsay_cs.png","96420_ML339M_Mt_Lindsay_0.25m Bins")</f>
        <v>96420_ML339M_Mt_Lindsay_0.25m Bins</v>
      </c>
      <c r="C5475" t="str">
        <f>HYPERLINK("http://www.corstruth.com.au/Tas/CSV/96420_ML339M_Mt_Lindsay.csv","96420_ML339M_Mt_Lindsay_CSV File 1m Bins")</f>
        <v>96420_ML339M_Mt_Lindsay_CSV File 1m Bins</v>
      </c>
      <c r="D5475">
        <v>96420</v>
      </c>
      <c r="E5475" t="s">
        <v>3422</v>
      </c>
      <c r="F5475" t="str">
        <f>HYPERLINK("http://www.mrt.tas.gov.au/webdoc2/app/default/drilling_detail?id=96420","Geol Survey Link")</f>
        <v>Geol Survey Link</v>
      </c>
      <c r="G5475" t="s">
        <v>3565</v>
      </c>
      <c r="H5475" t="s">
        <v>3448</v>
      </c>
      <c r="I5475">
        <v>-41.697800000000001</v>
      </c>
      <c r="J5475">
        <v>145.33000000000001</v>
      </c>
    </row>
    <row r="5476" spans="1:11" x14ac:dyDescent="0.25">
      <c r="A5476" t="str">
        <f>HYPERLINK("http://www.corstruth.com.au/Tas/97736_ML351_Mt_Lindsay_cs.png","97736_ML351_Mt_Lindsay_A4")</f>
        <v>97736_ML351_Mt_Lindsay_A4</v>
      </c>
      <c r="B5476" t="str">
        <f>HYPERLINK("http://www.corstruth.com.au/Tas/PNG2/97736_ML351_Mt_Lindsay_cs.png","97736_ML351_Mt_Lindsay_0.25m Bins")</f>
        <v>97736_ML351_Mt_Lindsay_0.25m Bins</v>
      </c>
      <c r="C5476" t="str">
        <f>HYPERLINK("http://www.corstruth.com.au/Tas/CSV/97736_ML351_Mt_Lindsay.csv","97736_ML351_Mt_Lindsay_CSV File 1m Bins")</f>
        <v>97736_ML351_Mt_Lindsay_CSV File 1m Bins</v>
      </c>
      <c r="D5476">
        <v>97736</v>
      </c>
      <c r="E5476" t="s">
        <v>3422</v>
      </c>
      <c r="F5476" t="str">
        <f>HYPERLINK("http://www.mrt.tas.gov.au/webdoc2/app/default/drilling_detail?id=97736","Geol Survey Link")</f>
        <v>Geol Survey Link</v>
      </c>
      <c r="G5476" t="s">
        <v>3565</v>
      </c>
      <c r="H5476" t="s">
        <v>3448</v>
      </c>
      <c r="I5476">
        <v>-41.709000000000003</v>
      </c>
      <c r="J5476">
        <v>145.315</v>
      </c>
    </row>
    <row r="5477" spans="1:11" x14ac:dyDescent="0.25">
      <c r="A5477" t="str">
        <f>HYPERLINK("http://www.corstruth.com.au/Tas/97738_ML352_Mt_Lindsay_cs.png","97738_ML352_Mt_Lindsay_A4")</f>
        <v>97738_ML352_Mt_Lindsay_A4</v>
      </c>
      <c r="B5477" t="str">
        <f>HYPERLINK("http://www.corstruth.com.au/Tas/PNG2/97738_ML352_Mt_Lindsay_cs.png","97738_ML352_Mt_Lindsay_0.25m Bins")</f>
        <v>97738_ML352_Mt_Lindsay_0.25m Bins</v>
      </c>
      <c r="C5477" t="str">
        <f>HYPERLINK("http://www.corstruth.com.au/Tas/CSV/97738_ML352_Mt_Lindsay.csv","97738_ML352_Mt_Lindsay_CSV File 1m Bins")</f>
        <v>97738_ML352_Mt_Lindsay_CSV File 1m Bins</v>
      </c>
      <c r="D5477">
        <v>97738</v>
      </c>
      <c r="E5477" t="s">
        <v>3422</v>
      </c>
      <c r="F5477" t="str">
        <f>HYPERLINK("http://www.mrt.tas.gov.au/webdoc2/app/default/drilling_detail?id=97738","Geol Survey Link")</f>
        <v>Geol Survey Link</v>
      </c>
      <c r="G5477" t="s">
        <v>3565</v>
      </c>
      <c r="H5477" t="s">
        <v>3448</v>
      </c>
      <c r="I5477">
        <v>-41.709400000000002</v>
      </c>
      <c r="J5477">
        <v>145.31700000000001</v>
      </c>
    </row>
    <row r="5478" spans="1:11" x14ac:dyDescent="0.25">
      <c r="A5478" t="str">
        <f>HYPERLINK("http://www.corstruth.com.au/Tas/97739_ML354_Mt_Lindsay_cs.png","97739_ML354_Mt_Lindsay_A4")</f>
        <v>97739_ML354_Mt_Lindsay_A4</v>
      </c>
      <c r="B5478" t="str">
        <f>HYPERLINK("http://www.corstruth.com.au/Tas/PNG2/97739_ML354_Mt_Lindsay_cs.png","97739_ML354_Mt_Lindsay_0.25m Bins")</f>
        <v>97739_ML354_Mt_Lindsay_0.25m Bins</v>
      </c>
      <c r="C5478" t="str">
        <f>HYPERLINK("http://www.corstruth.com.au/Tas/CSV/97739_ML354_Mt_Lindsay.csv","97739_ML354_Mt_Lindsay_CSV File 1m Bins")</f>
        <v>97739_ML354_Mt_Lindsay_CSV File 1m Bins</v>
      </c>
      <c r="D5478">
        <v>97739</v>
      </c>
      <c r="E5478" t="s">
        <v>3422</v>
      </c>
      <c r="F5478" t="str">
        <f>HYPERLINK("http://www.mrt.tas.gov.au/webdoc2/app/default/drilling_detail?id=97739","Geol Survey Link")</f>
        <v>Geol Survey Link</v>
      </c>
      <c r="G5478" t="s">
        <v>3565</v>
      </c>
      <c r="H5478" t="s">
        <v>3448</v>
      </c>
      <c r="I5478">
        <v>-41.708199999999998</v>
      </c>
      <c r="J5478">
        <v>145.309</v>
      </c>
    </row>
    <row r="5479" spans="1:11" x14ac:dyDescent="0.25">
      <c r="A5479" t="str">
        <f>HYPERLINK("http://www.corstruth.com.au/Tas/97740_ML355_Mt_Lindsay_cs.png","97740_ML355_Mt_Lindsay_A4")</f>
        <v>97740_ML355_Mt_Lindsay_A4</v>
      </c>
      <c r="B5479" t="str">
        <f>HYPERLINK("http://www.corstruth.com.au/Tas/PNG2/97740_ML355_Mt_Lindsay_cs.png","97740_ML355_Mt_Lindsay_0.25m Bins")</f>
        <v>97740_ML355_Mt_Lindsay_0.25m Bins</v>
      </c>
      <c r="C5479" t="str">
        <f>HYPERLINK("http://www.corstruth.com.au/Tas/CSV/97740_ML355_Mt_Lindsay.csv","97740_ML355_Mt_Lindsay_CSV File 1m Bins")</f>
        <v>97740_ML355_Mt_Lindsay_CSV File 1m Bins</v>
      </c>
      <c r="D5479">
        <v>97740</v>
      </c>
      <c r="E5479" t="s">
        <v>3422</v>
      </c>
      <c r="F5479" t="str">
        <f>HYPERLINK("http://www.mrt.tas.gov.au/webdoc2/app/default/drilling_detail?id=97740","Geol Survey Link")</f>
        <v>Geol Survey Link</v>
      </c>
      <c r="G5479" t="s">
        <v>3565</v>
      </c>
      <c r="H5479" t="s">
        <v>3448</v>
      </c>
      <c r="I5479">
        <v>-41.708100000000002</v>
      </c>
      <c r="J5479">
        <v>145.30799999999999</v>
      </c>
    </row>
    <row r="5480" spans="1:11" x14ac:dyDescent="0.25">
      <c r="A5480" t="str">
        <f>HYPERLINK("http://www.corstruth.com.au/Tas/11200_NS1_North_Scamander_cs.png","11200_NS1_North_Scamander_A4")</f>
        <v>11200_NS1_North_Scamander_A4</v>
      </c>
      <c r="B5480" t="str">
        <f>HYPERLINK("http://www.corstruth.com.au/Tas/PNG2/11200_NS1_North_Scamander_cs.png","11200_NS1_North_Scamander_0.25m Bins")</f>
        <v>11200_NS1_North_Scamander_0.25m Bins</v>
      </c>
      <c r="C5480" t="str">
        <f>HYPERLINK("http://www.corstruth.com.au/Tas/CSV/11200_NS1_North_Scamander.csv","11200_NS1_North_Scamander_CSV File 1m Bins")</f>
        <v>11200_NS1_North_Scamander_CSV File 1m Bins</v>
      </c>
      <c r="D5480">
        <v>11200</v>
      </c>
      <c r="E5480" t="s">
        <v>3422</v>
      </c>
      <c r="F5480" t="str">
        <f>HYPERLINK("http://www.mrt.tas.gov.au/webdoc2/app/default/drilling_detail?id=11200","Geol Survey Link")</f>
        <v>Geol Survey Link</v>
      </c>
      <c r="G5480" t="s">
        <v>3565</v>
      </c>
      <c r="H5480" t="s">
        <v>3575</v>
      </c>
      <c r="I5480">
        <v>-41.4377</v>
      </c>
      <c r="J5480">
        <v>148.21299999999999</v>
      </c>
      <c r="K5480" t="str">
        <f>HYPERLINK("http://www.mrt.tas.gov.au/NVCLDataServices/mosaic.html?datasetid=36959e2a-1573-4cf0-a0aa-bee90ac21ad","11200_NS1_North_Scamander_Core Image")</f>
        <v>11200_NS1_North_Scamander_Core Image</v>
      </c>
    </row>
    <row r="5481" spans="1:11" x14ac:dyDescent="0.25">
      <c r="A5481" t="str">
        <f>HYPERLINK("http://www.corstruth.com.au/Tas/11201_NS4_North_Scamander_cs.png","11201_NS4_North_Scamander_A4")</f>
        <v>11201_NS4_North_Scamander_A4</v>
      </c>
      <c r="B5481" t="str">
        <f>HYPERLINK("http://www.corstruth.com.au/Tas/PNG2/11201_NS4_North_Scamander_cs.png","11201_NS4_North_Scamander_0.25m Bins")</f>
        <v>11201_NS4_North_Scamander_0.25m Bins</v>
      </c>
      <c r="C5481" t="str">
        <f>HYPERLINK("http://www.corstruth.com.au/Tas/CSV/11201_NS4_North_Scamander.csv","11201_NS4_North_Scamander_CSV File 1m Bins")</f>
        <v>11201_NS4_North_Scamander_CSV File 1m Bins</v>
      </c>
      <c r="D5481">
        <v>11201</v>
      </c>
      <c r="E5481" t="s">
        <v>3422</v>
      </c>
      <c r="F5481" t="str">
        <f>HYPERLINK("http://www.mrt.tas.gov.au/webdoc2/app/default/drilling_detail?id=11201","Geol Survey Link")</f>
        <v>Geol Survey Link</v>
      </c>
      <c r="G5481" t="s">
        <v>3565</v>
      </c>
      <c r="H5481" t="s">
        <v>3575</v>
      </c>
      <c r="I5481">
        <v>-41.437600000000003</v>
      </c>
      <c r="J5481">
        <v>148.21</v>
      </c>
    </row>
    <row r="5482" spans="1:11" x14ac:dyDescent="0.25">
      <c r="A5482" t="str">
        <f>HYPERLINK("http://www.corstruth.com.au/Tas/11519_NS2_North_Scamander_cs.png","11519_NS2_North_Scamander_A4")</f>
        <v>11519_NS2_North_Scamander_A4</v>
      </c>
      <c r="B5482" t="str">
        <f>HYPERLINK("http://www.corstruth.com.au/Tas/PNG2/11519_NS2_North_Scamander_cs.png","11519_NS2_North_Scamander_0.25m Bins")</f>
        <v>11519_NS2_North_Scamander_0.25m Bins</v>
      </c>
      <c r="C5482" t="str">
        <f>HYPERLINK("http://www.corstruth.com.au/Tas/CSV/11519_NS2_North_Scamander.csv","11519_NS2_North_Scamander_CSV File 1m Bins")</f>
        <v>11519_NS2_North_Scamander_CSV File 1m Bins</v>
      </c>
      <c r="D5482">
        <v>11519</v>
      </c>
      <c r="E5482" t="s">
        <v>3422</v>
      </c>
      <c r="F5482" t="str">
        <f>HYPERLINK("http://www.mrt.tas.gov.au/webdoc2/app/default/drilling_detail?id=11519","Geol Survey Link")</f>
        <v>Geol Survey Link</v>
      </c>
      <c r="G5482" t="s">
        <v>3565</v>
      </c>
      <c r="H5482" t="s">
        <v>3575</v>
      </c>
      <c r="I5482">
        <v>-41.438099999999999</v>
      </c>
      <c r="J5482">
        <v>148.214</v>
      </c>
      <c r="K5482" t="str">
        <f>HYPERLINK("http://www.mrt.tas.gov.au/NVCLDataServices/mosaic.html?datasetid=917184b4-5697-40ff-864f-ff49cd0b212","11519_NS2_North_Scamander_Core Image")</f>
        <v>11519_NS2_North_Scamander_Core Image</v>
      </c>
    </row>
    <row r="5483" spans="1:11" x14ac:dyDescent="0.25">
      <c r="A5483" t="str">
        <f>HYPERLINK("http://www.corstruth.com.au/Tas/11520_NS3_North_Scamander_cs.png","11520_NS3_North_Scamander_A4")</f>
        <v>11520_NS3_North_Scamander_A4</v>
      </c>
      <c r="B5483" t="str">
        <f>HYPERLINK("http://www.corstruth.com.au/Tas/PNG2/11520_NS3_North_Scamander_cs.png","11520_NS3_North_Scamander_0.25m Bins")</f>
        <v>11520_NS3_North_Scamander_0.25m Bins</v>
      </c>
      <c r="C5483" t="str">
        <f>HYPERLINK("http://www.corstruth.com.au/Tas/CSV/11520_NS3_North_Scamander.csv","11520_NS3_North_Scamander_CSV File 1m Bins")</f>
        <v>11520_NS3_North_Scamander_CSV File 1m Bins</v>
      </c>
      <c r="D5483">
        <v>11520</v>
      </c>
      <c r="E5483" t="s">
        <v>3422</v>
      </c>
      <c r="F5483" t="str">
        <f>HYPERLINK("http://www.mrt.tas.gov.au/webdoc2/app/default/drilling_detail?id=11520","Geol Survey Link")</f>
        <v>Geol Survey Link</v>
      </c>
      <c r="G5483" t="s">
        <v>3565</v>
      </c>
      <c r="H5483" t="s">
        <v>3575</v>
      </c>
      <c r="I5483">
        <v>-41.436700000000002</v>
      </c>
      <c r="J5483">
        <v>148.21199999999999</v>
      </c>
      <c r="K5483" t="str">
        <f>HYPERLINK("http://www.mrt.tas.gov.au/NVCLDataServices/mosaic.html?datasetid=279664fb-8fce-4218-bb81-dd58d7e80f9","11520_NS3_North_Scamander_Core Image")</f>
        <v>11520_NS3_North_Scamander_Core Image</v>
      </c>
    </row>
    <row r="5484" spans="1:11" x14ac:dyDescent="0.25">
      <c r="A5484" t="str">
        <f>HYPERLINK("http://www.corstruth.com.au/Tas/10279_ZT-82-13_Oceana_Zeehan_cs.png","10279_ZT-82-13_Oceana_Zeehan_A4")</f>
        <v>10279_ZT-82-13_Oceana_Zeehan_A4</v>
      </c>
      <c r="D5484">
        <v>10279</v>
      </c>
      <c r="E5484" t="s">
        <v>3422</v>
      </c>
      <c r="F5484" t="str">
        <f>HYPERLINK("http://www.mrt.tas.gov.au/webdoc2/app/default/drilling_detail?id=10279","Geol Survey Link")</f>
        <v>Geol Survey Link</v>
      </c>
      <c r="G5484" t="s">
        <v>3565</v>
      </c>
      <c r="H5484" t="s">
        <v>3576</v>
      </c>
      <c r="I5484">
        <v>-41.921799999999998</v>
      </c>
      <c r="J5484">
        <v>145.33799999999999</v>
      </c>
    </row>
    <row r="5485" spans="1:11" x14ac:dyDescent="0.25">
      <c r="A5485" t="str">
        <f>HYPERLINK("http://www.corstruth.com.au/Tas/95316_ZO142_Oonah_Hill_cs.png","95316_ZO142_Oonah_Hill_A4")</f>
        <v>95316_ZO142_Oonah_Hill_A4</v>
      </c>
      <c r="B5485" t="str">
        <f>HYPERLINK("http://www.corstruth.com.au/Tas/PNG2/95316_ZO142_Oonah_Hill_cs.png","95316_ZO142_Oonah_Hill_0.25m Bins")</f>
        <v>95316_ZO142_Oonah_Hill_0.25m Bins</v>
      </c>
      <c r="C5485" t="str">
        <f>HYPERLINK("http://www.corstruth.com.au/Tas/CSV/95316_ZO142_Oonah_Hill.csv","95316_ZO142_Oonah_Hill_CSV File 1m Bins")</f>
        <v>95316_ZO142_Oonah_Hill_CSV File 1m Bins</v>
      </c>
      <c r="D5485">
        <v>95316</v>
      </c>
      <c r="E5485" t="s">
        <v>3422</v>
      </c>
      <c r="F5485" t="str">
        <f>HYPERLINK("http://www.mrt.tas.gov.au/webdoc2/app/default/drilling_detail?id=95316","Geol Survey Link")</f>
        <v>Geol Survey Link</v>
      </c>
      <c r="G5485" t="s">
        <v>3565</v>
      </c>
      <c r="H5485" t="s">
        <v>3577</v>
      </c>
      <c r="I5485">
        <v>-41.874299999999998</v>
      </c>
      <c r="J5485">
        <v>145.31899999999999</v>
      </c>
    </row>
    <row r="5486" spans="1:11" x14ac:dyDescent="0.25">
      <c r="A5486" t="str">
        <f>HYPERLINK("http://www.corstruth.com.au/Tas/95317_ZO144_Oonah_Hill_cs.png","95317_ZO144_Oonah_Hill_A4")</f>
        <v>95317_ZO144_Oonah_Hill_A4</v>
      </c>
      <c r="B5486" t="str">
        <f>HYPERLINK("http://www.corstruth.com.au/Tas/PNG2/95317_ZO144_Oonah_Hill_cs.png","95317_ZO144_Oonah_Hill_0.25m Bins")</f>
        <v>95317_ZO144_Oonah_Hill_0.25m Bins</v>
      </c>
      <c r="C5486" t="str">
        <f>HYPERLINK("http://www.corstruth.com.au/Tas/CSV/95317_ZO144_Oonah_Hill.csv","95317_ZO144_Oonah_Hill_CSV File 1m Bins")</f>
        <v>95317_ZO144_Oonah_Hill_CSV File 1m Bins</v>
      </c>
      <c r="D5486">
        <v>95317</v>
      </c>
      <c r="E5486" t="s">
        <v>3422</v>
      </c>
      <c r="F5486" t="str">
        <f>HYPERLINK("http://www.mrt.tas.gov.au/webdoc2/app/default/drilling_detail?id=95317","Geol Survey Link")</f>
        <v>Geol Survey Link</v>
      </c>
      <c r="G5486" t="s">
        <v>3565</v>
      </c>
      <c r="H5486" t="s">
        <v>3577</v>
      </c>
      <c r="I5486">
        <v>-41.875300000000003</v>
      </c>
      <c r="J5486">
        <v>145.32</v>
      </c>
    </row>
    <row r="5487" spans="1:11" x14ac:dyDescent="0.25">
      <c r="A5487" t="str">
        <f>HYPERLINK("http://www.corstruth.com.au/Tas/15171_DD80OC3_Oonah_Prospect_cs.png","15171_DD80OC3_Oonah_Prospect_A4")</f>
        <v>15171_DD80OC3_Oonah_Prospect_A4</v>
      </c>
      <c r="B5487" t="str">
        <f>HYPERLINK("http://www.corstruth.com.au/Tas/PNG2/15171_DD80OC3_Oonah_Prospect_cs.png","15171_DD80OC3_Oonah_Prospect_0.25m Bins")</f>
        <v>15171_DD80OC3_Oonah_Prospect_0.25m Bins</v>
      </c>
      <c r="C5487" t="str">
        <f>HYPERLINK("http://www.corstruth.com.au/Tas/CSV/15171_DD80OC3_Oonah_Prospect.csv","15171_DD80OC3_Oonah_Prospect_CSV File 1m Bins")</f>
        <v>15171_DD80OC3_Oonah_Prospect_CSV File 1m Bins</v>
      </c>
      <c r="D5487">
        <v>15171</v>
      </c>
      <c r="E5487" t="s">
        <v>3422</v>
      </c>
      <c r="F5487" t="str">
        <f>HYPERLINK("http://www.mrt.tas.gov.au/webdoc2/app/default/drilling_detail?id=15171","Geol Survey Link")</f>
        <v>Geol Survey Link</v>
      </c>
      <c r="G5487" t="s">
        <v>3565</v>
      </c>
      <c r="H5487" t="s">
        <v>3578</v>
      </c>
      <c r="I5487">
        <v>-41.875100000000003</v>
      </c>
      <c r="J5487">
        <v>145.31899999999999</v>
      </c>
      <c r="K5487" t="str">
        <f>HYPERLINK("http://www.mrt.tas.gov.au/NVCLDataServices/mosaic.html?datasetid=8cb56459-02f8-451e-b2ce-4cbc162c232","15171_DD80OC3_Oonah_Prospect_Core Image")</f>
        <v>15171_DD80OC3_Oonah_Prospect_Core Image</v>
      </c>
    </row>
    <row r="5488" spans="1:11" x14ac:dyDescent="0.25">
      <c r="A5488" t="str">
        <f>HYPERLINK("http://www.corstruth.com.au/Tas/96636_ZQ146_Queen_No.4_cs.png","96636_ZQ146_Queen_No.4_A4")</f>
        <v>96636_ZQ146_Queen_No.4_A4</v>
      </c>
      <c r="B5488" t="str">
        <f>HYPERLINK("http://www.corstruth.com.au/Tas/PNG2/96636_ZQ146_Queen_No.4_cs.png","96636_ZQ146_Queen_No.4_0.25m Bins")</f>
        <v>96636_ZQ146_Queen_No.4_0.25m Bins</v>
      </c>
      <c r="C5488" t="str">
        <f>HYPERLINK("http://www.corstruth.com.au/Tas/CSV/96636_ZQ146_Queen_No.4.csv","96636_ZQ146_Queen_No.4_CSV File 1m Bins")</f>
        <v>96636_ZQ146_Queen_No.4_CSV File 1m Bins</v>
      </c>
      <c r="D5488">
        <v>96636</v>
      </c>
      <c r="E5488" t="s">
        <v>3422</v>
      </c>
      <c r="F5488" t="str">
        <f>HYPERLINK("http://www.mrt.tas.gov.au/webdoc2/app/default/drilling_detail?id=96636","Geol Survey Link")</f>
        <v>Geol Survey Link</v>
      </c>
      <c r="G5488" t="s">
        <v>3565</v>
      </c>
      <c r="H5488" t="s">
        <v>3579</v>
      </c>
      <c r="I5488">
        <v>-41.884099999999997</v>
      </c>
      <c r="J5488">
        <v>145.322</v>
      </c>
    </row>
    <row r="5489" spans="1:11" x14ac:dyDescent="0.25">
      <c r="A5489" t="str">
        <f>HYPERLINK("http://www.corstruth.com.au/Tas/19352_DDH1_Rocky_River_cs.png","19352_DDH1_Rocky_River_A4")</f>
        <v>19352_DDH1_Rocky_River_A4</v>
      </c>
      <c r="D5489">
        <v>19352</v>
      </c>
      <c r="E5489" t="s">
        <v>3422</v>
      </c>
      <c r="F5489" t="str">
        <f>HYPERLINK("http://www.mrt.tas.gov.au/webdoc2/app/default/drilling_detail?id=19352","Geol Survey Link")</f>
        <v>Geol Survey Link</v>
      </c>
      <c r="G5489" t="s">
        <v>3565</v>
      </c>
      <c r="H5489" t="s">
        <v>3580</v>
      </c>
      <c r="I5489">
        <v>-41.6312</v>
      </c>
      <c r="J5489">
        <v>145.197</v>
      </c>
      <c r="K5489" t="str">
        <f>HYPERLINK("http://www.mrt.tas.gov.au/NVCLDataServices/mosaic.html?datasetid=e1ed6167-2270-46bd-aa96-0b853f4d171","19352_DDH1_Rocky_River_Core Image")</f>
        <v>19352_DDH1_Rocky_River_Core Image</v>
      </c>
    </row>
    <row r="5490" spans="1:11" x14ac:dyDescent="0.25">
      <c r="A5490" t="str">
        <f>HYPERLINK("http://www.corstruth.com.au/Tas/19352_RRDDH1_Rocky_River_cs.png","19352_RRDDH1_Rocky_River_A4")</f>
        <v>19352_RRDDH1_Rocky_River_A4</v>
      </c>
      <c r="B5490" t="str">
        <f>HYPERLINK("http://www.corstruth.com.au/Tas/PNG2/19352_RRDDH1_Rocky_River_cs.png","19352_RRDDH1_Rocky_River_0.25m Bins")</f>
        <v>19352_RRDDH1_Rocky_River_0.25m Bins</v>
      </c>
      <c r="C5490" t="str">
        <f>HYPERLINK("http://www.corstruth.com.au/Tas/CSV/19352_RRDDH1_Rocky_River.csv","19352_RRDDH1_Rocky_River_CSV File 1m Bins")</f>
        <v>19352_RRDDH1_Rocky_River_CSV File 1m Bins</v>
      </c>
      <c r="D5490">
        <v>19352</v>
      </c>
      <c r="E5490" t="s">
        <v>3422</v>
      </c>
      <c r="F5490" t="str">
        <f>HYPERLINK("http://www.mrt.tas.gov.au/webdoc2/app/default/drilling_detail?id=19352","Geol Survey Link")</f>
        <v>Geol Survey Link</v>
      </c>
      <c r="G5490" t="s">
        <v>3565</v>
      </c>
      <c r="H5490" t="s">
        <v>3580</v>
      </c>
      <c r="I5490">
        <v>-41.629600000000003</v>
      </c>
      <c r="J5490">
        <v>145.19800000000001</v>
      </c>
    </row>
    <row r="5491" spans="1:11" x14ac:dyDescent="0.25">
      <c r="A5491" t="str">
        <f>HYPERLINK("http://www.corstruth.com.au/Tas/19353_RRDDH2_Rocky_River_cs.png","19353_RRDDH2_Rocky_River_A4")</f>
        <v>19353_RRDDH2_Rocky_River_A4</v>
      </c>
      <c r="B5491" t="str">
        <f>HYPERLINK("http://www.corstruth.com.au/Tas/PNG2/19353_RRDDH2_Rocky_River_cs.png","19353_RRDDH2_Rocky_River_0.25m Bins")</f>
        <v>19353_RRDDH2_Rocky_River_0.25m Bins</v>
      </c>
      <c r="C5491" t="str">
        <f>HYPERLINK("http://www.corstruth.com.au/Tas/CSV/19353_RRDDH2_Rocky_River.csv","19353_RRDDH2_Rocky_River_CSV File 1m Bins")</f>
        <v>19353_RRDDH2_Rocky_River_CSV File 1m Bins</v>
      </c>
      <c r="D5491">
        <v>19353</v>
      </c>
      <c r="E5491" t="s">
        <v>3422</v>
      </c>
      <c r="F5491" t="str">
        <f>HYPERLINK("http://www.mrt.tas.gov.au/webdoc2/app/default/drilling_detail?id=19353","Geol Survey Link")</f>
        <v>Geol Survey Link</v>
      </c>
      <c r="G5491" t="s">
        <v>3565</v>
      </c>
      <c r="H5491" t="s">
        <v>3580</v>
      </c>
      <c r="I5491">
        <v>-41.627699999999997</v>
      </c>
      <c r="J5491">
        <v>145.19800000000001</v>
      </c>
      <c r="K5491" t="str">
        <f>HYPERLINK("http://www.mrt.tas.gov.au/NVCLDataServices/mosaic.html?datasetid=53c634f0-1bbf-4801-8a1e-ce431dec686","19353_RRDDH2_Rocky_River_Core Image")</f>
        <v>19353_RRDDH2_Rocky_River_Core Image</v>
      </c>
    </row>
    <row r="5492" spans="1:11" x14ac:dyDescent="0.25">
      <c r="A5492" t="str">
        <f>HYPERLINK("http://www.corstruth.com.au/Tas/87385_CDDH13003_cs.png","87385_CDDH13003_A4")</f>
        <v>87385_CDDH13003_A4</v>
      </c>
      <c r="B5492" t="str">
        <f>HYPERLINK("http://www.corstruth.com.au/Tas/PNG2/87385_CDDH13003_cs.png","87385_CDDH13003_0.25m Bins")</f>
        <v>87385_CDDH13003_0.25m Bins</v>
      </c>
      <c r="C5492" t="str">
        <f>HYPERLINK("http://www.corstruth.com.au/Tas/CSV/87385_CDDH13003.csv","87385_CDDH13003_CSV File 1m Bins")</f>
        <v>87385_CDDH13003_CSV File 1m Bins</v>
      </c>
      <c r="D5492">
        <v>87385</v>
      </c>
      <c r="E5492" t="s">
        <v>3422</v>
      </c>
      <c r="F5492" t="str">
        <f>HYPERLINK("http://www.mrt.tas.gov.au/webdoc2/app/default/drilling_detail?id=87385","Geol Survey Link")</f>
        <v>Geol Survey Link</v>
      </c>
      <c r="G5492" t="s">
        <v>3565</v>
      </c>
      <c r="H5492" t="s">
        <v>3581</v>
      </c>
      <c r="I5492">
        <v>-41.488700000000001</v>
      </c>
      <c r="J5492">
        <v>145.203</v>
      </c>
      <c r="K5492" t="str">
        <f>HYPERLINK("http://www.mrt.tas.gov.au/NVCLDataServices/mosaic.html?datasetid=21c6dc98-e15a-44ca-95f5-18e82c8350c","87385_CDDH13003_Core Image")</f>
        <v>87385_CDDH13003_Core Image</v>
      </c>
    </row>
    <row r="5493" spans="1:11" x14ac:dyDescent="0.25">
      <c r="A5493" t="str">
        <f>HYPERLINK("http://www.corstruth.com.au/Tas/87394_CDDH13012_cs.png","87394_CDDH13012_A4")</f>
        <v>87394_CDDH13012_A4</v>
      </c>
      <c r="B5493" t="str">
        <f>HYPERLINK("http://www.corstruth.com.au/Tas/PNG2/87394_CDDH13012_cs.png","87394_CDDH13012_0.25m Bins")</f>
        <v>87394_CDDH13012_0.25m Bins</v>
      </c>
      <c r="C5493" t="str">
        <f>HYPERLINK("http://www.corstruth.com.au/Tas/CSV/87394_CDDH13012.csv","87394_CDDH13012_CSV File 1m Bins")</f>
        <v>87394_CDDH13012_CSV File 1m Bins</v>
      </c>
      <c r="D5493">
        <v>87394</v>
      </c>
      <c r="E5493" t="s">
        <v>3422</v>
      </c>
      <c r="F5493" t="str">
        <f>HYPERLINK("http://www.mrt.tas.gov.au/webdoc2/app/default/drilling_detail?id=87394","Geol Survey Link")</f>
        <v>Geol Survey Link</v>
      </c>
      <c r="G5493" t="s">
        <v>3565</v>
      </c>
      <c r="H5493" t="s">
        <v>3581</v>
      </c>
      <c r="I5493">
        <v>-41.488900000000001</v>
      </c>
      <c r="J5493">
        <v>145.196</v>
      </c>
      <c r="K5493" t="str">
        <f>HYPERLINK("http://www.mrt.tas.gov.au/NVCLDataServices/mosaic.html?datasetid=dce0f3bd-98a3-493b-943b-25ab4e781e5","87394_CDDH13012_Core Image")</f>
        <v>87394_CDDH13012_Core Image</v>
      </c>
    </row>
    <row r="5494" spans="1:11" x14ac:dyDescent="0.25">
      <c r="A5494" t="str">
        <f>HYPERLINK("http://www.corstruth.com.au/Tas/87397_CDDH13015_cs.png","87397_CDDH13015_A4")</f>
        <v>87397_CDDH13015_A4</v>
      </c>
      <c r="B5494" t="str">
        <f>HYPERLINK("http://www.corstruth.com.au/Tas/PNG2/87397_CDDH13015_cs.png","87397_CDDH13015_0.25m Bins")</f>
        <v>87397_CDDH13015_0.25m Bins</v>
      </c>
      <c r="C5494" t="str">
        <f>HYPERLINK("http://www.corstruth.com.au/Tas/CSV/87397_CDDH13015.csv","87397_CDDH13015_CSV File 1m Bins")</f>
        <v>87397_CDDH13015_CSV File 1m Bins</v>
      </c>
      <c r="D5494">
        <v>87397</v>
      </c>
      <c r="E5494" t="s">
        <v>3422</v>
      </c>
      <c r="F5494" t="str">
        <f>HYPERLINK("http://www.mrt.tas.gov.au/webdoc2/app/default/drilling_detail?id=87397","Geol Survey Link")</f>
        <v>Geol Survey Link</v>
      </c>
      <c r="G5494" t="s">
        <v>3565</v>
      </c>
      <c r="H5494" t="s">
        <v>3581</v>
      </c>
      <c r="I5494">
        <v>-41.487699999999997</v>
      </c>
      <c r="J5494">
        <v>145.19900000000001</v>
      </c>
      <c r="K5494" t="str">
        <f>HYPERLINK("http://www.mrt.tas.gov.au/NVCLDataServices/mosaic.html?datasetid=c2d42bcc-3340-4eb1-b958-779788a0e81","87397_CDDH13015_Core Image")</f>
        <v>87397_CDDH13015_Core Image</v>
      </c>
    </row>
    <row r="5495" spans="1:11" x14ac:dyDescent="0.25">
      <c r="A5495" t="str">
        <f>HYPERLINK("http://www.corstruth.com.au/Tas/87399_CDDH13017_cs.png","87399_CDDH13017_A4")</f>
        <v>87399_CDDH13017_A4</v>
      </c>
      <c r="B5495" t="str">
        <f>HYPERLINK("http://www.corstruth.com.au/Tas/PNG2/87399_CDDH13017_cs.png","87399_CDDH13017_0.25m Bins")</f>
        <v>87399_CDDH13017_0.25m Bins</v>
      </c>
      <c r="C5495" t="str">
        <f>HYPERLINK("http://www.corstruth.com.au/Tas/CSV/87399_CDDH13017.csv","87399_CDDH13017_CSV File 1m Bins")</f>
        <v>87399_CDDH13017_CSV File 1m Bins</v>
      </c>
      <c r="D5495">
        <v>87399</v>
      </c>
      <c r="E5495" t="s">
        <v>3422</v>
      </c>
      <c r="F5495" t="str">
        <f>HYPERLINK("http://www.mrt.tas.gov.au/webdoc2/app/default/drilling_detail?id=87399","Geol Survey Link")</f>
        <v>Geol Survey Link</v>
      </c>
      <c r="G5495" t="s">
        <v>3565</v>
      </c>
      <c r="H5495" t="s">
        <v>3581</v>
      </c>
      <c r="I5495">
        <v>-41.488399999999999</v>
      </c>
      <c r="J5495">
        <v>145.19800000000001</v>
      </c>
      <c r="K5495" t="str">
        <f>HYPERLINK("http://www.mrt.tas.gov.au/NVCLDataServices/mosaic.html?datasetid=097618ab-92ec-41e9-9395-c6f958db1dc","87399_CDDH13017_Core Image")</f>
        <v>87399_CDDH13017_Core Image</v>
      </c>
    </row>
    <row r="5496" spans="1:11" x14ac:dyDescent="0.25">
      <c r="A5496" t="str">
        <f>HYPERLINK("http://www.corstruth.com.au/Tas/87405_CDDH14002_cs.png","87405_CDDH14002_A4")</f>
        <v>87405_CDDH14002_A4</v>
      </c>
      <c r="B5496" t="str">
        <f>HYPERLINK("http://www.corstruth.com.au/Tas/PNG2/87405_CDDH14002_cs.png","87405_CDDH14002_0.25m Bins")</f>
        <v>87405_CDDH14002_0.25m Bins</v>
      </c>
      <c r="C5496" t="str">
        <f>HYPERLINK("http://www.corstruth.com.au/Tas/CSV/87405_CDDH14002.csv","87405_CDDH14002_CSV File 1m Bins")</f>
        <v>87405_CDDH14002_CSV File 1m Bins</v>
      </c>
      <c r="D5496">
        <v>87405</v>
      </c>
      <c r="E5496" t="s">
        <v>3422</v>
      </c>
      <c r="F5496" t="str">
        <f>HYPERLINK("http://www.mrt.tas.gov.au/webdoc2/app/default/drilling_detail?id=87405","Geol Survey Link")</f>
        <v>Geol Survey Link</v>
      </c>
      <c r="G5496" t="s">
        <v>3565</v>
      </c>
      <c r="H5496" t="s">
        <v>3581</v>
      </c>
      <c r="I5496">
        <v>-41.488100000000003</v>
      </c>
      <c r="J5496">
        <v>145.19999999999999</v>
      </c>
      <c r="K5496" t="str">
        <f>HYPERLINK("http://www.mrt.tas.gov.au/NVCLDataServices/mosaic.html?datasetid=9e94c90f-e2a4-4f01-86a0-dc602d5a454","87405_CDDH14002_Core Image")</f>
        <v>87405_CDDH14002_Core Image</v>
      </c>
    </row>
    <row r="5497" spans="1:11" x14ac:dyDescent="0.25">
      <c r="A5497" t="str">
        <f>HYPERLINK("http://www.corstruth.com.au/Tas/87419_CP2018_10_cs.png","87419_CP2018_10_A4")</f>
        <v>87419_CP2018_10_A4</v>
      </c>
      <c r="B5497" t="str">
        <f>HYPERLINK("http://www.corstruth.com.au/Tas/PNG2/87419_CP2018_10_cs.png","87419_CP2018_10_0.25m Bins")</f>
        <v>87419_CP2018_10_0.25m Bins</v>
      </c>
      <c r="C5497" t="str">
        <f>HYPERLINK("http://www.corstruth.com.au/Tas/CSV/87419_CP2018_10.csv","87419_CP2018_10_CSV File 1m Bins")</f>
        <v>87419_CP2018_10_CSV File 1m Bins</v>
      </c>
      <c r="D5497">
        <v>87419</v>
      </c>
      <c r="E5497" t="s">
        <v>3422</v>
      </c>
      <c r="F5497" t="str">
        <f>HYPERLINK("http://www.mrt.tas.gov.au/webdoc2/app/default/drilling_detail?id=87419","Geol Survey Link")</f>
        <v>Geol Survey Link</v>
      </c>
      <c r="G5497" t="s">
        <v>3565</v>
      </c>
      <c r="H5497" t="s">
        <v>3581</v>
      </c>
      <c r="I5497">
        <v>-41.487699999999997</v>
      </c>
      <c r="J5497">
        <v>145.19900000000001</v>
      </c>
      <c r="K5497" t="str">
        <f>HYPERLINK("http://www.mrt.tas.gov.au/NVCLDataServices/mosaic.html?datasetid=7ac98ba8-283c-4521-adaa-f8e1ddf564a","87419_CP2018_10_Core Image")</f>
        <v>87419_CP2018_10_Core Image</v>
      </c>
    </row>
    <row r="5498" spans="1:11" x14ac:dyDescent="0.25">
      <c r="A5498" t="str">
        <f>HYPERLINK("http://www.corstruth.com.au/Tas/82706_TCDD004_cs.png","82706_TCDD004_A4")</f>
        <v>82706_TCDD004_A4</v>
      </c>
      <c r="B5498" t="str">
        <f>HYPERLINK("http://www.corstruth.com.au/Tas/PNG2/82706_TCDD004_cs.png","82706_TCDD004_0.25m Bins")</f>
        <v>82706_TCDD004_0.25m Bins</v>
      </c>
      <c r="C5498" t="str">
        <f>HYPERLINK("http://www.corstruth.com.au/Tas/CSV/82706_TCDD004.csv","82706_TCDD004_CSV File 1m Bins")</f>
        <v>82706_TCDD004_CSV File 1m Bins</v>
      </c>
      <c r="D5498">
        <v>82706</v>
      </c>
      <c r="E5498" t="s">
        <v>3422</v>
      </c>
      <c r="F5498" t="str">
        <f>HYPERLINK("http://www.mrt.tas.gov.au/webdoc2/app/default/drilling_detail?id=82706","Geol Survey Link")</f>
        <v>Geol Survey Link</v>
      </c>
      <c r="G5498" t="s">
        <v>3565</v>
      </c>
      <c r="H5498" t="s">
        <v>3582</v>
      </c>
      <c r="I5498">
        <v>-42.569099999999999</v>
      </c>
      <c r="J5498">
        <v>145.417</v>
      </c>
      <c r="K5498" t="str">
        <f>HYPERLINK("http://www.mrt.tas.gov.au/NVCLDataServices/mosaic.html?datasetid=c6378a82-33b3-4c37-8e22-187fb09bed7","82706_TCDD004_Core Image")</f>
        <v>82706_TCDD004_Core Image</v>
      </c>
    </row>
    <row r="5499" spans="1:11" x14ac:dyDescent="0.25">
      <c r="A5499" t="str">
        <f>HYPERLINK("http://www.corstruth.com.au/Tas/95318_ZW145_Zeehan_Western_Mine_cs.png","95318_ZW145_Zeehan_Western_Mine_A4")</f>
        <v>95318_ZW145_Zeehan_Western_Mine_A4</v>
      </c>
      <c r="B5499" t="str">
        <f>HYPERLINK("http://www.corstruth.com.au/Tas/PNG2/95318_ZW145_Zeehan_Western_Mine_cs.png","95318_ZW145_Zeehan_Western_Mine_0.25m Bins")</f>
        <v>95318_ZW145_Zeehan_Western_Mine_0.25m Bins</v>
      </c>
      <c r="C5499" t="str">
        <f>HYPERLINK("http://www.corstruth.com.au/Tas/CSV/95318_ZW145_Zeehan_Western_Mine.csv","95318_ZW145_Zeehan_Western_Mine_CSV File 1m Bins")</f>
        <v>95318_ZW145_Zeehan_Western_Mine_CSV File 1m Bins</v>
      </c>
      <c r="D5499">
        <v>95318</v>
      </c>
      <c r="E5499" t="s">
        <v>3422</v>
      </c>
      <c r="F5499" t="str">
        <f>HYPERLINK("http://www.mrt.tas.gov.au/webdoc2/app/default/drilling_detail?id=95318","Geol Survey Link")</f>
        <v>Geol Survey Link</v>
      </c>
      <c r="G5499" t="s">
        <v>3565</v>
      </c>
      <c r="H5499" t="s">
        <v>3583</v>
      </c>
      <c r="I5499">
        <v>-41.871699999999997</v>
      </c>
      <c r="J5499">
        <v>145.32300000000001</v>
      </c>
    </row>
    <row r="5500" spans="1:11" x14ac:dyDescent="0.25">
      <c r="A5500" t="str">
        <f>HYPERLINK("http://www.corstruth.com.au/Tas/15191_PD85AP1_cs.png","15191_PD85AP1_A4")</f>
        <v>15191_PD85AP1_A4</v>
      </c>
      <c r="B5500" t="str">
        <f>HYPERLINK("http://www.corstruth.com.au/Tas/PNG2/15191_PD85AP1_cs.png","15191_PD85AP1_0.25m Bins")</f>
        <v>15191_PD85AP1_0.25m Bins</v>
      </c>
      <c r="C5500" t="str">
        <f>HYPERLINK("http://www.corstruth.com.au/Tas/CSV/15191_PD85AP1.csv","15191_PD85AP1_CSV File 1m Bins")</f>
        <v>15191_PD85AP1_CSV File 1m Bins</v>
      </c>
      <c r="D5500">
        <v>15191</v>
      </c>
      <c r="E5500" t="s">
        <v>3422</v>
      </c>
      <c r="F5500" t="str">
        <f>HYPERLINK("http://www.mrt.tas.gov.au/webdoc2/app/default/drilling_detail?id=15191","Geol Survey Link")</f>
        <v>Geol Survey Link</v>
      </c>
      <c r="G5500" t="s">
        <v>3584</v>
      </c>
      <c r="H5500" t="s">
        <v>3585</v>
      </c>
      <c r="I5500">
        <v>-41.741900000000001</v>
      </c>
      <c r="J5500">
        <v>145.096</v>
      </c>
      <c r="K5500" t="str">
        <f>HYPERLINK("http://www.mrt.tas.gov.au/NVCLDataServices/mosaic.html?datasetid=be52ac4e-8938-4ba6-a14f-f05fa7b27d6","15191_PD85AP1_Core Image")</f>
        <v>15191_PD85AP1_Core Image</v>
      </c>
    </row>
    <row r="5501" spans="1:11" x14ac:dyDescent="0.25">
      <c r="A5501" t="str">
        <f>HYPERLINK("http://www.corstruth.com.au/Tas/15191_PD85AP1_Alpine_Prospect_Reece_cs.png","15191_PD85AP1_Alpine_Prospect_Reece_A4")</f>
        <v>15191_PD85AP1_Alpine_Prospect_Reece_A4</v>
      </c>
      <c r="B5501" t="str">
        <f>HYPERLINK("http://www.corstruth.com.au/Tas/PNG2/15191_PD85AP1_Alpine_Prospect_Reece_cs.png","15191_PD85AP1_Alpine_Prospect_Reece_0.25m Bins")</f>
        <v>15191_PD85AP1_Alpine_Prospect_Reece_0.25m Bins</v>
      </c>
      <c r="C5501" t="str">
        <f>HYPERLINK("http://www.corstruth.com.au/Tas/CSV/15191_PD85AP1_Alpine_Prospect_Reece.csv","15191_PD85AP1_Alpine_Prospect_Reece_CSV File 1m Bins")</f>
        <v>15191_PD85AP1_Alpine_Prospect_Reece_CSV File 1m Bins</v>
      </c>
      <c r="D5501">
        <v>15191</v>
      </c>
      <c r="E5501" t="s">
        <v>3422</v>
      </c>
      <c r="F5501" t="str">
        <f>HYPERLINK("http://www.mrt.tas.gov.au/webdoc2/app/default/drilling_detail?id=15191","Geol Survey Link")</f>
        <v>Geol Survey Link</v>
      </c>
      <c r="G5501" t="s">
        <v>3584</v>
      </c>
      <c r="H5501" t="s">
        <v>3585</v>
      </c>
      <c r="I5501">
        <v>-41.741900000000001</v>
      </c>
      <c r="J5501">
        <v>145.096</v>
      </c>
      <c r="K5501" t="str">
        <f>HYPERLINK("http://www.mrt.tas.gov.au/NVCLDataServices/mosaic.html?datasetid=be52ac4e-8938-4ba6-a14f-f05fa7b27d6","15191_PD85AP1_Alpine_Prospect_Reece_Core Image")</f>
        <v>15191_PD85AP1_Alpine_Prospect_Reece_Core Image</v>
      </c>
    </row>
    <row r="5502" spans="1:11" x14ac:dyDescent="0.25">
      <c r="A5502" t="str">
        <f>HYPERLINK("http://www.corstruth.com.au/Tas/15191_PD85API_cs.png","15191_PD85API_A4")</f>
        <v>15191_PD85API_A4</v>
      </c>
      <c r="B5502" t="str">
        <f>HYPERLINK("http://www.corstruth.com.au/Tas/PNG2/15191_PD85API_cs.png","15191_PD85API_0.25m Bins")</f>
        <v>15191_PD85API_0.25m Bins</v>
      </c>
      <c r="C5502" t="str">
        <f>HYPERLINK("http://www.corstruth.com.au/Tas/CSV/15191_PD85API.csv","15191_PD85API_CSV File 1m Bins")</f>
        <v>15191_PD85API_CSV File 1m Bins</v>
      </c>
      <c r="D5502">
        <v>15191</v>
      </c>
      <c r="E5502" t="s">
        <v>3422</v>
      </c>
      <c r="F5502" t="str">
        <f>HYPERLINK("http://www.mrt.tas.gov.au/webdoc2/app/default/drilling_detail?id=15191","Geol Survey Link")</f>
        <v>Geol Survey Link</v>
      </c>
      <c r="G5502" t="s">
        <v>3584</v>
      </c>
      <c r="H5502" t="s">
        <v>3585</v>
      </c>
      <c r="I5502">
        <v>-41.741900000000001</v>
      </c>
      <c r="J5502">
        <v>145.096</v>
      </c>
      <c r="K5502" t="str">
        <f>HYPERLINK("http://www.mrt.tas.gov.au/NVCLDataServices/mosaic.html?datasetid=be52ac4e-8938-4ba6-a14f-f05fa7b27d6","15191_PD85API_Core Image")</f>
        <v>15191_PD85API_Core Image</v>
      </c>
    </row>
    <row r="5503" spans="1:11" x14ac:dyDescent="0.25">
      <c r="A5503" t="str">
        <f>HYPERLINK("http://www.corstruth.com.au/Tas/15188_DD82BC8_cs.png","15188_DD82BC8_A4")</f>
        <v>15188_DD82BC8_A4</v>
      </c>
      <c r="B5503" t="str">
        <f>HYPERLINK("http://www.corstruth.com.au/Tas/PNG2/15188_DD82BC8_cs.png","15188_DD82BC8_0.25m Bins")</f>
        <v>15188_DD82BC8_0.25m Bins</v>
      </c>
      <c r="C5503" t="str">
        <f>HYPERLINK("http://www.corstruth.com.au/Tas/CSV/15188_DD82BC8.csv","15188_DD82BC8_CSV File 1m Bins")</f>
        <v>15188_DD82BC8_CSV File 1m Bins</v>
      </c>
      <c r="D5503">
        <v>15188</v>
      </c>
      <c r="E5503" t="s">
        <v>3422</v>
      </c>
      <c r="F5503" t="str">
        <f>HYPERLINK("http://www.mrt.tas.gov.au/webdoc2/app/default/drilling_detail?id=15188","Geol Survey Link")</f>
        <v>Geol Survey Link</v>
      </c>
      <c r="G5503" t="s">
        <v>3584</v>
      </c>
      <c r="H5503" t="s">
        <v>3567</v>
      </c>
      <c r="I5503">
        <v>-41.264400000000002</v>
      </c>
      <c r="J5503">
        <v>144.899</v>
      </c>
    </row>
    <row r="5504" spans="1:11" x14ac:dyDescent="0.25">
      <c r="A5504" t="str">
        <f>HYPERLINK("http://www.corstruth.com.au/Tas/15188_DD82BC8_Balfour_cs.png","15188_DD82BC8_Balfour_A4")</f>
        <v>15188_DD82BC8_Balfour_A4</v>
      </c>
      <c r="B5504" t="str">
        <f>HYPERLINK("http://www.corstruth.com.au/Tas/PNG2/15188_DD82BC8_Balfour_cs.png","15188_DD82BC8_Balfour_0.25m Bins")</f>
        <v>15188_DD82BC8_Balfour_0.25m Bins</v>
      </c>
      <c r="C5504" t="str">
        <f>HYPERLINK("http://www.corstruth.com.au/Tas/CSV/15188_DD82BC8_Balfour.csv","15188_DD82BC8_Balfour_CSV File 1m Bins")</f>
        <v>15188_DD82BC8_Balfour_CSV File 1m Bins</v>
      </c>
      <c r="D5504">
        <v>15188</v>
      </c>
      <c r="E5504" t="s">
        <v>3422</v>
      </c>
      <c r="F5504" t="str">
        <f>HYPERLINK("http://www.mrt.tas.gov.au/webdoc2/app/default/drilling_detail?id=15188","Geol Survey Link")</f>
        <v>Geol Survey Link</v>
      </c>
      <c r="G5504" t="s">
        <v>3584</v>
      </c>
      <c r="H5504" t="s">
        <v>3567</v>
      </c>
      <c r="I5504">
        <v>-41.264400000000002</v>
      </c>
      <c r="J5504">
        <v>144.899</v>
      </c>
    </row>
    <row r="5505" spans="1:11" x14ac:dyDescent="0.25">
      <c r="A5505" t="str">
        <f>HYPERLINK("http://www.corstruth.com.au/Tas/19730_CM1_Mt_Mary_Mine_Cygnet_cs.png","19730_CM1_Mt_Mary_Mine_Cygnet_A4")</f>
        <v>19730_CM1_Mt_Mary_Mine_Cygnet_A4</v>
      </c>
      <c r="B5505" t="str">
        <f>HYPERLINK("http://www.corstruth.com.au/Tas/PNG2/19730_CM1_Mt_Mary_Mine_Cygnet_cs.png","19730_CM1_Mt_Mary_Mine_Cygnet_0.25m Bins")</f>
        <v>19730_CM1_Mt_Mary_Mine_Cygnet_0.25m Bins</v>
      </c>
      <c r="C5505" t="str">
        <f>HYPERLINK("http://www.corstruth.com.au/Tas/CSV/19730_CM1_Mt_Mary_Mine_Cygnet.csv","19730_CM1_Mt_Mary_Mine_Cygnet_CSV File 1m Bins")</f>
        <v>19730_CM1_Mt_Mary_Mine_Cygnet_CSV File 1m Bins</v>
      </c>
      <c r="D5505">
        <v>19730</v>
      </c>
      <c r="E5505" t="s">
        <v>3422</v>
      </c>
      <c r="F5505" t="str">
        <f>HYPERLINK("http://www.mrt.tas.gov.au/webdoc2/app/default/drilling_detail?id=19730","Geol Survey Link")</f>
        <v>Geol Survey Link</v>
      </c>
      <c r="G5505" t="s">
        <v>3584</v>
      </c>
      <c r="H5505" t="s">
        <v>3586</v>
      </c>
      <c r="I5505">
        <v>-43.165500000000002</v>
      </c>
      <c r="J5505">
        <v>147.06800000000001</v>
      </c>
    </row>
    <row r="5506" spans="1:11" x14ac:dyDescent="0.25">
      <c r="A5506" t="str">
        <f>HYPERLINK("http://www.corstruth.com.au/Tas/87393_CDDH13011_Savage_River_Central_cs.png","87393_CDDH13011_Savage_River_Central_A4")</f>
        <v>87393_CDDH13011_Savage_River_Central_A4</v>
      </c>
      <c r="B5506" t="str">
        <f>HYPERLINK("http://www.corstruth.com.au/Tas/PNG2/87393_CDDH13011_Savage_River_Central_cs.png","87393_CDDH13011_Savage_River_Central_0.25m Bins")</f>
        <v>87393_CDDH13011_Savage_River_Central_0.25m Bins</v>
      </c>
      <c r="C5506" t="str">
        <f>HYPERLINK("http://www.corstruth.com.au/Tas/CSV/87393_CDDH13011_Savage_River_Central.csv","87393_CDDH13011_Savage_River_Central_CSV File 1m Bins")</f>
        <v>87393_CDDH13011_Savage_River_Central_CSV File 1m Bins</v>
      </c>
      <c r="D5506">
        <v>87393</v>
      </c>
      <c r="E5506" t="s">
        <v>3422</v>
      </c>
      <c r="F5506" t="str">
        <f>HYPERLINK("http://www.mrt.tas.gov.au/webdoc2/app/default/drilling_detail?id=87393","Geol Survey Link")</f>
        <v>Geol Survey Link</v>
      </c>
      <c r="G5506" t="s">
        <v>3584</v>
      </c>
      <c r="H5506" t="s">
        <v>3587</v>
      </c>
      <c r="I5506">
        <v>-41.4895</v>
      </c>
      <c r="J5506">
        <v>145.196</v>
      </c>
    </row>
    <row r="5507" spans="1:11" x14ac:dyDescent="0.25">
      <c r="A5507" t="str">
        <f>HYPERLINK("http://www.corstruth.com.au/Tas/87420_CP2018_11_Savage_River_Central_cs.png","87420_CP2018_11_Savage_River_Central_A4")</f>
        <v>87420_CP2018_11_Savage_River_Central_A4</v>
      </c>
      <c r="B5507" t="str">
        <f>HYPERLINK("http://www.corstruth.com.au/Tas/PNG2/87420_CP2018_11_Savage_River_Central_cs.png","87420_CP2018_11_Savage_River_Central_0.25m Bins")</f>
        <v>87420_CP2018_11_Savage_River_Central_0.25m Bins</v>
      </c>
      <c r="C5507" t="str">
        <f>HYPERLINK("http://www.corstruth.com.au/Tas/CSV/87420_CP2018_11_Savage_River_Central.csv","87420_CP2018_11_Savage_River_Central_CSV File 1m Bins")</f>
        <v>87420_CP2018_11_Savage_River_Central_CSV File 1m Bins</v>
      </c>
      <c r="D5507">
        <v>87420</v>
      </c>
      <c r="E5507" t="s">
        <v>3422</v>
      </c>
      <c r="F5507" t="str">
        <f>HYPERLINK("http://www.mrt.tas.gov.au/webdoc2/app/default/drilling_detail?id=87420","Geol Survey Link")</f>
        <v>Geol Survey Link</v>
      </c>
      <c r="G5507" t="s">
        <v>3584</v>
      </c>
      <c r="H5507" t="s">
        <v>3587</v>
      </c>
      <c r="I5507">
        <v>-41.480699999999999</v>
      </c>
      <c r="J5507">
        <v>145.202</v>
      </c>
    </row>
    <row r="5508" spans="1:11" x14ac:dyDescent="0.25">
      <c r="A5508" t="str">
        <f>HYPERLINK("http://www.corstruth.com.au/Tas/6200_Forest-1_Stanley_cs.png","6200_Forest-1_Stanley_A4")</f>
        <v>6200_Forest-1_Stanley_A4</v>
      </c>
      <c r="B5508" t="str">
        <f>HYPERLINK("http://www.corstruth.com.au/Tas/PNG2/6200_Forest-1_Stanley_cs.png","6200_Forest-1_Stanley_0.25m Bins")</f>
        <v>6200_Forest-1_Stanley_0.25m Bins</v>
      </c>
      <c r="C5508" t="str">
        <f>HYPERLINK("http://www.corstruth.com.au/Tas/CSV/6200_Forest-1_Stanley.csv","6200_Forest-1_Stanley_CSV File 1m Bins")</f>
        <v>6200_Forest-1_Stanley_CSV File 1m Bins</v>
      </c>
      <c r="D5508">
        <v>6200</v>
      </c>
      <c r="E5508" t="s">
        <v>3422</v>
      </c>
      <c r="F5508" t="str">
        <f>HYPERLINK("http://www.mrt.tas.gov.au/webdoc2/app/default/drilling_detail?id=6200","Geol Survey Link")</f>
        <v>Geol Survey Link</v>
      </c>
      <c r="G5508" t="s">
        <v>3584</v>
      </c>
      <c r="H5508" t="s">
        <v>3588</v>
      </c>
      <c r="I5508">
        <v>-40.815199999999997</v>
      </c>
      <c r="J5508">
        <v>145.255</v>
      </c>
      <c r="K5508" t="str">
        <f>HYPERLINK("http://www.mrt.tas.gov.au/NVCLDataServices/mosaic.html?datasetid=2db3021b-aeb3-41fc-8d62-bba658b0c79","6200_Forest-1_Stanley_Core Image")</f>
        <v>6200_Forest-1_Stanley_Core Image</v>
      </c>
    </row>
    <row r="5509" spans="1:11" x14ac:dyDescent="0.25">
      <c r="A5509" t="str">
        <f>HYPERLINK("http://www.corstruth.com.au/Tas/5258_Eaglehawk_Neck_1_cs.png","5258_Eaglehawk_Neck_1_A4")</f>
        <v>5258_Eaglehawk_Neck_1_A4</v>
      </c>
      <c r="B5509" t="str">
        <f>HYPERLINK("http://www.corstruth.com.au/Tas/PNG2/5258_Eaglehawk_Neck_1_cs.png","5258_Eaglehawk_Neck_1_0.25m Bins")</f>
        <v>5258_Eaglehawk_Neck_1_0.25m Bins</v>
      </c>
      <c r="C5509" t="str">
        <f>HYPERLINK("http://www.corstruth.com.au/Tas/CSV/5258_Eaglehawk_Neck_1.csv","5258_Eaglehawk_Neck_1_CSV File 1m Bins")</f>
        <v>5258_Eaglehawk_Neck_1_CSV File 1m Bins</v>
      </c>
      <c r="D5509">
        <v>5258</v>
      </c>
      <c r="E5509" t="s">
        <v>3422</v>
      </c>
      <c r="F5509" t="str">
        <f>HYPERLINK("http://www.mrt.tas.gov.au/webdoc2/app/default/drilling_detail?id=5258","Geol Survey Link")</f>
        <v>Geol Survey Link</v>
      </c>
      <c r="G5509" t="s">
        <v>3470</v>
      </c>
      <c r="I5509">
        <v>-43.003799999999998</v>
      </c>
      <c r="J5509">
        <v>147.934</v>
      </c>
      <c r="K5509" t="str">
        <f>HYPERLINK("http://www.mrt.tas.gov.au/NVCLDataServices/mosaic.html?datasetid=0dbf3431-6af4-4f00-91b8-d85bdeb9c4a","5258_Eaglehawk_Neck_1_Core Image")</f>
        <v>5258_Eaglehawk_Neck_1_Core Image</v>
      </c>
    </row>
    <row r="5510" spans="1:11" x14ac:dyDescent="0.25">
      <c r="A5510" t="str">
        <f>HYPERLINK("http://www.corstruth.com.au/Tas/5972_BIC-3A_986-620_Bicheno_cs.png","5972_BIC-3A_986-620_Bicheno_A4")</f>
        <v>5972_BIC-3A_986-620_Bicheno_A4</v>
      </c>
      <c r="B5510" t="str">
        <f>HYPERLINK("http://www.corstruth.com.au/Tas/PNG2/5972_BIC-3A_986-620_Bicheno_cs.png","5972_BIC-3A_986-620_Bicheno_0.25m Bins")</f>
        <v>5972_BIC-3A_986-620_Bicheno_0.25m Bins</v>
      </c>
      <c r="C5510" t="str">
        <f>HYPERLINK("http://www.corstruth.com.au/Tas/CSV/5972_BIC-3A_986-620_Bicheno.csv","5972_BIC-3A_986-620_Bicheno_CSV File 1m Bins")</f>
        <v>5972_BIC-3A_986-620_Bicheno_CSV File 1m Bins</v>
      </c>
      <c r="D5510">
        <v>5972</v>
      </c>
      <c r="E5510" t="s">
        <v>3422</v>
      </c>
      <c r="F5510" t="str">
        <f>HYPERLINK("http://www.mrt.tas.gov.au/webdoc2/app/default/drilling_detail?id=5972","Geol Survey Link")</f>
        <v>Geol Survey Link</v>
      </c>
      <c r="G5510" t="s">
        <v>3470</v>
      </c>
      <c r="H5510" t="s">
        <v>3589</v>
      </c>
      <c r="I5510">
        <v>-41.889600000000002</v>
      </c>
      <c r="J5510">
        <v>148.18199999999999</v>
      </c>
      <c r="K5510" t="str">
        <f>HYPERLINK("http://www.mrt.tas.gov.au/NVCLDataServices/mosaic.html?datasetid=f71ccf3d-1456-4ecd-9e09-c1e7f2d5fbd","5972_BIC-3A_986-620_Bicheno_Core Image")</f>
        <v>5972_BIC-3A_986-620_Bicheno_Core Image</v>
      </c>
    </row>
    <row r="5511" spans="1:11" x14ac:dyDescent="0.25">
      <c r="A5511" t="str">
        <f>HYPERLINK("http://www.corstruth.com.au/Tas/5974_BIC-5_040-675_Bicheno_Llandaff_Coalfield_cs.png","5974_BIC-5_040-675_Bicheno_Llandaff_Coalfield_A4")</f>
        <v>5974_BIC-5_040-675_Bicheno_Llandaff_Coalfield_A4</v>
      </c>
      <c r="B5511" t="str">
        <f>HYPERLINK("http://www.corstruth.com.au/Tas/PNG2/5974_BIC-5_040-675_Bicheno_Llandaff_Coalfield_cs.png","5974_BIC-5_040-675_Bicheno_Llandaff_Coalfield_0.25m Bins")</f>
        <v>5974_BIC-5_040-675_Bicheno_Llandaff_Coalfield_0.25m Bins</v>
      </c>
      <c r="C5511" t="str">
        <f>HYPERLINK("http://www.corstruth.com.au/Tas/CSV/5974_BIC-5_040-675_Bicheno_Llandaff_Coalfield.csv","5974_BIC-5_040-675_Bicheno_Llandaff_Coalfield_CSV File 1m Bins")</f>
        <v>5974_BIC-5_040-675_Bicheno_Llandaff_Coalfield_CSV File 1m Bins</v>
      </c>
      <c r="D5511">
        <v>5974</v>
      </c>
      <c r="E5511" t="s">
        <v>3422</v>
      </c>
      <c r="F5511" t="str">
        <f>HYPERLINK("http://www.mrt.tas.gov.au/webdoc2/app/default/drilling_detail?id=5974","Geol Survey Link")</f>
        <v>Geol Survey Link</v>
      </c>
      <c r="G5511" t="s">
        <v>3470</v>
      </c>
      <c r="H5511" t="s">
        <v>3590</v>
      </c>
      <c r="I5511">
        <v>-41.837600000000002</v>
      </c>
      <c r="J5511">
        <v>148.25299999999999</v>
      </c>
      <c r="K5511" t="str">
        <f>HYPERLINK("http://www.mrt.tas.gov.au/NVCLDataServices/mosaic.html?datasetid=29f8587b-0cbb-4e9c-8d9b-89e69067fb1","5974_BIC-5_040-675_Bicheno_Llandaff_Coalfield_Core Image")</f>
        <v>5974_BIC-5_040-675_Bicheno_Llandaff_Coalfield_Core Image</v>
      </c>
    </row>
    <row r="5512" spans="1:11" x14ac:dyDescent="0.25">
      <c r="A5512" t="str">
        <f>HYPERLINK("http://www.corstruth.com.au/Tas/5975_BIC-7_cs.png","5975_BIC-7_A4")</f>
        <v>5975_BIC-7_A4</v>
      </c>
      <c r="B5512" t="str">
        <f>HYPERLINK("http://www.corstruth.com.au/Tas/PNG2/5975_BIC-7_cs.png","5975_BIC-7_0.25m Bins")</f>
        <v>5975_BIC-7_0.25m Bins</v>
      </c>
      <c r="C5512" t="str">
        <f>HYPERLINK("http://www.corstruth.com.au/Tas/CSV/5975_BIC-7.csv","5975_BIC-7_CSV File 1m Bins")</f>
        <v>5975_BIC-7_CSV File 1m Bins</v>
      </c>
      <c r="D5512">
        <v>5975</v>
      </c>
      <c r="E5512" t="s">
        <v>3422</v>
      </c>
      <c r="F5512" t="str">
        <f>HYPERLINK("http://www.mrt.tas.gov.au/webdoc2/app/default/drilling_detail?id=5975","Geol Survey Link")</f>
        <v>Geol Survey Link</v>
      </c>
      <c r="G5512" t="s">
        <v>3470</v>
      </c>
      <c r="H5512" t="s">
        <v>3590</v>
      </c>
      <c r="I5512">
        <v>-41.953000000000003</v>
      </c>
      <c r="J5512">
        <v>148.16300000000001</v>
      </c>
      <c r="K5512" t="str">
        <f>HYPERLINK("http://www.mrt.tas.gov.au/NVCLDataServices/mosaic.html?datasetid=d02ea8a0-262b-4367-bd2a-df3bc55f7bf","5975_BIC-7_Core Image")</f>
        <v>5975_BIC-7_Core Image</v>
      </c>
    </row>
    <row r="5513" spans="1:11" x14ac:dyDescent="0.25">
      <c r="A5513" t="str">
        <f>HYPERLINK("http://www.corstruth.com.au/Tas/5976_BIC-8_Bicheno_Swan_River_cs.png","5976_BIC-8_Bicheno_Swan_River_A4")</f>
        <v>5976_BIC-8_Bicheno_Swan_River_A4</v>
      </c>
      <c r="B5513" t="str">
        <f>HYPERLINK("http://www.corstruth.com.au/Tas/PNG2/5976_BIC-8_Bicheno_Swan_River_cs.png","5976_BIC-8_Bicheno_Swan_River_0.25m Bins")</f>
        <v>5976_BIC-8_Bicheno_Swan_River_0.25m Bins</v>
      </c>
      <c r="C5513" t="str">
        <f>HYPERLINK("http://www.corstruth.com.au/Tas/CSV/5976_BIC-8_Bicheno_Swan_River.csv","5976_BIC-8_Bicheno_Swan_River_CSV File 1m Bins")</f>
        <v>5976_BIC-8_Bicheno_Swan_River_CSV File 1m Bins</v>
      </c>
      <c r="D5513">
        <v>5976</v>
      </c>
      <c r="E5513" t="s">
        <v>3422</v>
      </c>
      <c r="F5513" t="str">
        <f>HYPERLINK("http://www.mrt.tas.gov.au/webdoc2/app/default/drilling_detail?id=5976","Geol Survey Link")</f>
        <v>Geol Survey Link</v>
      </c>
      <c r="G5513" t="s">
        <v>3470</v>
      </c>
      <c r="H5513" t="s">
        <v>3591</v>
      </c>
      <c r="I5513">
        <v>-41.999600000000001</v>
      </c>
      <c r="J5513">
        <v>148.07900000000001</v>
      </c>
      <c r="K5513" t="str">
        <f>HYPERLINK("http://www.mrt.tas.gov.au/NVCLDataServices/mosaic.html?datasetid=ef1136c3-d73f-4dbf-a0f0-d0569a6da7c","5976_BIC-8_Bicheno_Swan_River_Core Image")</f>
        <v>5976_BIC-8_Bicheno_Swan_River_Core Image</v>
      </c>
    </row>
    <row r="5514" spans="1:11" x14ac:dyDescent="0.25">
      <c r="A5514" t="str">
        <f>HYPERLINK("http://www.corstruth.com.au/Tas/13595_BON-01_cs.png","13595_BON-01_A4")</f>
        <v>13595_BON-01_A4</v>
      </c>
      <c r="B5514" t="str">
        <f>HYPERLINK("http://www.corstruth.com.au/Tas/PNG2/13595_BON-01_cs.png","13595_BON-01_0.25m Bins")</f>
        <v>13595_BON-01_0.25m Bins</v>
      </c>
      <c r="C5514" t="str">
        <f>HYPERLINK("http://www.corstruth.com.au/Tas/CSV/13595_BON-01.csv","13595_BON-01_CSV File 1m Bins")</f>
        <v>13595_BON-01_CSV File 1m Bins</v>
      </c>
      <c r="D5514">
        <v>13595</v>
      </c>
      <c r="E5514" t="s">
        <v>3422</v>
      </c>
      <c r="F5514" t="str">
        <f>HYPERLINK("http://www.mrt.tas.gov.au/webdoc2/app/default/drilling_detail?id=13595","Geol Survey Link")</f>
        <v>Geol Survey Link</v>
      </c>
      <c r="G5514" t="s">
        <v>3470</v>
      </c>
      <c r="H5514" t="s">
        <v>3592</v>
      </c>
      <c r="I5514">
        <v>-41.7727</v>
      </c>
      <c r="J5514">
        <v>147.60499999999999</v>
      </c>
      <c r="K5514" t="str">
        <f>HYPERLINK("http://www.mrt.tas.gov.au/NVCLDataServices/mosaic.html?datasetid=ca4c6167-b74f-47fe-9791-e07afd0adc1","13595_BON-01_Core Image")</f>
        <v>13595_BON-01_Core Image</v>
      </c>
    </row>
    <row r="5515" spans="1:11" x14ac:dyDescent="0.25">
      <c r="A5515" t="str">
        <f>HYPERLINK("http://www.corstruth.com.au/Tas/6149_Thorp-1_cs.png","6149_Thorp-1_A4")</f>
        <v>6149_Thorp-1_A4</v>
      </c>
      <c r="B5515" t="str">
        <f>HYPERLINK("http://www.corstruth.com.au/Tas/PNG2/6149_Thorp-1_cs.png","6149_Thorp-1_0.25m Bins")</f>
        <v>6149_Thorp-1_0.25m Bins</v>
      </c>
      <c r="C5515" t="str">
        <f>HYPERLINK("http://www.corstruth.com.au/Tas/CSV/6149_Thorp-1.csv","6149_Thorp-1_CSV File 1m Bins")</f>
        <v>6149_Thorp-1_CSV File 1m Bins</v>
      </c>
      <c r="D5515">
        <v>6149</v>
      </c>
      <c r="E5515" t="s">
        <v>3422</v>
      </c>
      <c r="F5515" t="str">
        <f>HYPERLINK("http://www.mrt.tas.gov.au/webdoc2/app/default/drilling_detail?id=6149","Geol Survey Link")</f>
        <v>Geol Survey Link</v>
      </c>
      <c r="G5515" t="s">
        <v>3470</v>
      </c>
      <c r="H5515" t="s">
        <v>3593</v>
      </c>
      <c r="I5515">
        <v>-42.396500000000003</v>
      </c>
      <c r="J5515">
        <v>147.04499999999999</v>
      </c>
      <c r="K5515" t="str">
        <f>HYPERLINK("http://www.mrt.tas.gov.au/NVCLDataServices/mosaic.html?datasetid=d84e3f41-b2a9-456b-8d79-7f5e8e6cc16","6149_Thorp-1_Core Image")</f>
        <v>6149_Thorp-1_Core Image</v>
      </c>
    </row>
    <row r="5516" spans="1:11" x14ac:dyDescent="0.25">
      <c r="A5516" t="str">
        <f>HYPERLINK("http://www.corstruth.com.au/Tas/19071_Jericho-1_cs.png","19071_Jericho-1_A4")</f>
        <v>19071_Jericho-1_A4</v>
      </c>
      <c r="B5516" t="str">
        <f>HYPERLINK("http://www.corstruth.com.au/Tas/PNG2/19071_Jericho-1_cs.png","19071_Jericho-1_0.25m Bins")</f>
        <v>19071_Jericho-1_0.25m Bins</v>
      </c>
      <c r="C5516" t="str">
        <f>HYPERLINK("http://www.corstruth.com.au/Tas/CSV/19071_Jericho-1.csv","19071_Jericho-1_CSV File 1m Bins")</f>
        <v>19071_Jericho-1_CSV File 1m Bins</v>
      </c>
      <c r="D5516">
        <v>19071</v>
      </c>
      <c r="E5516" t="s">
        <v>3422</v>
      </c>
      <c r="F5516" t="str">
        <f>HYPERLINK("http://www.mrt.tas.gov.au/webdoc2/app/default/drilling_detail?id=19071","Geol Survey Link")</f>
        <v>Geol Survey Link</v>
      </c>
      <c r="G5516" t="s">
        <v>3470</v>
      </c>
      <c r="H5516" t="s">
        <v>3594</v>
      </c>
      <c r="I5516">
        <v>-43.197499999999998</v>
      </c>
      <c r="J5516">
        <v>147.38999999999999</v>
      </c>
      <c r="K5516" t="str">
        <f>HYPERLINK("http://www.mrt.tas.gov.au/NVCLDataServices/mosaic.html?datasetid=3247512d-2b49-4676-81a6-4aa35a5a5d7","19071_Jericho-1_Core Image")</f>
        <v>19071_Jericho-1_Core Image</v>
      </c>
    </row>
    <row r="5517" spans="1:11" x14ac:dyDescent="0.25">
      <c r="A5517" t="str">
        <f>HYPERLINK("http://www.corstruth.com.au/Tas/5977_BIC-10_cs.png","5977_BIC-10_A4")</f>
        <v>5977_BIC-10_A4</v>
      </c>
      <c r="B5517" t="str">
        <f>HYPERLINK("http://www.corstruth.com.au/Tas/PNG2/5977_BIC-10_cs.png","5977_BIC-10_0.25m Bins")</f>
        <v>5977_BIC-10_0.25m Bins</v>
      </c>
      <c r="C5517" t="str">
        <f>HYPERLINK("http://www.corstruth.com.au/Tas/CSV/5977_BIC-10.csv","5977_BIC-10_CSV File 1m Bins")</f>
        <v>5977_BIC-10_CSV File 1m Bins</v>
      </c>
      <c r="D5517">
        <v>5977</v>
      </c>
      <c r="E5517" t="s">
        <v>3422</v>
      </c>
      <c r="F5517" t="str">
        <f>HYPERLINK("http://www.mrt.tas.gov.au/webdoc2/app/default/drilling_detail?id=5977","Geol Survey Link")</f>
        <v>Geol Survey Link</v>
      </c>
      <c r="G5517" t="s">
        <v>3470</v>
      </c>
      <c r="H5517" t="s">
        <v>3595</v>
      </c>
      <c r="I5517">
        <v>-41.781799999999997</v>
      </c>
      <c r="J5517">
        <v>148.25800000000001</v>
      </c>
      <c r="K5517" t="str">
        <f>HYPERLINK("http://www.mrt.tas.gov.au/NVCLDataServices/mosaic.html?datasetid=06793172-21fe-44ad-832b-1d35eb0f8ce","5977_BIC-10_Core Image")</f>
        <v>5977_BIC-10_Core Image</v>
      </c>
    </row>
    <row r="5518" spans="1:11" x14ac:dyDescent="0.25">
      <c r="A5518" t="str">
        <f>HYPERLINK("http://www.corstruth.com.au/Tas/5255_MPT3_Dromedary_cs.png","5255_MPT3_Dromedary_A4")</f>
        <v>5255_MPT3_Dromedary_A4</v>
      </c>
      <c r="B5518" t="str">
        <f>HYPERLINK("http://www.corstruth.com.au/Tas/PNG2/5255_MPT3_Dromedary_cs.png","5255_MPT3_Dromedary_0.25m Bins")</f>
        <v>5255_MPT3_Dromedary_0.25m Bins</v>
      </c>
      <c r="C5518" t="str">
        <f>HYPERLINK("http://www.corstruth.com.au/Tas/CSV/5255_MPT3_Dromedary.csv","5255_MPT3_Dromedary_CSV File 1m Bins")</f>
        <v>5255_MPT3_Dromedary_CSV File 1m Bins</v>
      </c>
      <c r="D5518">
        <v>5255</v>
      </c>
      <c r="E5518" t="s">
        <v>3422</v>
      </c>
      <c r="F5518" t="str">
        <f>HYPERLINK("http://www.mrt.tas.gov.au/webdoc2/app/default/drilling_detail?id=5255","Geol Survey Link")</f>
        <v>Geol Survey Link</v>
      </c>
      <c r="G5518" t="s">
        <v>3470</v>
      </c>
      <c r="H5518" t="s">
        <v>3596</v>
      </c>
      <c r="I5518">
        <v>-42.754399999999997</v>
      </c>
      <c r="J5518">
        <v>147.089</v>
      </c>
      <c r="K5518" t="str">
        <f>HYPERLINK("http://www.mrt.tas.gov.au/NVCLDataServices/mosaic.html?datasetid=ce96304b-fcf8-4275-8f96-89e2659e274","5255_MPT3_Dromedary_Core Image")</f>
        <v>5255_MPT3_Dromedary_Core Image</v>
      </c>
    </row>
    <row r="5519" spans="1:11" x14ac:dyDescent="0.25">
      <c r="A5519" t="str">
        <f>HYPERLINK("http://www.corstruth.com.au/Tas/2321_Glen-1_Glenorchy_cs.png","2321_Glen-1_Glenorchy_A4")</f>
        <v>2321_Glen-1_Glenorchy_A4</v>
      </c>
      <c r="B5519" t="str">
        <f>HYPERLINK("http://www.corstruth.com.au/Tas/PNG2/2321_Glen-1_Glenorchy_cs.png","2321_Glen-1_Glenorchy_0.25m Bins")</f>
        <v>2321_Glen-1_Glenorchy_0.25m Bins</v>
      </c>
      <c r="C5519" t="str">
        <f>HYPERLINK("http://www.corstruth.com.au/Tas/CSV/2321_Glen-1_Glenorchy.csv","2321_Glen-1_Glenorchy_CSV File 1m Bins")</f>
        <v>2321_Glen-1_Glenorchy_CSV File 1m Bins</v>
      </c>
      <c r="D5519">
        <v>2321</v>
      </c>
      <c r="E5519" t="s">
        <v>3422</v>
      </c>
      <c r="F5519" t="str">
        <f>HYPERLINK("http://www.mrt.tas.gov.au/webdoc2/app/default/drilling_detail?id=2321","Geol Survey Link")</f>
        <v>Geol Survey Link</v>
      </c>
      <c r="G5519" t="s">
        <v>3470</v>
      </c>
      <c r="H5519" t="s">
        <v>3597</v>
      </c>
      <c r="I5519">
        <v>-42.844799999999999</v>
      </c>
      <c r="J5519">
        <v>147.25700000000001</v>
      </c>
      <c r="K5519" t="str">
        <f>HYPERLINK("http://www.mrt.tas.gov.au/NVCLDataServices/mosaic.html?datasetid=64dbadaf-b736-4694-8d2f-fd5682e5d79","2321_Glen-1_Glenorchy_Core Image")</f>
        <v>2321_Glen-1_Glenorchy_Core Image</v>
      </c>
    </row>
    <row r="5520" spans="1:11" x14ac:dyDescent="0.25">
      <c r="A5520" t="str">
        <f>HYPERLINK("http://www.corstruth.com.au/Tas/2292_GV1_cs.png","2292_GV1_A4")</f>
        <v>2292_GV1_A4</v>
      </c>
      <c r="B5520" t="str">
        <f>HYPERLINK("http://www.corstruth.com.au/Tas/PNG2/2292_GV1_cs.png","2292_GV1_0.25m Bins")</f>
        <v>2292_GV1_0.25m Bins</v>
      </c>
      <c r="C5520" t="str">
        <f>HYPERLINK("http://www.corstruth.com.au/Tas/CSV/2292_GV1.csv","2292_GV1_CSV File 1m Bins")</f>
        <v>2292_GV1_CSV File 1m Bins</v>
      </c>
      <c r="D5520">
        <v>2292</v>
      </c>
      <c r="E5520" t="s">
        <v>3422</v>
      </c>
      <c r="F5520" t="str">
        <f>HYPERLINK("http://www.mrt.tas.gov.au/webdoc2/app/default/drilling_detail?id=2292","Geol Survey Link")</f>
        <v>Geol Survey Link</v>
      </c>
      <c r="G5520" t="s">
        <v>3470</v>
      </c>
      <c r="H5520" t="s">
        <v>3598</v>
      </c>
      <c r="I5520">
        <v>-41.627699999999997</v>
      </c>
      <c r="J5520">
        <v>146.69999999999999</v>
      </c>
      <c r="K5520" t="str">
        <f>HYPERLINK("http://www.mrt.tas.gov.au/NVCLDataServices/mosaic.html?datasetid=21130dd9-a1cf-4145-8805-b9e90cde065","2292_GV1_Core Image")</f>
        <v>2292_GV1_Core Image</v>
      </c>
    </row>
    <row r="5521" spans="1:11" x14ac:dyDescent="0.25">
      <c r="A5521" t="str">
        <f>HYPERLINK("http://www.corstruth.com.au/Tas/16114_IPM-1_InsidePlainMalahide_cs.png","16114_IPM-1_InsidePlainMalahide_A4")</f>
        <v>16114_IPM-1_InsidePlainMalahide_A4</v>
      </c>
      <c r="B5521" t="str">
        <f>HYPERLINK("http://www.corstruth.com.au/Tas/PNG2/16114_IPM-1_InsidePlainMalahide_cs.png","16114_IPM-1_InsidePlainMalahide_0.25m Bins")</f>
        <v>16114_IPM-1_InsidePlainMalahide_0.25m Bins</v>
      </c>
      <c r="C5521" t="str">
        <f>HYPERLINK("http://www.corstruth.com.au/Tas/CSV/16114_IPM-1_InsidePlainMalahide.csv","16114_IPM-1_InsidePlainMalahide_CSV File 1m Bins")</f>
        <v>16114_IPM-1_InsidePlainMalahide_CSV File 1m Bins</v>
      </c>
      <c r="D5521">
        <v>16114</v>
      </c>
      <c r="E5521" t="s">
        <v>3422</v>
      </c>
      <c r="F5521" t="str">
        <f>HYPERLINK("http://www.mrt.tas.gov.au/webdoc2/app/default/drilling_detail?id=16114","Geol Survey Link")</f>
        <v>Geol Survey Link</v>
      </c>
      <c r="G5521" t="s">
        <v>3470</v>
      </c>
      <c r="H5521" t="s">
        <v>3599</v>
      </c>
      <c r="I5521">
        <v>-41.608600000000003</v>
      </c>
      <c r="J5521">
        <v>147.98500000000001</v>
      </c>
      <c r="K5521" t="str">
        <f>HYPERLINK("http://www.mrt.tas.gov.au/NVCLDataServices/mosaic.html?datasetid=ed4bcf4c-9467-4d06-9c69-af351323b1b","16114_IPM-1_InsidePlainMalahide_Core Image")</f>
        <v>16114_IPM-1_InsidePlainMalahide_Core Image</v>
      </c>
    </row>
    <row r="5522" spans="1:11" x14ac:dyDescent="0.25">
      <c r="A5522" t="str">
        <f>HYPERLINK("http://www.corstruth.com.au/Tas/5300_Woodbridge-1_cs.png","5300_Woodbridge-1_A4")</f>
        <v>5300_Woodbridge-1_A4</v>
      </c>
      <c r="B5522" t="str">
        <f>HYPERLINK("http://www.corstruth.com.au/Tas/PNG2/5300_Woodbridge-1_cs.png","5300_Woodbridge-1_0.25m Bins")</f>
        <v>5300_Woodbridge-1_0.25m Bins</v>
      </c>
      <c r="C5522" t="str">
        <f>HYPERLINK("http://www.corstruth.com.au/Tas/CSV/5300_Woodbridge-1.csv","5300_Woodbridge-1_CSV File 1m Bins")</f>
        <v>5300_Woodbridge-1_CSV File 1m Bins</v>
      </c>
      <c r="D5522">
        <v>5300</v>
      </c>
      <c r="E5522" t="s">
        <v>3422</v>
      </c>
      <c r="F5522" t="str">
        <f>HYPERLINK("http://www.mrt.tas.gov.au/webdoc2/app/default/drilling_detail?id=5300","Geol Survey Link")</f>
        <v>Geol Survey Link</v>
      </c>
      <c r="G5522" t="s">
        <v>3470</v>
      </c>
      <c r="H5522" t="s">
        <v>3600</v>
      </c>
      <c r="I5522">
        <v>-43.1477</v>
      </c>
      <c r="J5522">
        <v>147.239</v>
      </c>
      <c r="K5522" t="str">
        <f>HYPERLINK("http://www.mrt.tas.gov.au/NVCLDataServices/mosaic.html?datasetid=60ac1b58-2f55-484e-bd3f-8cf6a60a8df","5300_Woodbridge-1_Core Image")</f>
        <v>5300_Woodbridge-1_Core Image</v>
      </c>
    </row>
    <row r="5523" spans="1:11" x14ac:dyDescent="0.25">
      <c r="A5523" t="str">
        <f>HYPERLINK("http://www.corstruth.com.au/Tas/5334_DLR7_Lune_River_cs.png","5334_DLR7_Lune_River_A4")</f>
        <v>5334_DLR7_Lune_River_A4</v>
      </c>
      <c r="B5523" t="str">
        <f>HYPERLINK("http://www.corstruth.com.au/Tas/PNG2/5334_DLR7_Lune_River_cs.png","5334_DLR7_Lune_River_0.25m Bins")</f>
        <v>5334_DLR7_Lune_River_0.25m Bins</v>
      </c>
      <c r="C5523" t="str">
        <f>HYPERLINK("http://www.corstruth.com.au/Tas/CSV/5334_DLR7_Lune_River.csv","5334_DLR7_Lune_River_CSV File 1m Bins")</f>
        <v>5334_DLR7_Lune_River_CSV File 1m Bins</v>
      </c>
      <c r="D5523">
        <v>5334</v>
      </c>
      <c r="E5523" t="s">
        <v>3422</v>
      </c>
      <c r="F5523" t="str">
        <f>HYPERLINK("http://www.mrt.tas.gov.au/webdoc2/app/default/drilling_detail?id=5334","Geol Survey Link")</f>
        <v>Geol Survey Link</v>
      </c>
      <c r="G5523" t="s">
        <v>3470</v>
      </c>
      <c r="H5523" t="s">
        <v>3601</v>
      </c>
      <c r="I5523">
        <v>-43.464799999999997</v>
      </c>
      <c r="J5523">
        <v>146.86000000000001</v>
      </c>
    </row>
    <row r="5524" spans="1:11" x14ac:dyDescent="0.25">
      <c r="A5524" t="str">
        <f>HYPERLINK("http://www.corstruth.com.au/Tas/51378_Ralphs_Bay_1_dry3_cs.png","51378_Ralphs_Bay_1_dry3_A4")</f>
        <v>51378_Ralphs_Bay_1_dry3_A4</v>
      </c>
      <c r="B5524" t="str">
        <f>HYPERLINK("http://www.corstruth.com.au/Tas/PNG2/51378_Ralphs_Bay_1_dry3_cs.png","51378_Ralphs_Bay_1_dry3_0.25m Bins")</f>
        <v>51378_Ralphs_Bay_1_dry3_0.25m Bins</v>
      </c>
      <c r="C5524" t="str">
        <f>HYPERLINK("http://www.corstruth.com.au/Tas/CSV/51378_Ralphs_Bay_1_dry3.csv","51378_Ralphs_Bay_1_dry3_CSV File 1m Bins")</f>
        <v>51378_Ralphs_Bay_1_dry3_CSV File 1m Bins</v>
      </c>
      <c r="D5524">
        <v>51378</v>
      </c>
      <c r="E5524" t="s">
        <v>3422</v>
      </c>
      <c r="F5524" t="str">
        <f>HYPERLINK("http://www.mrt.tas.gov.au/webdoc2/app/default/drilling_detail?id=51378","Geol Survey Link")</f>
        <v>Geol Survey Link</v>
      </c>
      <c r="G5524" t="s">
        <v>3470</v>
      </c>
      <c r="H5524" t="s">
        <v>3602</v>
      </c>
      <c r="I5524">
        <v>-42.949800000000003</v>
      </c>
      <c r="J5524">
        <v>147.4</v>
      </c>
      <c r="K5524" t="str">
        <f>HYPERLINK("http://www.mrt.tas.gov.au/NVCLDataServices/mosaic.html?datasetid=54abac20-2cab-4951-b966-6c44a2d82dc","51378_Ralphs_Bay_1_dry3_Core Image")</f>
        <v>51378_Ralphs_Bay_1_dry3_Core Image</v>
      </c>
    </row>
    <row r="5525" spans="1:11" x14ac:dyDescent="0.25">
      <c r="A5525" t="str">
        <f>HYPERLINK("http://www.corstruth.com.au/Tas/19050_Shittim-1B_cs.png","19050_Shittim-1B_A4")</f>
        <v>19050_Shittim-1B_A4</v>
      </c>
      <c r="B5525" t="str">
        <f>HYPERLINK("http://www.corstruth.com.au/Tas/PNG2/19050_Shittim-1B_cs.png","19050_Shittim-1B_0.25m Bins")</f>
        <v>19050_Shittim-1B_0.25m Bins</v>
      </c>
      <c r="C5525" t="str">
        <f>HYPERLINK("http://www.corstruth.com.au/Tas/CSV/19050_Shittim-1B.csv","19050_Shittim-1B_CSV File 1m Bins")</f>
        <v>19050_Shittim-1B_CSV File 1m Bins</v>
      </c>
      <c r="D5525">
        <v>19050</v>
      </c>
      <c r="E5525" t="s">
        <v>3422</v>
      </c>
      <c r="F5525" t="str">
        <f>HYPERLINK("http://www.mrt.tas.gov.au/webdoc2/app/default/drilling_detail?id=19050","Geol Survey Link")</f>
        <v>Geol Survey Link</v>
      </c>
      <c r="G5525" t="s">
        <v>3470</v>
      </c>
      <c r="H5525" t="s">
        <v>3603</v>
      </c>
      <c r="I5525">
        <v>-43.206400000000002</v>
      </c>
      <c r="J5525">
        <v>147.41900000000001</v>
      </c>
      <c r="K5525" t="str">
        <f>HYPERLINK("http://www.mrt.tas.gov.au/NVCLDataServices/mosaic.html?datasetid=9894b508-290a-4235-8b00-0671ae3094c","19050_Shittim-1B_Core Image")</f>
        <v>19050_Shittim-1B_Core Image</v>
      </c>
    </row>
    <row r="5526" spans="1:11" x14ac:dyDescent="0.25">
      <c r="A5526" t="str">
        <f>HYPERLINK("http://www.corstruth.com.au/Tas/24582_TP23-P110_Musselroe-DerbyTransLine_cs.png","24582_TP23-P110_Musselroe-DerbyTransLine_A4")</f>
        <v>24582_TP23-P110_Musselroe-DerbyTransLine_A4</v>
      </c>
      <c r="B5526" t="str">
        <f>HYPERLINK("http://www.corstruth.com.au/Tas/PNG2/24582_TP23-P110_Musselroe-DerbyTransLine_cs.png","24582_TP23-P110_Musselroe-DerbyTransLine_0.25m Bins")</f>
        <v>24582_TP23-P110_Musselroe-DerbyTransLine_0.25m Bins</v>
      </c>
      <c r="C5526" t="str">
        <f>HYPERLINK("http://www.corstruth.com.au/Tas/CSV/24582_TP23-P110_Musselroe-DerbyTransLine.csv","24582_TP23-P110_Musselroe-DerbyTransLine_CSV File 1m Bins")</f>
        <v>24582_TP23-P110_Musselroe-DerbyTransLine_CSV File 1m Bins</v>
      </c>
      <c r="D5526">
        <v>24582</v>
      </c>
      <c r="E5526" t="s">
        <v>3422</v>
      </c>
      <c r="F5526" t="str">
        <f>HYPERLINK("http://www.mrt.tas.gov.au/webdoc2/app/default/drilling_detail?id=24582","Geol Survey Link")</f>
        <v>Geol Survey Link</v>
      </c>
      <c r="G5526" t="s">
        <v>3470</v>
      </c>
      <c r="H5526" t="s">
        <v>3604</v>
      </c>
      <c r="I5526">
        <v>-41.062199999999997</v>
      </c>
      <c r="J5526">
        <v>147.84800000000001</v>
      </c>
      <c r="K5526" t="str">
        <f>HYPERLINK("http://www.mrt.tas.gov.au/NVCLDataServices/mosaic.html?datasetid=0ecf5438-b903-476c-b069-37dbe43818e","24582_TP23-P110_Musselroe-DerbyTransLine_Core Image")</f>
        <v>24582_TP23-P110_Musselroe-DerbyTransLine_Core Image</v>
      </c>
    </row>
    <row r="5527" spans="1:11" x14ac:dyDescent="0.25">
      <c r="A5527" t="str">
        <f>HYPERLINK("http://www.corstruth.com.au/Tas/24598_TP44-P140_Musselroe-DerbyTransline_cs.png","24598_TP44-P140_Musselroe-DerbyTransline_A4")</f>
        <v>24598_TP44-P140_Musselroe-DerbyTransline_A4</v>
      </c>
      <c r="B5527" t="str">
        <f>HYPERLINK("http://www.corstruth.com.au/Tas/PNG2/24598_TP44-P140_Musselroe-DerbyTransline_cs.png","24598_TP44-P140_Musselroe-DerbyTransline_0.25m Bins")</f>
        <v>24598_TP44-P140_Musselroe-DerbyTransline_0.25m Bins</v>
      </c>
      <c r="C5527" t="str">
        <f>HYPERLINK("http://www.corstruth.com.au/Tas/CSV/24598_TP44-P140_Musselroe-DerbyTransline.csv","24598_TP44-P140_Musselroe-DerbyTransline_CSV File 1m Bins")</f>
        <v>24598_TP44-P140_Musselroe-DerbyTransline_CSV File 1m Bins</v>
      </c>
      <c r="D5527">
        <v>24598</v>
      </c>
      <c r="E5527" t="s">
        <v>3422</v>
      </c>
      <c r="F5527" t="str">
        <f>HYPERLINK("http://www.mrt.tas.gov.au/webdoc2/app/default/drilling_detail?id=24598","Geol Survey Link")</f>
        <v>Geol Survey Link</v>
      </c>
      <c r="G5527" t="s">
        <v>3470</v>
      </c>
      <c r="H5527" t="s">
        <v>3604</v>
      </c>
      <c r="I5527">
        <v>-41.125999999999998</v>
      </c>
      <c r="J5527">
        <v>147.815</v>
      </c>
      <c r="K5527" t="str">
        <f>HYPERLINK("http://www.mrt.tas.gov.au/NVCLDataServices/mosaic.html?datasetid=d75e7297-5cd4-45e9-906a-53cb1a4e67b","24598_TP44-P140_Musselroe-DerbyTransline_Core Image")</f>
        <v>24598_TP44-P140_Musselroe-DerbyTransline_Core Image</v>
      </c>
    </row>
    <row r="5528" spans="1:11" x14ac:dyDescent="0.25">
      <c r="A5528" t="str">
        <f>HYPERLINK("http://www.corstruth.com.au/Tas/5349_Ross-1_cs.png","5349_Ross-1_A4")</f>
        <v>5349_Ross-1_A4</v>
      </c>
      <c r="B5528" t="str">
        <f>HYPERLINK("http://www.corstruth.com.au/Tas/PNG2/5349_Ross-1_cs.png","5349_Ross-1_0.25m Bins")</f>
        <v>5349_Ross-1_0.25m Bins</v>
      </c>
      <c r="C5528" t="str">
        <f>HYPERLINK("http://www.corstruth.com.au/Tas/CSV/5349_Ross-1.csv","5349_Ross-1_CSV File 1m Bins")</f>
        <v>5349_Ross-1_CSV File 1m Bins</v>
      </c>
      <c r="D5528">
        <v>5349</v>
      </c>
      <c r="E5528" t="s">
        <v>3422</v>
      </c>
      <c r="F5528" t="str">
        <f>HYPERLINK("http://www.mrt.tas.gov.au/webdoc2/app/default/drilling_detail?id=5349","Geol Survey Link")</f>
        <v>Geol Survey Link</v>
      </c>
      <c r="G5528" t="s">
        <v>3470</v>
      </c>
      <c r="H5528" t="s">
        <v>3605</v>
      </c>
      <c r="I5528">
        <v>-42.168100000000003</v>
      </c>
      <c r="J5528">
        <v>147.66399999999999</v>
      </c>
    </row>
    <row r="5529" spans="1:11" x14ac:dyDescent="0.25">
      <c r="A5529" t="str">
        <f>HYPERLINK("http://www.corstruth.com.au/Tas/13583_RG146_cs.png","13583_RG146_A4")</f>
        <v>13583_RG146_A4</v>
      </c>
      <c r="B5529" t="str">
        <f>HYPERLINK("http://www.corstruth.com.au/Tas/PNG2/13583_RG146_cs.png","13583_RG146_0.25m Bins")</f>
        <v>13583_RG146_0.25m Bins</v>
      </c>
      <c r="C5529" t="str">
        <f>HYPERLINK("http://www.corstruth.com.au/Tas/CSV/13583_RG146.csv","13583_RG146_CSV File 1m Bins")</f>
        <v>13583_RG146_CSV File 1m Bins</v>
      </c>
      <c r="D5529">
        <v>13583</v>
      </c>
      <c r="E5529" t="s">
        <v>3422</v>
      </c>
      <c r="F5529" t="str">
        <f>HYPERLINK("http://www.mrt.tas.gov.au/webdoc2/app/default/drilling_detail?id=13583","Geol Survey Link")</f>
        <v>Geol Survey Link</v>
      </c>
      <c r="G5529" t="s">
        <v>3470</v>
      </c>
      <c r="H5529" t="s">
        <v>3606</v>
      </c>
      <c r="I5529">
        <v>-42.024999999999999</v>
      </c>
      <c r="J5529">
        <v>147.44</v>
      </c>
      <c r="K5529" t="str">
        <f>HYPERLINK("http://www.mrt.tas.gov.au/NVCLDataServices/mosaic.html?datasetid=5e7b9a1c-c884-400d-9e84-ef1aafd2b83","13583_RG146_Core Image")</f>
        <v>13583_RG146_Core Image</v>
      </c>
    </row>
    <row r="5530" spans="1:11" x14ac:dyDescent="0.25">
      <c r="A5530" t="str">
        <f>HYPERLINK("http://www.corstruth.com.au/Tas/13978_RG145_Tunbridge_Tier_cs.png","13978_RG145_Tunbridge_Tier_A4")</f>
        <v>13978_RG145_Tunbridge_Tier_A4</v>
      </c>
      <c r="B5530" t="str">
        <f>HYPERLINK("http://www.corstruth.com.au/Tas/PNG2/13978_RG145_Tunbridge_Tier_cs.png","13978_RG145_Tunbridge_Tier_0.25m Bins")</f>
        <v>13978_RG145_Tunbridge_Tier_0.25m Bins</v>
      </c>
      <c r="C5530" t="str">
        <f>HYPERLINK("http://www.corstruth.com.au/Tas/CSV/13978_RG145_Tunbridge_Tier.csv","13978_RG145_Tunbridge_Tier_CSV File 1m Bins")</f>
        <v>13978_RG145_Tunbridge_Tier_CSV File 1m Bins</v>
      </c>
      <c r="D5530">
        <v>13978</v>
      </c>
      <c r="E5530" t="s">
        <v>3422</v>
      </c>
      <c r="F5530" t="str">
        <f>HYPERLINK("http://www.mrt.tas.gov.au/webdoc2/app/default/drilling_detail?id=13978","Geol Survey Link")</f>
        <v>Geol Survey Link</v>
      </c>
      <c r="G5530" t="s">
        <v>3470</v>
      </c>
      <c r="H5530" t="s">
        <v>3607</v>
      </c>
      <c r="I5530">
        <v>-42.136200000000002</v>
      </c>
      <c r="J5530">
        <v>147.298</v>
      </c>
      <c r="K5530" t="str">
        <f>HYPERLINK("http://www.mrt.tas.gov.au/NVCLDataServices/mosaic.html?datasetid=f8a4b130-71a2-49b4-98e5-ec0ba81cb4b","13978_RG145_Tunbridge_Tier_Core Image")</f>
        <v>13978_RG145_Tunbridge_Tier_Core Image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CorStruth Main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Green</dc:creator>
  <cp:lastModifiedBy>Andrew Green</cp:lastModifiedBy>
  <dcterms:created xsi:type="dcterms:W3CDTF">2024-03-12T04:17:50Z</dcterms:created>
  <dcterms:modified xsi:type="dcterms:W3CDTF">2024-03-12T04:17:50Z</dcterms:modified>
</cp:coreProperties>
</file>